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Data Vlaue (Cr)" sheetId="1" r:id="rId16"/>
    <sheet name="Data shares" sheetId="4" r:id="rId17"/>
    <sheet name="NIFTY GRP" sheetId="9"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6">'Data shares'!$A$1:$FA$215</definedName>
    <definedName name="Expry_Roll___20" localSheetId="17">'NIFTY GRP'!$A$1:$EY$2</definedName>
    <definedName name="fii" localSheetId="18">FII!$A$1:$N$16</definedName>
    <definedName name="_xlnm.Print_Area" localSheetId="14">Disclaimar!$A$1:$A$24</definedName>
    <definedName name="stats__2" localSheetId="15">'Data Vlaue (Cr)'!$A$1:$FB$215</definedName>
  </definedNames>
  <calcPr calcId="144525"/>
</workbook>
</file>

<file path=xl/calcChain.xml><?xml version="1.0" encoding="utf-8"?>
<calcChain xmlns="http://schemas.openxmlformats.org/spreadsheetml/2006/main">
  <c r="F15" i="18" l="1"/>
  <c r="L3" i="21" l="1"/>
  <c r="F204" i="18" l="1"/>
  <c r="F183" i="18"/>
  <c r="F38" i="18"/>
  <c r="F92" i="18"/>
  <c r="F50" i="18"/>
  <c r="F79" i="18"/>
  <c r="F8" i="18"/>
  <c r="F26" i="18"/>
  <c r="F145" i="18"/>
  <c r="F69" i="18"/>
  <c r="F77" i="18"/>
  <c r="F190" i="18"/>
  <c r="F153" i="18"/>
  <c r="F187" i="18"/>
  <c r="F181" i="18"/>
  <c r="F106" i="18"/>
  <c r="F59" i="18"/>
  <c r="F20" i="18"/>
  <c r="F99" i="18"/>
  <c r="F169" i="18"/>
  <c r="F109" i="18"/>
  <c r="F102" i="18"/>
  <c r="F163" i="18"/>
  <c r="F177" i="18"/>
  <c r="F108" i="18"/>
  <c r="F167" i="18"/>
  <c r="F61" i="18"/>
  <c r="F18" i="18"/>
  <c r="F184" i="18"/>
  <c r="F185" i="18"/>
  <c r="F133" i="18"/>
  <c r="F194" i="18"/>
  <c r="F28" i="18"/>
  <c r="F136" i="18"/>
  <c r="F81" i="18"/>
  <c r="F21" i="18"/>
  <c r="F40" i="18"/>
  <c r="F91" i="18"/>
  <c r="F119" i="18"/>
  <c r="F97" i="18"/>
  <c r="F53" i="18"/>
  <c r="F49" i="18"/>
  <c r="F89" i="18"/>
  <c r="F75" i="18"/>
  <c r="F73" i="18"/>
  <c r="F88" i="18"/>
  <c r="F25" i="18"/>
  <c r="F170" i="18"/>
  <c r="F189" i="18"/>
  <c r="F193" i="18"/>
  <c r="F51" i="18"/>
  <c r="F201" i="18"/>
  <c r="F132" i="18"/>
  <c r="F45" i="18"/>
  <c r="F29" i="18"/>
  <c r="F10" i="18"/>
  <c r="F82" i="18"/>
  <c r="F113" i="18"/>
  <c r="F76" i="18"/>
  <c r="F85" i="18"/>
  <c r="F78" i="18"/>
  <c r="F65" i="18"/>
  <c r="F138" i="18"/>
  <c r="F156" i="18"/>
  <c r="F104" i="18"/>
  <c r="F141" i="18"/>
  <c r="F87" i="18"/>
  <c r="F117" i="18"/>
  <c r="F57" i="18"/>
  <c r="F80" i="18"/>
  <c r="F95" i="18"/>
  <c r="F7" i="18"/>
  <c r="F118" i="18"/>
  <c r="F130" i="18"/>
  <c r="F195" i="18"/>
  <c r="F22" i="18"/>
  <c r="F86" i="18"/>
  <c r="F166" i="18"/>
  <c r="F41" i="18"/>
  <c r="F199" i="18"/>
  <c r="F107" i="18"/>
  <c r="F9" i="18"/>
  <c r="F180" i="18"/>
  <c r="F137" i="18"/>
  <c r="F27" i="18"/>
  <c r="F14" i="18"/>
  <c r="F165" i="18"/>
  <c r="F94" i="18"/>
  <c r="F124" i="18"/>
  <c r="F211" i="18"/>
  <c r="F162" i="18"/>
  <c r="F159" i="18"/>
  <c r="F210" i="18"/>
  <c r="F160" i="18"/>
  <c r="F100" i="18"/>
  <c r="F148" i="18"/>
  <c r="F19" i="18"/>
  <c r="F47" i="18"/>
  <c r="F90" i="18"/>
  <c r="F142" i="18"/>
  <c r="F186" i="18"/>
  <c r="F42" i="18"/>
  <c r="F96" i="18"/>
  <c r="F17" i="18"/>
  <c r="F110" i="18"/>
  <c r="F105" i="18"/>
  <c r="F52" i="18"/>
  <c r="F139" i="18"/>
  <c r="F24" i="18"/>
  <c r="F6" i="18"/>
  <c r="F13" i="18"/>
  <c r="F93" i="18"/>
  <c r="F144" i="18"/>
  <c r="F39" i="18"/>
  <c r="F131" i="18"/>
  <c r="F30" i="18"/>
  <c r="F140" i="18"/>
  <c r="F128" i="18"/>
  <c r="F66" i="18"/>
  <c r="F202" i="18"/>
  <c r="F147" i="18"/>
  <c r="F134" i="18"/>
  <c r="F23" i="18"/>
  <c r="F63" i="18"/>
  <c r="F174" i="18"/>
  <c r="F197" i="18"/>
  <c r="F173" i="18"/>
  <c r="F123" i="18"/>
  <c r="F179" i="18"/>
  <c r="F114" i="18"/>
  <c r="F178" i="18"/>
  <c r="F212" i="18"/>
  <c r="F43" i="18"/>
  <c r="F161" i="18"/>
  <c r="F127" i="18"/>
  <c r="F37" i="18"/>
  <c r="F70" i="18"/>
  <c r="F98" i="18"/>
  <c r="F157" i="18"/>
  <c r="F83" i="18"/>
  <c r="F171" i="18"/>
  <c r="F56" i="18"/>
  <c r="F206" i="18"/>
  <c r="F209" i="18"/>
  <c r="F44" i="18"/>
  <c r="F149" i="18"/>
  <c r="F54" i="18"/>
  <c r="F112" i="18"/>
  <c r="F67" i="18"/>
  <c r="F192" i="18"/>
  <c r="F48" i="18"/>
  <c r="F152" i="18"/>
  <c r="F46" i="18"/>
  <c r="F125" i="18"/>
  <c r="F155" i="18"/>
  <c r="F121" i="18"/>
  <c r="F101" i="18"/>
  <c r="F196" i="18"/>
  <c r="F146" i="18"/>
  <c r="F176" i="18"/>
  <c r="F205" i="18"/>
  <c r="F35" i="18"/>
  <c r="F120" i="18"/>
  <c r="F68" i="18"/>
  <c r="F71" i="18"/>
  <c r="F188" i="18"/>
  <c r="F150" i="18"/>
  <c r="F33" i="18"/>
  <c r="F191" i="18"/>
  <c r="F143" i="18"/>
  <c r="F129" i="18"/>
  <c r="F116" i="18"/>
  <c r="F72" i="18"/>
  <c r="F175" i="18"/>
  <c r="F126" i="18"/>
  <c r="F111" i="18"/>
  <c r="F84" i="18"/>
  <c r="F11" i="18"/>
  <c r="F164" i="18"/>
  <c r="F115" i="18"/>
  <c r="F55" i="18"/>
  <c r="F207" i="18"/>
  <c r="F103" i="18"/>
  <c r="F34" i="18"/>
  <c r="F158" i="18"/>
  <c r="F200" i="18"/>
  <c r="F203" i="18"/>
  <c r="F154" i="18"/>
  <c r="F12" i="18"/>
  <c r="F135" i="18"/>
  <c r="F58" i="18"/>
  <c r="F32" i="18"/>
  <c r="F122" i="18"/>
  <c r="F172" i="18"/>
  <c r="F62" i="18"/>
  <c r="F198" i="18"/>
  <c r="F16" i="18"/>
  <c r="F64" i="18"/>
  <c r="F151" i="18"/>
  <c r="F5" i="18"/>
  <c r="F74" i="18"/>
  <c r="F182" i="18"/>
  <c r="F60" i="18"/>
  <c r="F208" i="18"/>
  <c r="F31" i="18"/>
  <c r="F36" i="18"/>
  <c r="L4" i="21" l="1"/>
  <c r="E203"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02" i="18"/>
  <c r="E22" i="18"/>
  <c r="E73" i="18"/>
  <c r="E187" i="18"/>
  <c r="E107" i="18"/>
  <c r="E62" i="18"/>
  <c r="E156" i="18"/>
  <c r="E207" i="18"/>
  <c r="E45" i="18"/>
  <c r="E180" i="18"/>
  <c r="E162" i="18"/>
  <c r="E76" i="18"/>
  <c r="E173" i="18"/>
  <c r="E7" i="18"/>
  <c r="E32" i="18"/>
  <c r="E95" i="18"/>
  <c r="E150" i="18"/>
  <c r="E47" i="18"/>
  <c r="E99" i="18"/>
  <c r="E31" i="18"/>
  <c r="E23" i="18"/>
  <c r="E158" i="18"/>
  <c r="E53" i="18"/>
  <c r="E204" i="18"/>
  <c r="E103" i="18"/>
  <c r="E33" i="18"/>
  <c r="E209" i="18"/>
  <c r="E121" i="18"/>
  <c r="E144" i="18"/>
  <c r="E126" i="18"/>
  <c r="E105" i="18"/>
  <c r="E65" i="18"/>
  <c r="E148" i="18"/>
  <c r="E174" i="18"/>
  <c r="E50" i="18"/>
  <c r="E210" i="18"/>
  <c r="E43" i="18"/>
  <c r="E10" i="18"/>
  <c r="E19" i="18"/>
  <c r="E36" i="18"/>
  <c r="E110" i="18"/>
  <c r="E147" i="18"/>
  <c r="E82" i="18"/>
  <c r="E13" i="18"/>
  <c r="E40" i="18"/>
  <c r="E55" i="18"/>
  <c r="E49" i="18"/>
  <c r="E108" i="18"/>
  <c r="E89" i="18"/>
  <c r="E75" i="18"/>
  <c r="E141" i="18"/>
  <c r="E88" i="18"/>
  <c r="E154" i="18"/>
  <c r="E140" i="18"/>
  <c r="E11" i="18"/>
  <c r="E52" i="18"/>
  <c r="E6" i="18"/>
  <c r="E137" i="18"/>
  <c r="E30" i="18"/>
  <c r="E131" i="18"/>
  <c r="E72" i="18"/>
  <c r="E184" i="18"/>
  <c r="E157" i="18"/>
  <c r="E27" i="18"/>
  <c r="E34" i="18"/>
  <c r="E94" i="18"/>
  <c r="E9" i="18"/>
  <c r="E151" i="18"/>
  <c r="E112" i="18"/>
  <c r="E51" i="18"/>
  <c r="E132" i="18"/>
  <c r="E206" i="18"/>
  <c r="E61" i="18"/>
  <c r="E196" i="18"/>
  <c r="E164" i="18"/>
  <c r="E79" i="18"/>
  <c r="E135" i="18"/>
  <c r="E12" i="18"/>
  <c r="E169" i="18"/>
  <c r="E93" i="18"/>
  <c r="E44" i="18"/>
  <c r="E86" i="18"/>
  <c r="E138" i="18"/>
  <c r="E28" i="18"/>
  <c r="E74" i="18"/>
  <c r="E29" i="18"/>
  <c r="E142" i="18"/>
  <c r="E69" i="18"/>
  <c r="E167" i="18"/>
  <c r="E134" i="18"/>
  <c r="E194" i="18"/>
  <c r="E21" i="18"/>
  <c r="E176" i="18"/>
  <c r="E96" i="18"/>
  <c r="E104" i="18"/>
  <c r="E124" i="18"/>
  <c r="E208" i="18"/>
  <c r="E57" i="18"/>
  <c r="E113" i="18"/>
  <c r="E70" i="18"/>
  <c r="E186" i="18"/>
  <c r="E98" i="18"/>
  <c r="E172" i="18"/>
  <c r="E133" i="18"/>
  <c r="E81" i="18"/>
  <c r="E159" i="18"/>
  <c r="E38" i="18"/>
  <c r="E120" i="18"/>
  <c r="E212" i="18"/>
  <c r="E87" i="18"/>
  <c r="E116" i="18"/>
  <c r="E136" i="18"/>
  <c r="E191" i="18"/>
  <c r="E59" i="18"/>
  <c r="E25" i="18"/>
  <c r="E66" i="18"/>
  <c r="E117" i="18"/>
  <c r="E211" i="18"/>
  <c r="E71" i="18"/>
  <c r="E17" i="18"/>
  <c r="E202" i="18"/>
  <c r="E92" i="18"/>
  <c r="E200" i="18"/>
  <c r="E80" i="18"/>
  <c r="E177" i="18"/>
  <c r="E16" i="18"/>
  <c r="E100" i="18"/>
  <c r="E114" i="18"/>
  <c r="E190" i="18"/>
  <c r="E146" i="18"/>
  <c r="E39" i="18"/>
  <c r="E5" i="18"/>
  <c r="E139" i="18"/>
  <c r="E188" i="18"/>
  <c r="E41" i="18"/>
  <c r="E197" i="18"/>
  <c r="E165" i="18"/>
  <c r="E168" i="18"/>
  <c r="F168" i="18"/>
  <c r="E160" i="18"/>
  <c r="E183" i="18"/>
  <c r="E63" i="18"/>
  <c r="E130" i="18"/>
  <c r="E182" i="18"/>
  <c r="E77" i="18"/>
  <c r="E118" i="18"/>
  <c r="E37" i="18"/>
  <c r="E149" i="18"/>
  <c r="E46" i="18"/>
  <c r="E178" i="18"/>
  <c r="E161" i="18"/>
  <c r="E48" i="18"/>
  <c r="E78" i="18"/>
  <c r="E85" i="18"/>
  <c r="E127" i="18"/>
  <c r="E155" i="18"/>
  <c r="E90" i="18"/>
  <c r="E199" i="18"/>
  <c r="E56" i="18"/>
  <c r="E83" i="18"/>
  <c r="E171" i="18"/>
  <c r="E195" i="18"/>
  <c r="E24" i="18"/>
  <c r="E18" i="18"/>
  <c r="E205" i="18"/>
  <c r="E20" i="18"/>
  <c r="E64" i="18"/>
  <c r="E175" i="18"/>
  <c r="E125" i="18"/>
  <c r="E189" i="18"/>
  <c r="E60" i="18"/>
  <c r="E97" i="18"/>
  <c r="E68" i="18"/>
  <c r="E54" i="18"/>
  <c r="E106" i="18"/>
  <c r="E42" i="18"/>
  <c r="E119" i="18"/>
  <c r="E192" i="18"/>
  <c r="E145" i="18"/>
  <c r="E8" i="18"/>
  <c r="E109" i="18"/>
  <c r="E67" i="18"/>
  <c r="E185" i="18"/>
  <c r="E153" i="18"/>
  <c r="E152" i="18"/>
  <c r="E166" i="18"/>
  <c r="E91" i="18"/>
  <c r="E26" i="18"/>
  <c r="E129" i="18"/>
  <c r="E201" i="18"/>
  <c r="E143" i="18"/>
  <c r="E123" i="18"/>
  <c r="E14" i="18"/>
  <c r="E115" i="18"/>
  <c r="E122" i="18"/>
  <c r="E35" i="18"/>
  <c r="E170" i="18"/>
  <c r="E58" i="18"/>
  <c r="A7" i="14"/>
  <c r="C7" i="14" s="1"/>
  <c r="A8" i="14"/>
  <c r="B8" i="14" s="1"/>
  <c r="A9" i="14"/>
  <c r="B9" i="14" s="1"/>
  <c r="A10" i="14"/>
  <c r="C10" i="14" s="1"/>
  <c r="A11" i="14"/>
  <c r="C11" i="14" s="1"/>
  <c r="A12" i="14"/>
  <c r="B12" i="14" s="1"/>
  <c r="A13" i="14"/>
  <c r="D13" i="14" s="1"/>
  <c r="A14" i="14"/>
  <c r="C14" i="14" s="1"/>
  <c r="A15" i="14"/>
  <c r="C15" i="14" s="1"/>
  <c r="A16" i="14"/>
  <c r="B16" i="14" s="1"/>
  <c r="A17" i="14"/>
  <c r="D17" i="14" s="1"/>
  <c r="A18" i="14"/>
  <c r="C18" i="14" s="1"/>
  <c r="A19" i="14"/>
  <c r="C19" i="14" s="1"/>
  <c r="A20" i="14"/>
  <c r="B20" i="14" s="1"/>
  <c r="A21" i="14"/>
  <c r="D21" i="14" s="1"/>
  <c r="A22" i="14"/>
  <c r="A23" i="14"/>
  <c r="C23" i="14" s="1"/>
  <c r="A24" i="14"/>
  <c r="C24" i="14" s="1"/>
  <c r="A25" i="14"/>
  <c r="D25" i="14" s="1"/>
  <c r="A26" i="14"/>
  <c r="C26" i="14" s="1"/>
  <c r="A27" i="14"/>
  <c r="C27" i="14" s="1"/>
  <c r="A28" i="14"/>
  <c r="C28" i="14" s="1"/>
  <c r="A29" i="14"/>
  <c r="C29" i="14" s="1"/>
  <c r="A30" i="14"/>
  <c r="E30" i="14" s="1"/>
  <c r="A31" i="14"/>
  <c r="C31" i="14" s="1"/>
  <c r="A32" i="14"/>
  <c r="C32" i="14" s="1"/>
  <c r="A33" i="14"/>
  <c r="C33" i="14" s="1"/>
  <c r="A34" i="14"/>
  <c r="C34" i="14" s="1"/>
  <c r="A35" i="14"/>
  <c r="C35" i="14" s="1"/>
  <c r="A36" i="14"/>
  <c r="A37" i="14"/>
  <c r="D37" i="14" s="1"/>
  <c r="A38" i="14"/>
  <c r="A39" i="14"/>
  <c r="C39" i="14" s="1"/>
  <c r="A40" i="14"/>
  <c r="C40" i="14" s="1"/>
  <c r="A41" i="14"/>
  <c r="B41" i="14" s="1"/>
  <c r="A42" i="14"/>
  <c r="C42" i="14" s="1"/>
  <c r="A43" i="14"/>
  <c r="F43" i="14" s="1"/>
  <c r="A44" i="14"/>
  <c r="E44" i="14" s="1"/>
  <c r="A45" i="14"/>
  <c r="A46" i="14"/>
  <c r="E46" i="14" s="1"/>
  <c r="A47" i="14"/>
  <c r="F47" i="14" s="1"/>
  <c r="A48" i="14"/>
  <c r="D48" i="14" s="1"/>
  <c r="A49" i="14"/>
  <c r="C49" i="14" s="1"/>
  <c r="A50" i="14"/>
  <c r="E50" i="14" s="1"/>
  <c r="A51" i="14"/>
  <c r="C51" i="14" s="1"/>
  <c r="A52" i="14"/>
  <c r="D52" i="14" s="1"/>
  <c r="A53" i="14"/>
  <c r="D53" i="14" s="1"/>
  <c r="A54" i="14"/>
  <c r="C54" i="14" s="1"/>
  <c r="A55" i="14"/>
  <c r="C55" i="14" s="1"/>
  <c r="A56" i="14"/>
  <c r="D56" i="14" s="1"/>
  <c r="A57" i="14"/>
  <c r="D57" i="14" s="1"/>
  <c r="A58" i="14"/>
  <c r="A59" i="14"/>
  <c r="C59" i="14" s="1"/>
  <c r="A60" i="14"/>
  <c r="D60" i="14" s="1"/>
  <c r="A61" i="14"/>
  <c r="C61" i="14" s="1"/>
  <c r="A62" i="14"/>
  <c r="C62" i="14" s="1"/>
  <c r="A63" i="14"/>
  <c r="C63" i="14" s="1"/>
  <c r="A64" i="14"/>
  <c r="A65" i="14"/>
  <c r="C65" i="14" s="1"/>
  <c r="A66" i="14"/>
  <c r="C66" i="14" s="1"/>
  <c r="A67" i="14"/>
  <c r="C67" i="14" s="1"/>
  <c r="A68" i="14"/>
  <c r="A69" i="14"/>
  <c r="C69" i="14" s="1"/>
  <c r="A70" i="14"/>
  <c r="C70" i="14" s="1"/>
  <c r="A71" i="14"/>
  <c r="C71" i="14" s="1"/>
  <c r="A72" i="14"/>
  <c r="A73" i="14"/>
  <c r="C73" i="14" s="1"/>
  <c r="A74" i="14"/>
  <c r="C74" i="14" s="1"/>
  <c r="A75" i="14"/>
  <c r="C75" i="14" s="1"/>
  <c r="A76" i="14"/>
  <c r="A77" i="14"/>
  <c r="C77" i="14" s="1"/>
  <c r="A78" i="14"/>
  <c r="C78" i="14" s="1"/>
  <c r="A79" i="14"/>
  <c r="C79" i="14" s="1"/>
  <c r="A80" i="14"/>
  <c r="A81" i="14"/>
  <c r="E81" i="14" s="1"/>
  <c r="A82" i="14"/>
  <c r="E82" i="14" s="1"/>
  <c r="A83" i="14"/>
  <c r="F83" i="14" s="1"/>
  <c r="A84" i="14"/>
  <c r="B84" i="14" s="1"/>
  <c r="A85" i="14"/>
  <c r="E85" i="14" s="1"/>
  <c r="A86" i="14"/>
  <c r="C86" i="14" s="1"/>
  <c r="A87" i="14"/>
  <c r="C87" i="14" s="1"/>
  <c r="A88" i="14"/>
  <c r="C88" i="14" s="1"/>
  <c r="A89" i="14"/>
  <c r="D89" i="14" s="1"/>
  <c r="A90" i="14"/>
  <c r="A91" i="14"/>
  <c r="C91" i="14" s="1"/>
  <c r="A92" i="14"/>
  <c r="C92" i="14" s="1"/>
  <c r="A93" i="14"/>
  <c r="D93" i="14" s="1"/>
  <c r="A94" i="14"/>
  <c r="C94" i="14" s="1"/>
  <c r="A95" i="14"/>
  <c r="C95" i="14" s="1"/>
  <c r="A96" i="14"/>
  <c r="C96" i="14" s="1"/>
  <c r="A97" i="14"/>
  <c r="D97" i="14" s="1"/>
  <c r="A98" i="14"/>
  <c r="C98" i="14" s="1"/>
  <c r="A99" i="14"/>
  <c r="C99" i="14" s="1"/>
  <c r="A100" i="14"/>
  <c r="C100" i="14" s="1"/>
  <c r="A101" i="14"/>
  <c r="E101" i="14" s="1"/>
  <c r="A102" i="14"/>
  <c r="C102" i="14" s="1"/>
  <c r="A103" i="14"/>
  <c r="C103" i="14" s="1"/>
  <c r="A104" i="14"/>
  <c r="C104" i="14" s="1"/>
  <c r="A105" i="14"/>
  <c r="D105" i="14" s="1"/>
  <c r="A106" i="14"/>
  <c r="A107" i="14"/>
  <c r="C107" i="14" s="1"/>
  <c r="A108" i="14"/>
  <c r="C108" i="14" s="1"/>
  <c r="A109" i="14"/>
  <c r="B109" i="14" s="1"/>
  <c r="A110" i="14"/>
  <c r="A111" i="14"/>
  <c r="C111" i="14" s="1"/>
  <c r="A112" i="14"/>
  <c r="C112" i="14" s="1"/>
  <c r="A113" i="14"/>
  <c r="D113" i="14" s="1"/>
  <c r="A114" i="14"/>
  <c r="C114" i="14" s="1"/>
  <c r="A115" i="14"/>
  <c r="C115" i="14" s="1"/>
  <c r="A116" i="14"/>
  <c r="A117" i="14"/>
  <c r="C117" i="14" s="1"/>
  <c r="A118" i="14"/>
  <c r="C118" i="14" s="1"/>
  <c r="A119" i="14"/>
  <c r="C119" i="14" s="1"/>
  <c r="A120" i="14"/>
  <c r="C120" i="14" s="1"/>
  <c r="A121" i="14"/>
  <c r="A122" i="14"/>
  <c r="A123" i="14"/>
  <c r="C123" i="14" s="1"/>
  <c r="A124" i="14"/>
  <c r="C124" i="14" s="1"/>
  <c r="A125" i="14"/>
  <c r="C125" i="14" s="1"/>
  <c r="A126" i="14"/>
  <c r="C126" i="14" s="1"/>
  <c r="A127" i="14"/>
  <c r="C127" i="14" s="1"/>
  <c r="A128" i="14"/>
  <c r="A129" i="14"/>
  <c r="B129" i="14" s="1"/>
  <c r="A130" i="14"/>
  <c r="C130" i="14" s="1"/>
  <c r="A131" i="14"/>
  <c r="D131" i="14" s="1"/>
  <c r="A132" i="14"/>
  <c r="A133" i="14"/>
  <c r="C133" i="14" s="1"/>
  <c r="A134" i="14"/>
  <c r="A135" i="14"/>
  <c r="D135" i="14" s="1"/>
  <c r="A136" i="14"/>
  <c r="D136" i="14" s="1"/>
  <c r="A137" i="14"/>
  <c r="C137" i="14" s="1"/>
  <c r="A138" i="14"/>
  <c r="C138" i="14" s="1"/>
  <c r="A139" i="14"/>
  <c r="C139" i="14" s="1"/>
  <c r="A140" i="14"/>
  <c r="C140" i="14" s="1"/>
  <c r="A141" i="14"/>
  <c r="C141" i="14" s="1"/>
  <c r="A142" i="14"/>
  <c r="C142" i="14" s="1"/>
  <c r="A143" i="14"/>
  <c r="E143" i="14" s="1"/>
  <c r="A144" i="14"/>
  <c r="F144" i="14" s="1"/>
  <c r="A145" i="14"/>
  <c r="A146" i="14"/>
  <c r="A147" i="14"/>
  <c r="A148" i="14"/>
  <c r="D148" i="14" s="1"/>
  <c r="A149" i="14"/>
  <c r="D149" i="14" s="1"/>
  <c r="A150" i="14"/>
  <c r="A151" i="14"/>
  <c r="F151" i="14" s="1"/>
  <c r="A152" i="14"/>
  <c r="D152" i="14" s="1"/>
  <c r="A153" i="14"/>
  <c r="C153" i="14" s="1"/>
  <c r="A154" i="14"/>
  <c r="A155" i="14"/>
  <c r="A156" i="14"/>
  <c r="D156" i="14" s="1"/>
  <c r="A157" i="14"/>
  <c r="C157" i="14" s="1"/>
  <c r="A158" i="14"/>
  <c r="C158" i="14" s="1"/>
  <c r="A159" i="14"/>
  <c r="B159" i="14" s="1"/>
  <c r="A160" i="14"/>
  <c r="D160" i="14" s="1"/>
  <c r="A161" i="14"/>
  <c r="D161" i="14" s="1"/>
  <c r="A162" i="14"/>
  <c r="A163" i="14"/>
  <c r="A164" i="14"/>
  <c r="A165" i="14"/>
  <c r="B165" i="14" s="1"/>
  <c r="A166" i="14"/>
  <c r="A167" i="14"/>
  <c r="D167" i="14" s="1"/>
  <c r="A168" i="14"/>
  <c r="F168" i="14" s="1"/>
  <c r="A169" i="14"/>
  <c r="C169" i="14" s="1"/>
  <c r="A170" i="14"/>
  <c r="A171" i="14"/>
  <c r="C171" i="14" s="1"/>
  <c r="A172" i="14"/>
  <c r="C172" i="14" s="1"/>
  <c r="A173" i="14"/>
  <c r="E173" i="14" s="1"/>
  <c r="A174" i="14"/>
  <c r="E174" i="14" s="1"/>
  <c r="A175" i="14"/>
  <c r="E175" i="14" s="1"/>
  <c r="A176" i="14"/>
  <c r="E176" i="14" s="1"/>
  <c r="A177" i="14"/>
  <c r="E177" i="14" s="1"/>
  <c r="A178" i="14"/>
  <c r="C178" i="14" s="1"/>
  <c r="A179" i="14"/>
  <c r="A180" i="14"/>
  <c r="C180" i="14" s="1"/>
  <c r="A181" i="14"/>
  <c r="A182" i="14"/>
  <c r="E182" i="14" s="1"/>
  <c r="A183" i="14"/>
  <c r="B183" i="14" s="1"/>
  <c r="A184" i="14"/>
  <c r="C184" i="14" s="1"/>
  <c r="A185" i="14"/>
  <c r="F185" i="14" s="1"/>
  <c r="A186" i="14"/>
  <c r="C186" i="14" s="1"/>
  <c r="A187" i="14"/>
  <c r="B187" i="14" s="1"/>
  <c r="A188" i="14"/>
  <c r="C188" i="14" s="1"/>
  <c r="A189" i="14"/>
  <c r="D189" i="14" s="1"/>
  <c r="A6" i="13"/>
  <c r="C6" i="13" s="1"/>
  <c r="A7" i="13"/>
  <c r="D7" i="13" s="1"/>
  <c r="A8" i="13"/>
  <c r="C8" i="13" s="1"/>
  <c r="A9" i="13"/>
  <c r="D9" i="13" s="1"/>
  <c r="A10" i="13"/>
  <c r="A11" i="13"/>
  <c r="D11" i="13" s="1"/>
  <c r="A12" i="13"/>
  <c r="C12" i="13" s="1"/>
  <c r="A13" i="13"/>
  <c r="D13" i="13" s="1"/>
  <c r="A14" i="13"/>
  <c r="C14" i="13" s="1"/>
  <c r="A15" i="13"/>
  <c r="A16" i="13"/>
  <c r="A17" i="13"/>
  <c r="A18" i="13"/>
  <c r="C18" i="13" s="1"/>
  <c r="A19" i="13"/>
  <c r="E19" i="13" s="1"/>
  <c r="A20" i="13"/>
  <c r="E20" i="13" s="1"/>
  <c r="A21" i="13"/>
  <c r="E21" i="13" s="1"/>
  <c r="A22" i="13"/>
  <c r="C22" i="13" s="1"/>
  <c r="A23" i="13"/>
  <c r="D23" i="13" s="1"/>
  <c r="A24" i="13"/>
  <c r="C24" i="13" s="1"/>
  <c r="A25" i="13"/>
  <c r="C25" i="13" s="1"/>
  <c r="A26" i="13"/>
  <c r="A27" i="13"/>
  <c r="D27" i="13" s="1"/>
  <c r="A28" i="13"/>
  <c r="C28" i="13" s="1"/>
  <c r="A29" i="13"/>
  <c r="D29" i="13" s="1"/>
  <c r="A30" i="13"/>
  <c r="C30" i="13" s="1"/>
  <c r="A31" i="13"/>
  <c r="A32" i="13"/>
  <c r="A33" i="13"/>
  <c r="A34" i="13"/>
  <c r="C34" i="13" s="1"/>
  <c r="A35" i="13"/>
  <c r="F35" i="13" s="1"/>
  <c r="A36" i="13"/>
  <c r="D36" i="13" s="1"/>
  <c r="A37" i="13"/>
  <c r="E37" i="13" s="1"/>
  <c r="A38" i="13"/>
  <c r="D38" i="13" s="1"/>
  <c r="A39" i="13"/>
  <c r="A40" i="13"/>
  <c r="D40" i="13" s="1"/>
  <c r="A41" i="13"/>
  <c r="B41" i="13" s="1"/>
  <c r="A42" i="13"/>
  <c r="C42" i="13" s="1"/>
  <c r="A43" i="13"/>
  <c r="F43" i="13" s="1"/>
  <c r="A44" i="13"/>
  <c r="D44" i="13" s="1"/>
  <c r="A45" i="13"/>
  <c r="D45" i="13" s="1"/>
  <c r="A46" i="13"/>
  <c r="C46" i="13" s="1"/>
  <c r="A47" i="13"/>
  <c r="B47" i="13" s="1"/>
  <c r="A48" i="13"/>
  <c r="D48" i="13" s="1"/>
  <c r="A49" i="13"/>
  <c r="E49" i="13" s="1"/>
  <c r="A50" i="13"/>
  <c r="C50" i="13" s="1"/>
  <c r="A51" i="13"/>
  <c r="D51" i="13" s="1"/>
  <c r="A52" i="13"/>
  <c r="D52" i="13" s="1"/>
  <c r="A53" i="13"/>
  <c r="A54" i="13"/>
  <c r="E54" i="13" s="1"/>
  <c r="A55" i="13"/>
  <c r="D55" i="13" s="1"/>
  <c r="A56" i="13"/>
  <c r="D56" i="13" s="1"/>
  <c r="A57" i="13"/>
  <c r="A58" i="13"/>
  <c r="G58" i="13" s="1"/>
  <c r="A59" i="13"/>
  <c r="F59" i="13" s="1"/>
  <c r="A60" i="13"/>
  <c r="A61" i="13"/>
  <c r="E61" i="13" s="1"/>
  <c r="A62" i="13"/>
  <c r="D62" i="13" s="1"/>
  <c r="A63" i="13"/>
  <c r="F63" i="13" s="1"/>
  <c r="A64" i="13"/>
  <c r="F64" i="13" s="1"/>
  <c r="A65" i="13"/>
  <c r="B65" i="13" s="1"/>
  <c r="A66" i="13"/>
  <c r="D66" i="13" s="1"/>
  <c r="A67" i="13"/>
  <c r="D67" i="13" s="1"/>
  <c r="A68" i="13"/>
  <c r="C68" i="13" s="1"/>
  <c r="A69" i="13"/>
  <c r="D69" i="13" s="1"/>
  <c r="A70" i="13"/>
  <c r="D70" i="13" s="1"/>
  <c r="A71" i="13"/>
  <c r="A72" i="13"/>
  <c r="G72" i="13" s="1"/>
  <c r="A73" i="13"/>
  <c r="E73" i="13" s="1"/>
  <c r="A74" i="13"/>
  <c r="G74" i="13" s="1"/>
  <c r="A75" i="13"/>
  <c r="B75" i="13" s="1"/>
  <c r="A76" i="13"/>
  <c r="F76" i="13" s="1"/>
  <c r="A77" i="13"/>
  <c r="F77" i="13" s="1"/>
  <c r="A78" i="13"/>
  <c r="E78" i="13" s="1"/>
  <c r="A79" i="13"/>
  <c r="D79" i="13" s="1"/>
  <c r="A80" i="13"/>
  <c r="D80" i="13" s="1"/>
  <c r="A81" i="13"/>
  <c r="D81" i="13" s="1"/>
  <c r="A82" i="13"/>
  <c r="D82" i="13" s="1"/>
  <c r="A83" i="13"/>
  <c r="D83" i="13" s="1"/>
  <c r="A84" i="13"/>
  <c r="C84" i="13" s="1"/>
  <c r="A85" i="13"/>
  <c r="C85" i="13" s="1"/>
  <c r="A86" i="13"/>
  <c r="D86" i="13" s="1"/>
  <c r="A87" i="13"/>
  <c r="C87" i="13" s="1"/>
  <c r="A88" i="13"/>
  <c r="A89" i="13"/>
  <c r="E89" i="13" s="1"/>
  <c r="A90" i="13"/>
  <c r="C90" i="13" s="1"/>
  <c r="A91" i="13"/>
  <c r="C91" i="13" s="1"/>
  <c r="A92" i="13"/>
  <c r="C92" i="13" s="1"/>
  <c r="A93" i="13"/>
  <c r="E93" i="13" s="1"/>
  <c r="A94" i="13"/>
  <c r="C94" i="13" s="1"/>
  <c r="A95" i="13"/>
  <c r="C95" i="13" s="1"/>
  <c r="A96" i="13"/>
  <c r="C96" i="13" s="1"/>
  <c r="A97" i="13"/>
  <c r="A98" i="13"/>
  <c r="C98" i="13" s="1"/>
  <c r="A99" i="13"/>
  <c r="C99" i="13" s="1"/>
  <c r="A100" i="13"/>
  <c r="C100" i="13" s="1"/>
  <c r="A101" i="13"/>
  <c r="A102" i="13"/>
  <c r="F102" i="13" s="1"/>
  <c r="A103" i="13"/>
  <c r="C103" i="13" s="1"/>
  <c r="A104" i="13"/>
  <c r="C104" i="13" s="1"/>
  <c r="A105" i="13"/>
  <c r="A106" i="13"/>
  <c r="F106" i="13" s="1"/>
  <c r="A107" i="13"/>
  <c r="C107" i="13" s="1"/>
  <c r="A108" i="13"/>
  <c r="C108" i="13" s="1"/>
  <c r="A109" i="13"/>
  <c r="A110" i="13"/>
  <c r="D110" i="13" s="1"/>
  <c r="A111" i="13"/>
  <c r="C111" i="13" s="1"/>
  <c r="A112" i="13"/>
  <c r="C112" i="13" s="1"/>
  <c r="A113" i="13"/>
  <c r="A114" i="13"/>
  <c r="E114" i="13" s="1"/>
  <c r="A115" i="13"/>
  <c r="C115" i="13" s="1"/>
  <c r="A116" i="13"/>
  <c r="C116" i="13" s="1"/>
  <c r="A117" i="13"/>
  <c r="A118" i="13"/>
  <c r="B118" i="13" s="1"/>
  <c r="A119" i="13"/>
  <c r="C119" i="13" s="1"/>
  <c r="A120" i="13"/>
  <c r="A121" i="13"/>
  <c r="A122" i="13"/>
  <c r="C122" i="13" s="1"/>
  <c r="A123" i="13"/>
  <c r="G123" i="13" s="1"/>
  <c r="A124" i="13"/>
  <c r="B124" i="13" s="1"/>
  <c r="A125" i="13"/>
  <c r="A126" i="13"/>
  <c r="D126" i="13" s="1"/>
  <c r="A127" i="13"/>
  <c r="C127" i="13" s="1"/>
  <c r="A128" i="13"/>
  <c r="F128" i="13" s="1"/>
  <c r="A129" i="13"/>
  <c r="D129" i="13" s="1"/>
  <c r="A130" i="13"/>
  <c r="B130" i="13" s="1"/>
  <c r="A131" i="13"/>
  <c r="A132" i="13"/>
  <c r="A133" i="13"/>
  <c r="E133" i="13" s="1"/>
  <c r="A134" i="13"/>
  <c r="B134" i="13" s="1"/>
  <c r="A135" i="13"/>
  <c r="C135" i="13" s="1"/>
  <c r="A136" i="13"/>
  <c r="A137" i="13"/>
  <c r="A138" i="13"/>
  <c r="B138" i="13" s="1"/>
  <c r="A139" i="13"/>
  <c r="A140" i="13"/>
  <c r="A141" i="13"/>
  <c r="F141" i="13" s="1"/>
  <c r="A142" i="13"/>
  <c r="E142" i="13" s="1"/>
  <c r="A143" i="13"/>
  <c r="A144" i="13"/>
  <c r="D144" i="13" s="1"/>
  <c r="A145" i="13"/>
  <c r="A146" i="13"/>
  <c r="C146" i="13" s="1"/>
  <c r="A147" i="13"/>
  <c r="E147" i="13" s="1"/>
  <c r="A148" i="13"/>
  <c r="F148" i="13" s="1"/>
  <c r="A149" i="13"/>
  <c r="A150" i="13"/>
  <c r="A151" i="13"/>
  <c r="A152" i="13"/>
  <c r="E152" i="13" s="1"/>
  <c r="A153" i="13"/>
  <c r="F153" i="13" s="1"/>
  <c r="A154" i="13"/>
  <c r="C154" i="13" s="1"/>
  <c r="A155" i="13"/>
  <c r="D155" i="13" s="1"/>
  <c r="A156" i="13"/>
  <c r="B156" i="13" s="1"/>
  <c r="A157" i="13"/>
  <c r="A158" i="13"/>
  <c r="A159" i="13"/>
  <c r="C159" i="13" s="1"/>
  <c r="A160" i="13"/>
  <c r="D160" i="13" s="1"/>
  <c r="A161" i="13"/>
  <c r="A162" i="13"/>
  <c r="C162" i="13" s="1"/>
  <c r="A163" i="13"/>
  <c r="E163" i="13" s="1"/>
  <c r="A164" i="13"/>
  <c r="F164" i="13" s="1"/>
  <c r="A165" i="13"/>
  <c r="F165" i="13" s="1"/>
  <c r="A166" i="13"/>
  <c r="C166" i="13" s="1"/>
  <c r="A167" i="13"/>
  <c r="A168" i="13"/>
  <c r="A169" i="13"/>
  <c r="A170" i="13"/>
  <c r="E170" i="13" s="1"/>
  <c r="A171" i="13"/>
  <c r="G171" i="13" s="1"/>
  <c r="A172" i="13"/>
  <c r="F172" i="13" s="1"/>
  <c r="A173" i="13"/>
  <c r="G173" i="13" s="1"/>
  <c r="A174" i="13"/>
  <c r="E174" i="13" s="1"/>
  <c r="A175" i="13"/>
  <c r="D175" i="13" s="1"/>
  <c r="A176" i="13"/>
  <c r="A177" i="13"/>
  <c r="G177" i="13" s="1"/>
  <c r="A178" i="13"/>
  <c r="D178" i="13" s="1"/>
  <c r="A179" i="13"/>
  <c r="A180" i="13"/>
  <c r="E180" i="13" s="1"/>
  <c r="A181" i="13"/>
  <c r="A182" i="13"/>
  <c r="A183" i="13"/>
  <c r="A184" i="13"/>
  <c r="F184" i="13" s="1"/>
  <c r="A185" i="13"/>
  <c r="C185" i="13" s="1"/>
  <c r="A186" i="13"/>
  <c r="E186" i="13" s="1"/>
  <c r="A187" i="13"/>
  <c r="C187" i="13" s="1"/>
  <c r="A188" i="13"/>
  <c r="D188" i="13" s="1"/>
  <c r="A206" i="13"/>
  <c r="A7" i="12"/>
  <c r="D7" i="12" s="1"/>
  <c r="A8" i="12"/>
  <c r="C8" i="12" s="1"/>
  <c r="A9" i="12"/>
  <c r="A10" i="12"/>
  <c r="G10" i="12" s="1"/>
  <c r="A11" i="12"/>
  <c r="D11" i="12" s="1"/>
  <c r="A12" i="12"/>
  <c r="A13" i="12"/>
  <c r="F13" i="12" s="1"/>
  <c r="A14" i="12"/>
  <c r="A15" i="12"/>
  <c r="F15" i="12" s="1"/>
  <c r="A16" i="12"/>
  <c r="C16" i="12" s="1"/>
  <c r="A17" i="12"/>
  <c r="C17" i="12" s="1"/>
  <c r="A18" i="12"/>
  <c r="A19" i="12"/>
  <c r="F19" i="12" s="1"/>
  <c r="A20" i="12"/>
  <c r="C20" i="12" s="1"/>
  <c r="A21" i="12"/>
  <c r="D21" i="12" s="1"/>
  <c r="A22" i="12"/>
  <c r="G22" i="12" s="1"/>
  <c r="A23" i="12"/>
  <c r="A24" i="12"/>
  <c r="C24" i="12" s="1"/>
  <c r="A25" i="12"/>
  <c r="E25" i="12" s="1"/>
  <c r="A26" i="12"/>
  <c r="A27" i="12"/>
  <c r="C27" i="12" s="1"/>
  <c r="A28" i="12"/>
  <c r="A29" i="12"/>
  <c r="F29" i="12" s="1"/>
  <c r="A30" i="12"/>
  <c r="C30" i="12" s="1"/>
  <c r="A31" i="12"/>
  <c r="C31" i="12" s="1"/>
  <c r="A32" i="12"/>
  <c r="C32" i="12" s="1"/>
  <c r="A33" i="12"/>
  <c r="A34" i="12"/>
  <c r="G34" i="12" s="1"/>
  <c r="A35" i="12"/>
  <c r="A36" i="12"/>
  <c r="B36" i="12" s="1"/>
  <c r="A37" i="12"/>
  <c r="A38" i="12"/>
  <c r="D38" i="12" s="1"/>
  <c r="A39" i="12"/>
  <c r="E39" i="12" s="1"/>
  <c r="A40" i="12"/>
  <c r="C40" i="12" s="1"/>
  <c r="A41" i="12"/>
  <c r="A42" i="12"/>
  <c r="A43" i="12"/>
  <c r="B43" i="12" s="1"/>
  <c r="A44" i="12"/>
  <c r="A45" i="12"/>
  <c r="B45" i="12" s="1"/>
  <c r="A46" i="12"/>
  <c r="E46" i="12" s="1"/>
  <c r="A47" i="12"/>
  <c r="D47" i="12" s="1"/>
  <c r="A48" i="12"/>
  <c r="A49" i="12"/>
  <c r="B49" i="12" s="1"/>
  <c r="A50" i="12"/>
  <c r="G50" i="12" s="1"/>
  <c r="A51" i="12"/>
  <c r="D51" i="12" s="1"/>
  <c r="A52" i="12"/>
  <c r="F52" i="12" s="1"/>
  <c r="A53" i="12"/>
  <c r="B53" i="12" s="1"/>
  <c r="A54" i="12"/>
  <c r="D54" i="12" s="1"/>
  <c r="A55" i="12"/>
  <c r="B55" i="12" s="1"/>
  <c r="A56" i="12"/>
  <c r="A57" i="12"/>
  <c r="C57" i="12" s="1"/>
  <c r="A58" i="12"/>
  <c r="A59" i="12"/>
  <c r="D59" i="12" s="1"/>
  <c r="A60" i="12"/>
  <c r="A61" i="12"/>
  <c r="B61" i="12" s="1"/>
  <c r="A62" i="12"/>
  <c r="A63" i="12"/>
  <c r="D63" i="12" s="1"/>
  <c r="A64" i="12"/>
  <c r="B64" i="12" s="1"/>
  <c r="A65" i="12"/>
  <c r="C65" i="12" s="1"/>
  <c r="A66" i="12"/>
  <c r="D66" i="12" s="1"/>
  <c r="A67" i="12"/>
  <c r="F67" i="12" s="1"/>
  <c r="A68" i="12"/>
  <c r="C68" i="12" s="1"/>
  <c r="A69" i="12"/>
  <c r="C69" i="12" s="1"/>
  <c r="A70" i="12"/>
  <c r="D70" i="12" s="1"/>
  <c r="A71" i="12"/>
  <c r="E71" i="12" s="1"/>
  <c r="A72" i="12"/>
  <c r="D72" i="12" s="1"/>
  <c r="A73" i="12"/>
  <c r="F73" i="12" s="1"/>
  <c r="A74" i="12"/>
  <c r="B74" i="12" s="1"/>
  <c r="A75" i="12"/>
  <c r="A76" i="12"/>
  <c r="F76" i="12" s="1"/>
  <c r="A77" i="12"/>
  <c r="B77" i="12" s="1"/>
  <c r="A78" i="12"/>
  <c r="C78" i="12" s="1"/>
  <c r="A79" i="12"/>
  <c r="E79" i="12" s="1"/>
  <c r="A80" i="12"/>
  <c r="A81" i="12"/>
  <c r="A82" i="12"/>
  <c r="C82" i="12" s="1"/>
  <c r="A83" i="12"/>
  <c r="F83" i="12" s="1"/>
  <c r="A84" i="12"/>
  <c r="A85" i="12"/>
  <c r="D85" i="12" s="1"/>
  <c r="A86" i="12"/>
  <c r="C86" i="12" s="1"/>
  <c r="A87" i="12"/>
  <c r="C87" i="12" s="1"/>
  <c r="A88" i="12"/>
  <c r="A89" i="12"/>
  <c r="A90" i="12"/>
  <c r="B90" i="12" s="1"/>
  <c r="A91" i="12"/>
  <c r="F91" i="12" s="1"/>
  <c r="A92" i="12"/>
  <c r="A93" i="12"/>
  <c r="A94" i="12"/>
  <c r="E94" i="12" s="1"/>
  <c r="A95" i="12"/>
  <c r="C95" i="12" s="1"/>
  <c r="A96" i="12"/>
  <c r="E96" i="12" s="1"/>
  <c r="A97" i="12"/>
  <c r="A98" i="12"/>
  <c r="G98" i="12" s="1"/>
  <c r="A99" i="12"/>
  <c r="C99" i="12" s="1"/>
  <c r="A100" i="12"/>
  <c r="C100" i="12" s="1"/>
  <c r="A101" i="12"/>
  <c r="A102" i="12"/>
  <c r="C102" i="12" s="1"/>
  <c r="A103" i="12"/>
  <c r="A104" i="12"/>
  <c r="C104" i="12" s="1"/>
  <c r="A105" i="12"/>
  <c r="E105" i="12" s="1"/>
  <c r="A106" i="12"/>
  <c r="C106" i="12" s="1"/>
  <c r="A107" i="12"/>
  <c r="C107" i="12" s="1"/>
  <c r="A108" i="12"/>
  <c r="C108" i="12" s="1"/>
  <c r="A109" i="12"/>
  <c r="C109" i="12" s="1"/>
  <c r="A110" i="12"/>
  <c r="E110" i="12" s="1"/>
  <c r="A111" i="12"/>
  <c r="C111" i="12" s="1"/>
  <c r="A112" i="12"/>
  <c r="C112" i="12" s="1"/>
  <c r="A113" i="12"/>
  <c r="D113" i="12" s="1"/>
  <c r="A114" i="12"/>
  <c r="E114" i="12" s="1"/>
  <c r="A115" i="12"/>
  <c r="C115" i="12" s="1"/>
  <c r="A116" i="12"/>
  <c r="C116" i="12" s="1"/>
  <c r="A117" i="12"/>
  <c r="F117" i="12" s="1"/>
  <c r="A118" i="12"/>
  <c r="E118" i="12" s="1"/>
  <c r="A119" i="12"/>
  <c r="E119" i="12" s="1"/>
  <c r="A120" i="12"/>
  <c r="C120" i="12" s="1"/>
  <c r="A121" i="12"/>
  <c r="D121" i="12" s="1"/>
  <c r="A122" i="12"/>
  <c r="B122" i="12" s="1"/>
  <c r="A123" i="12"/>
  <c r="C123" i="12" s="1"/>
  <c r="A124" i="12"/>
  <c r="A125" i="12"/>
  <c r="F125" i="12" s="1"/>
  <c r="A126" i="12"/>
  <c r="B126" i="12" s="1"/>
  <c r="A127" i="12"/>
  <c r="C127" i="12" s="1"/>
  <c r="A128" i="12"/>
  <c r="E128" i="12" s="1"/>
  <c r="A129" i="12"/>
  <c r="D129" i="12" s="1"/>
  <c r="A130" i="12"/>
  <c r="G130" i="12" s="1"/>
  <c r="A131" i="12"/>
  <c r="A132" i="12"/>
  <c r="C132" i="12" s="1"/>
  <c r="A133" i="12"/>
  <c r="A134" i="12"/>
  <c r="F134" i="12" s="1"/>
  <c r="A135" i="12"/>
  <c r="F135" i="12" s="1"/>
  <c r="A136" i="12"/>
  <c r="D136" i="12" s="1"/>
  <c r="A137" i="12"/>
  <c r="F137" i="12" s="1"/>
  <c r="A138" i="12"/>
  <c r="B138" i="12" s="1"/>
  <c r="A139" i="12"/>
  <c r="A140" i="12"/>
  <c r="A141" i="12"/>
  <c r="F141" i="12" s="1"/>
  <c r="A142" i="12"/>
  <c r="A143" i="12"/>
  <c r="D143" i="12" s="1"/>
  <c r="A144" i="12"/>
  <c r="E144" i="12" s="1"/>
  <c r="A145" i="12"/>
  <c r="A146" i="12"/>
  <c r="A147" i="12"/>
  <c r="E147" i="12" s="1"/>
  <c r="A148" i="12"/>
  <c r="E148" i="12" s="1"/>
  <c r="A149" i="12"/>
  <c r="C149" i="12" s="1"/>
  <c r="A150" i="12"/>
  <c r="A151" i="12"/>
  <c r="C151" i="12" s="1"/>
  <c r="A152" i="12"/>
  <c r="E152" i="12" s="1"/>
  <c r="A153" i="12"/>
  <c r="G153" i="12" s="1"/>
  <c r="A154" i="12"/>
  <c r="E154" i="12" s="1"/>
  <c r="A155" i="12"/>
  <c r="A156" i="12"/>
  <c r="C156" i="12" s="1"/>
  <c r="A157" i="12"/>
  <c r="F157" i="12" s="1"/>
  <c r="A158" i="12"/>
  <c r="E158" i="12" s="1"/>
  <c r="A159" i="12"/>
  <c r="E159" i="12" s="1"/>
  <c r="A160" i="12"/>
  <c r="A161" i="12"/>
  <c r="A162" i="12"/>
  <c r="E162" i="12" s="1"/>
  <c r="A163" i="12"/>
  <c r="A164" i="12"/>
  <c r="C164" i="12" s="1"/>
  <c r="A165" i="12"/>
  <c r="E165" i="12" s="1"/>
  <c r="A166" i="12"/>
  <c r="C166" i="12" s="1"/>
  <c r="A167" i="12"/>
  <c r="D167" i="12" s="1"/>
  <c r="A168" i="12"/>
  <c r="C168" i="12" s="1"/>
  <c r="A169" i="12"/>
  <c r="G169" i="12" s="1"/>
  <c r="A170" i="12"/>
  <c r="G170" i="12" s="1"/>
  <c r="A171" i="12"/>
  <c r="E171" i="12" s="1"/>
  <c r="A172" i="12"/>
  <c r="C172" i="12" s="1"/>
  <c r="A173" i="12"/>
  <c r="D173" i="12" s="1"/>
  <c r="A174" i="12"/>
  <c r="E174" i="12" s="1"/>
  <c r="A175" i="12"/>
  <c r="A176" i="12"/>
  <c r="A177" i="12"/>
  <c r="D177" i="12" s="1"/>
  <c r="A178" i="12"/>
  <c r="G178" i="12" s="1"/>
  <c r="A179" i="12"/>
  <c r="E179" i="12" s="1"/>
  <c r="A180" i="12"/>
  <c r="A181" i="12"/>
  <c r="A182" i="12"/>
  <c r="E182" i="12" s="1"/>
  <c r="A183" i="12"/>
  <c r="A184" i="12"/>
  <c r="A185" i="12"/>
  <c r="A186" i="12"/>
  <c r="A187" i="12"/>
  <c r="E187" i="12" s="1"/>
  <c r="A188" i="12"/>
  <c r="A189" i="12"/>
  <c r="B189" i="12" s="1"/>
  <c r="A190" i="12"/>
  <c r="G190" i="12" s="1"/>
  <c r="A7" i="11"/>
  <c r="E7" i="11" s="1"/>
  <c r="A8" i="11"/>
  <c r="L8" i="11" s="1"/>
  <c r="A9" i="11"/>
  <c r="A10" i="11"/>
  <c r="L10" i="11" s="1"/>
  <c r="A11" i="11"/>
  <c r="A12" i="11"/>
  <c r="F12" i="11" s="1"/>
  <c r="A13" i="11"/>
  <c r="A14" i="11"/>
  <c r="A15" i="11"/>
  <c r="E15" i="11" s="1"/>
  <c r="A16" i="11"/>
  <c r="A17" i="11"/>
  <c r="C17" i="11" s="1"/>
  <c r="A18" i="11"/>
  <c r="E18" i="11" s="1"/>
  <c r="A19" i="11"/>
  <c r="H19" i="11" s="1"/>
  <c r="A20" i="11"/>
  <c r="L20" i="11" s="1"/>
  <c r="A21" i="11"/>
  <c r="C21" i="11" s="1"/>
  <c r="A22" i="11"/>
  <c r="C22" i="11" s="1"/>
  <c r="A23" i="11"/>
  <c r="C23" i="11" s="1"/>
  <c r="A24" i="11"/>
  <c r="E24" i="11" s="1"/>
  <c r="A25" i="11"/>
  <c r="I25" i="11" s="1"/>
  <c r="A26" i="11"/>
  <c r="A27" i="11"/>
  <c r="G27" i="11" s="1"/>
  <c r="A28" i="11"/>
  <c r="L28" i="11" s="1"/>
  <c r="A29" i="11"/>
  <c r="B29" i="11" s="1"/>
  <c r="A30" i="11"/>
  <c r="A31" i="11"/>
  <c r="D31" i="11" s="1"/>
  <c r="A32" i="11"/>
  <c r="B32" i="11" s="1"/>
  <c r="A33" i="11"/>
  <c r="K33" i="11" s="1"/>
  <c r="A34" i="11"/>
  <c r="B34" i="11" s="1"/>
  <c r="A35" i="11"/>
  <c r="C35" i="11" s="1"/>
  <c r="A36" i="11"/>
  <c r="N36" i="11" s="1"/>
  <c r="A37" i="11"/>
  <c r="A38" i="11"/>
  <c r="C38" i="11" s="1"/>
  <c r="A39" i="11"/>
  <c r="C39" i="11" s="1"/>
  <c r="A40" i="11"/>
  <c r="B40" i="11" s="1"/>
  <c r="A41" i="11"/>
  <c r="B41" i="11" s="1"/>
  <c r="A42" i="11"/>
  <c r="C42" i="11" s="1"/>
  <c r="A43" i="11"/>
  <c r="D43" i="11" s="1"/>
  <c r="A44" i="11"/>
  <c r="B44" i="11" s="1"/>
  <c r="A45" i="11"/>
  <c r="B45" i="11" s="1"/>
  <c r="A46" i="11"/>
  <c r="B46" i="11" s="1"/>
  <c r="A47" i="11"/>
  <c r="A48" i="11"/>
  <c r="C48" i="11" s="1"/>
  <c r="A49" i="11"/>
  <c r="A50" i="11"/>
  <c r="F50" i="11" s="1"/>
  <c r="A51" i="11"/>
  <c r="B51" i="11" s="1"/>
  <c r="A52" i="11"/>
  <c r="I52" i="11" s="1"/>
  <c r="A53" i="11"/>
  <c r="D53" i="11" s="1"/>
  <c r="A54" i="11"/>
  <c r="E54" i="11" s="1"/>
  <c r="A55" i="11"/>
  <c r="B55" i="11" s="1"/>
  <c r="A56" i="11"/>
  <c r="A57" i="11"/>
  <c r="D57" i="11" s="1"/>
  <c r="A58" i="11"/>
  <c r="C58" i="11" s="1"/>
  <c r="A59" i="11"/>
  <c r="A60" i="11"/>
  <c r="C60" i="11" s="1"/>
  <c r="A61" i="11"/>
  <c r="K61" i="11" s="1"/>
  <c r="A62" i="11"/>
  <c r="F62" i="11" s="1"/>
  <c r="A63" i="11"/>
  <c r="E63" i="11" s="1"/>
  <c r="A64" i="11"/>
  <c r="B64" i="11" s="1"/>
  <c r="A65" i="11"/>
  <c r="I65" i="11" s="1"/>
  <c r="A66" i="11"/>
  <c r="E66" i="11" s="1"/>
  <c r="A67" i="11"/>
  <c r="E67" i="11" s="1"/>
  <c r="A68" i="11"/>
  <c r="C68" i="11" s="1"/>
  <c r="A69" i="11"/>
  <c r="I69" i="11" s="1"/>
  <c r="A70" i="11"/>
  <c r="E70" i="11" s="1"/>
  <c r="A71" i="11"/>
  <c r="C71" i="11" s="1"/>
  <c r="A72" i="11"/>
  <c r="C72" i="11" s="1"/>
  <c r="A73" i="11"/>
  <c r="G73" i="11" s="1"/>
  <c r="A74" i="11"/>
  <c r="E74" i="11" s="1"/>
  <c r="A75" i="11"/>
  <c r="C75" i="11" s="1"/>
  <c r="A76" i="11"/>
  <c r="C76" i="11" s="1"/>
  <c r="A77" i="11"/>
  <c r="E77" i="11" s="1"/>
  <c r="A78" i="11"/>
  <c r="A79" i="11"/>
  <c r="A80" i="11"/>
  <c r="C80" i="11" s="1"/>
  <c r="A81" i="11"/>
  <c r="K81" i="11" s="1"/>
  <c r="A82" i="11"/>
  <c r="C82" i="11" s="1"/>
  <c r="A83" i="11"/>
  <c r="C83" i="11" s="1"/>
  <c r="A84" i="11"/>
  <c r="C84" i="11" s="1"/>
  <c r="A85" i="11"/>
  <c r="I85" i="11" s="1"/>
  <c r="A86" i="11"/>
  <c r="E86" i="11" s="1"/>
  <c r="A87" i="11"/>
  <c r="A88" i="11"/>
  <c r="D88" i="11" s="1"/>
  <c r="A89" i="11"/>
  <c r="G89" i="11" s="1"/>
  <c r="A90" i="11"/>
  <c r="E90" i="11" s="1"/>
  <c r="A91" i="11"/>
  <c r="C91" i="11" s="1"/>
  <c r="A92" i="11"/>
  <c r="D92" i="11" s="1"/>
  <c r="A93" i="11"/>
  <c r="K93" i="11" s="1"/>
  <c r="A94" i="11"/>
  <c r="B94" i="11" s="1"/>
  <c r="A95" i="11"/>
  <c r="E95" i="11" s="1"/>
  <c r="A96" i="11"/>
  <c r="F96" i="11" s="1"/>
  <c r="A97" i="11"/>
  <c r="N97" i="11" s="1"/>
  <c r="A98" i="11"/>
  <c r="E98" i="11" s="1"/>
  <c r="A99" i="11"/>
  <c r="C99" i="11" s="1"/>
  <c r="A100" i="11"/>
  <c r="E100" i="11" s="1"/>
  <c r="A101" i="11"/>
  <c r="F101" i="11" s="1"/>
  <c r="A102" i="11"/>
  <c r="G102" i="11" s="1"/>
  <c r="A103" i="11"/>
  <c r="D103" i="11" s="1"/>
  <c r="A104" i="11"/>
  <c r="L104" i="11" s="1"/>
  <c r="A105" i="11"/>
  <c r="F105" i="11" s="1"/>
  <c r="A106" i="11"/>
  <c r="D106" i="11" s="1"/>
  <c r="A107" i="11"/>
  <c r="D107" i="11" s="1"/>
  <c r="A108" i="11"/>
  <c r="I108" i="11" s="1"/>
  <c r="A109" i="11"/>
  <c r="K109" i="11" s="1"/>
  <c r="A110" i="11"/>
  <c r="L110" i="11" s="1"/>
  <c r="A111" i="11"/>
  <c r="E111" i="11" s="1"/>
  <c r="A112" i="11"/>
  <c r="F112" i="11" s="1"/>
  <c r="A113" i="11"/>
  <c r="C113" i="11" s="1"/>
  <c r="A114" i="11"/>
  <c r="E114" i="11" s="1"/>
  <c r="A115" i="11"/>
  <c r="G115" i="11" s="1"/>
  <c r="A116" i="11"/>
  <c r="B116" i="11" s="1"/>
  <c r="A117" i="11"/>
  <c r="C117" i="11" s="1"/>
  <c r="A118" i="11"/>
  <c r="E118" i="11" s="1"/>
  <c r="A119" i="11"/>
  <c r="H119" i="11" s="1"/>
  <c r="A120" i="11"/>
  <c r="A121" i="11"/>
  <c r="G121" i="11" s="1"/>
  <c r="A122" i="11"/>
  <c r="B122" i="11" s="1"/>
  <c r="A123" i="11"/>
  <c r="C123" i="11" s="1"/>
  <c r="A124" i="11"/>
  <c r="B124" i="11" s="1"/>
  <c r="A125" i="11"/>
  <c r="B125" i="11" s="1"/>
  <c r="A126" i="11"/>
  <c r="B126" i="11" s="1"/>
  <c r="A127" i="11"/>
  <c r="E127" i="11" s="1"/>
  <c r="A128" i="11"/>
  <c r="F128" i="11" s="1"/>
  <c r="A129" i="11"/>
  <c r="C129" i="11" s="1"/>
  <c r="A130" i="11"/>
  <c r="I130" i="11" s="1"/>
  <c r="A131" i="11"/>
  <c r="M131" i="11" s="1"/>
  <c r="A132" i="11"/>
  <c r="B132" i="11" s="1"/>
  <c r="A133" i="11"/>
  <c r="E133" i="11" s="1"/>
  <c r="A134" i="11"/>
  <c r="G134" i="11" s="1"/>
  <c r="A135" i="11"/>
  <c r="M135" i="11" s="1"/>
  <c r="A136" i="11"/>
  <c r="B136" i="11" s="1"/>
  <c r="A137" i="11"/>
  <c r="D137" i="11" s="1"/>
  <c r="A138" i="11"/>
  <c r="I138" i="11" s="1"/>
  <c r="A139" i="11"/>
  <c r="M139" i="11" s="1"/>
  <c r="A140" i="11"/>
  <c r="F140" i="11" s="1"/>
  <c r="A141" i="11"/>
  <c r="E141" i="11" s="1"/>
  <c r="A142" i="11"/>
  <c r="C142" i="11" s="1"/>
  <c r="A143" i="11"/>
  <c r="E143" i="11" s="1"/>
  <c r="A144" i="11"/>
  <c r="B144" i="11" s="1"/>
  <c r="A145" i="11"/>
  <c r="D145" i="11" s="1"/>
  <c r="A146" i="11"/>
  <c r="C146" i="11" s="1"/>
  <c r="A147" i="11"/>
  <c r="B147" i="11" s="1"/>
  <c r="A148" i="11"/>
  <c r="B148" i="11" s="1"/>
  <c r="A149" i="11"/>
  <c r="A150" i="11"/>
  <c r="E150" i="11" s="1"/>
  <c r="A151" i="11"/>
  <c r="L151" i="11" s="1"/>
  <c r="A152" i="11"/>
  <c r="B152" i="11" s="1"/>
  <c r="A153" i="11"/>
  <c r="D153" i="11" s="1"/>
  <c r="A154" i="11"/>
  <c r="C154" i="11" s="1"/>
  <c r="A155" i="11"/>
  <c r="B155" i="11" s="1"/>
  <c r="A156" i="11"/>
  <c r="B156" i="11" s="1"/>
  <c r="A157" i="11"/>
  <c r="F157" i="11" s="1"/>
  <c r="A158" i="11"/>
  <c r="A159" i="11"/>
  <c r="L159" i="11" s="1"/>
  <c r="A160" i="11"/>
  <c r="B160" i="11" s="1"/>
  <c r="A161" i="11"/>
  <c r="A162" i="11"/>
  <c r="I162" i="11" s="1"/>
  <c r="A163" i="11"/>
  <c r="H163" i="11" s="1"/>
  <c r="A164" i="11"/>
  <c r="B164" i="11" s="1"/>
  <c r="A165" i="11"/>
  <c r="K165" i="11" s="1"/>
  <c r="A166" i="11"/>
  <c r="I166" i="11" s="1"/>
  <c r="A167" i="11"/>
  <c r="E167" i="11" s="1"/>
  <c r="A168" i="11"/>
  <c r="B168" i="11" s="1"/>
  <c r="A169" i="11"/>
  <c r="D169" i="11" s="1"/>
  <c r="A170" i="11"/>
  <c r="I170" i="11" s="1"/>
  <c r="A171" i="11"/>
  <c r="H171" i="11" s="1"/>
  <c r="A172" i="11"/>
  <c r="E172" i="11" s="1"/>
  <c r="A173" i="11"/>
  <c r="F173" i="11" s="1"/>
  <c r="A174" i="11"/>
  <c r="E174" i="11" s="1"/>
  <c r="A175" i="11"/>
  <c r="D175" i="11" s="1"/>
  <c r="A176" i="11"/>
  <c r="E176" i="11" s="1"/>
  <c r="A177" i="11"/>
  <c r="K177" i="11" s="1"/>
  <c r="A178" i="11"/>
  <c r="A179" i="11"/>
  <c r="D179" i="11" s="1"/>
  <c r="A180" i="11"/>
  <c r="E180" i="11" s="1"/>
  <c r="A181" i="11"/>
  <c r="K181" i="11" s="1"/>
  <c r="A182" i="11"/>
  <c r="I182" i="11" s="1"/>
  <c r="A183" i="11"/>
  <c r="H183" i="11" s="1"/>
  <c r="A184" i="11"/>
  <c r="E184" i="11" s="1"/>
  <c r="A185" i="11"/>
  <c r="A186" i="11"/>
  <c r="C186" i="11" s="1"/>
  <c r="A187" i="11"/>
  <c r="E187" i="11" s="1"/>
  <c r="A188" i="11"/>
  <c r="B188" i="11" s="1"/>
  <c r="A189" i="11"/>
  <c r="D189" i="11" s="1"/>
  <c r="A7" i="10"/>
  <c r="D7" i="10" s="1"/>
  <c r="A8" i="10"/>
  <c r="B8" i="10" s="1"/>
  <c r="A9" i="10"/>
  <c r="E9" i="10" s="1"/>
  <c r="A10" i="10"/>
  <c r="B10" i="10" s="1"/>
  <c r="A11" i="10"/>
  <c r="C11" i="10" s="1"/>
  <c r="A12" i="10"/>
  <c r="G12" i="10" s="1"/>
  <c r="A13" i="10"/>
  <c r="D13" i="10" s="1"/>
  <c r="A14" i="10"/>
  <c r="B14" i="10" s="1"/>
  <c r="A15" i="10"/>
  <c r="B15" i="10" s="1"/>
  <c r="A16" i="10"/>
  <c r="G16" i="10" s="1"/>
  <c r="A17" i="10"/>
  <c r="B17" i="10" s="1"/>
  <c r="A18" i="10"/>
  <c r="F18" i="10" s="1"/>
  <c r="A19" i="10"/>
  <c r="E19" i="10" s="1"/>
  <c r="A20" i="10"/>
  <c r="C20" i="10" s="1"/>
  <c r="A21" i="10"/>
  <c r="F21" i="10" s="1"/>
  <c r="A22" i="10"/>
  <c r="B22" i="10" s="1"/>
  <c r="A23" i="10"/>
  <c r="A24" i="10"/>
  <c r="D24" i="10" s="1"/>
  <c r="A25" i="10"/>
  <c r="C25" i="10" s="1"/>
  <c r="A26" i="10"/>
  <c r="B26" i="10" s="1"/>
  <c r="A27" i="10"/>
  <c r="A28" i="10"/>
  <c r="A29" i="10"/>
  <c r="E29" i="10" s="1"/>
  <c r="A30" i="10"/>
  <c r="B30" i="10" s="1"/>
  <c r="A31" i="10"/>
  <c r="E31" i="10" s="1"/>
  <c r="A32" i="10"/>
  <c r="F32" i="10" s="1"/>
  <c r="A33" i="10"/>
  <c r="E33" i="10" s="1"/>
  <c r="A34" i="10"/>
  <c r="B34" i="10" s="1"/>
  <c r="A35" i="10"/>
  <c r="A36" i="10"/>
  <c r="A37" i="10"/>
  <c r="C37" i="10" s="1"/>
  <c r="A38" i="10"/>
  <c r="B38" i="10" s="1"/>
  <c r="A39" i="10"/>
  <c r="E39" i="10" s="1"/>
  <c r="A40" i="10"/>
  <c r="D40" i="10" s="1"/>
  <c r="A41" i="10"/>
  <c r="B41" i="10" s="1"/>
  <c r="A42" i="10"/>
  <c r="B42" i="10" s="1"/>
  <c r="A43" i="10"/>
  <c r="A44" i="10"/>
  <c r="D44" i="10" s="1"/>
  <c r="A45" i="10"/>
  <c r="D45" i="10" s="1"/>
  <c r="A46" i="10"/>
  <c r="B46" i="10" s="1"/>
  <c r="A47" i="10"/>
  <c r="A48" i="10"/>
  <c r="N48" i="10" s="1"/>
  <c r="A49" i="10"/>
  <c r="B49" i="10" s="1"/>
  <c r="A50" i="10"/>
  <c r="B50" i="10" s="1"/>
  <c r="A51" i="10"/>
  <c r="A52" i="10"/>
  <c r="D52" i="10" s="1"/>
  <c r="A53" i="10"/>
  <c r="B53" i="10" s="1"/>
  <c r="A54" i="10"/>
  <c r="E54" i="10" s="1"/>
  <c r="A55" i="10"/>
  <c r="E55" i="10" s="1"/>
  <c r="A56" i="10"/>
  <c r="D56" i="10" s="1"/>
  <c r="A57" i="10"/>
  <c r="B57" i="10" s="1"/>
  <c r="A58" i="10"/>
  <c r="A59" i="10"/>
  <c r="A60" i="10"/>
  <c r="C60" i="10" s="1"/>
  <c r="A61" i="10"/>
  <c r="B61" i="10" s="1"/>
  <c r="A62" i="10"/>
  <c r="B62" i="10" s="1"/>
  <c r="A63" i="10"/>
  <c r="E63" i="10" s="1"/>
  <c r="A64" i="10"/>
  <c r="A65" i="10"/>
  <c r="B65" i="10" s="1"/>
  <c r="A66" i="10"/>
  <c r="A67" i="10"/>
  <c r="A68" i="10"/>
  <c r="D68" i="10" s="1"/>
  <c r="A69" i="10"/>
  <c r="D69" i="10" s="1"/>
  <c r="A70" i="10"/>
  <c r="B70" i="10" s="1"/>
  <c r="A71" i="10"/>
  <c r="E71" i="10" s="1"/>
  <c r="A72" i="10"/>
  <c r="D72" i="10" s="1"/>
  <c r="A73" i="10"/>
  <c r="A74" i="10"/>
  <c r="A75" i="10"/>
  <c r="A76" i="10"/>
  <c r="K76" i="10" s="1"/>
  <c r="A77" i="10"/>
  <c r="C77" i="10" s="1"/>
  <c r="A78" i="10"/>
  <c r="A79" i="10"/>
  <c r="E79" i="10" s="1"/>
  <c r="A80" i="10"/>
  <c r="D80" i="10" s="1"/>
  <c r="A81" i="10"/>
  <c r="I81" i="10" s="1"/>
  <c r="A82" i="10"/>
  <c r="E82" i="10" s="1"/>
  <c r="A83" i="10"/>
  <c r="A84" i="10"/>
  <c r="C84" i="10" s="1"/>
  <c r="A85" i="10"/>
  <c r="C85" i="10" s="1"/>
  <c r="A86" i="10"/>
  <c r="B86" i="10" s="1"/>
  <c r="A87" i="10"/>
  <c r="E87" i="10" s="1"/>
  <c r="A88" i="10"/>
  <c r="D88" i="10" s="1"/>
  <c r="A89" i="10"/>
  <c r="C89" i="10" s="1"/>
  <c r="A90" i="10"/>
  <c r="I90" i="10" s="1"/>
  <c r="A91" i="10"/>
  <c r="A92" i="10"/>
  <c r="A93" i="10"/>
  <c r="B93" i="10" s="1"/>
  <c r="A94" i="10"/>
  <c r="B94" i="10" s="1"/>
  <c r="A95" i="10"/>
  <c r="A96" i="10"/>
  <c r="D96" i="10" s="1"/>
  <c r="A97" i="10"/>
  <c r="I97" i="10" s="1"/>
  <c r="A98" i="10"/>
  <c r="L98" i="10" s="1"/>
  <c r="A99" i="10"/>
  <c r="A100" i="10"/>
  <c r="B100" i="10" s="1"/>
  <c r="A101" i="10"/>
  <c r="I101" i="10" s="1"/>
  <c r="A102" i="10"/>
  <c r="A103" i="10"/>
  <c r="E103" i="10" s="1"/>
  <c r="A104" i="10"/>
  <c r="E104" i="10" s="1"/>
  <c r="A105" i="10"/>
  <c r="A106" i="10"/>
  <c r="E106" i="10" s="1"/>
  <c r="A107" i="10"/>
  <c r="A108" i="10"/>
  <c r="C108" i="10" s="1"/>
  <c r="A109" i="10"/>
  <c r="C109" i="10" s="1"/>
  <c r="A110" i="10"/>
  <c r="B110" i="10" s="1"/>
  <c r="A111" i="10"/>
  <c r="A112" i="10"/>
  <c r="A113" i="10"/>
  <c r="C113" i="10" s="1"/>
  <c r="A114" i="10"/>
  <c r="B114" i="10" s="1"/>
  <c r="A115" i="10"/>
  <c r="A116" i="10"/>
  <c r="A117" i="10"/>
  <c r="E117" i="10" s="1"/>
  <c r="A118" i="10"/>
  <c r="A119" i="10"/>
  <c r="B119" i="10" s="1"/>
  <c r="A120" i="10"/>
  <c r="D120" i="10" s="1"/>
  <c r="A121" i="10"/>
  <c r="C121" i="10" s="1"/>
  <c r="A122" i="10"/>
  <c r="H122" i="10" s="1"/>
  <c r="A123" i="10"/>
  <c r="I123" i="10" s="1"/>
  <c r="A124" i="10"/>
  <c r="A125" i="10"/>
  <c r="C125" i="10" s="1"/>
  <c r="A126" i="10"/>
  <c r="H126" i="10" s="1"/>
  <c r="A127" i="10"/>
  <c r="I127" i="10" s="1"/>
  <c r="A128" i="10"/>
  <c r="I128" i="10" s="1"/>
  <c r="A129" i="10"/>
  <c r="I129" i="10" s="1"/>
  <c r="A130" i="10"/>
  <c r="A131" i="10"/>
  <c r="A132" i="10"/>
  <c r="D132" i="10" s="1"/>
  <c r="A133" i="10"/>
  <c r="B133" i="10" s="1"/>
  <c r="A134" i="10"/>
  <c r="E134" i="10" s="1"/>
  <c r="A135" i="10"/>
  <c r="A136" i="10"/>
  <c r="B136" i="10" s="1"/>
  <c r="A137" i="10"/>
  <c r="L137" i="10" s="1"/>
  <c r="A138" i="10"/>
  <c r="D138" i="10" s="1"/>
  <c r="A139" i="10"/>
  <c r="A140" i="10"/>
  <c r="A141" i="10"/>
  <c r="E141" i="10" s="1"/>
  <c r="A142" i="10"/>
  <c r="D142" i="10" s="1"/>
  <c r="A143" i="10"/>
  <c r="E143" i="10" s="1"/>
  <c r="A144" i="10"/>
  <c r="C144" i="10" s="1"/>
  <c r="A145" i="10"/>
  <c r="C145" i="10" s="1"/>
  <c r="A146" i="10"/>
  <c r="A147" i="10"/>
  <c r="A148" i="10"/>
  <c r="A149" i="10"/>
  <c r="A150" i="10"/>
  <c r="A151" i="10"/>
  <c r="L151" i="10" s="1"/>
  <c r="A152" i="10"/>
  <c r="A153" i="10"/>
  <c r="B153" i="10" s="1"/>
  <c r="A154" i="10"/>
  <c r="D154" i="10" s="1"/>
  <c r="A155" i="10"/>
  <c r="F155" i="10" s="1"/>
  <c r="A156" i="10"/>
  <c r="C156" i="10" s="1"/>
  <c r="A157" i="10"/>
  <c r="D157" i="10" s="1"/>
  <c r="A158" i="10"/>
  <c r="E158" i="10" s="1"/>
  <c r="A159" i="10"/>
  <c r="L159" i="10" s="1"/>
  <c r="A160" i="10"/>
  <c r="A161" i="10"/>
  <c r="B161" i="10" s="1"/>
  <c r="A162" i="10"/>
  <c r="A163" i="10"/>
  <c r="A164" i="10"/>
  <c r="C164" i="10" s="1"/>
  <c r="A165" i="10"/>
  <c r="A166" i="10"/>
  <c r="L166" i="10" s="1"/>
  <c r="A167" i="10"/>
  <c r="D167" i="10" s="1"/>
  <c r="A168" i="10"/>
  <c r="A169" i="10"/>
  <c r="C169" i="10" s="1"/>
  <c r="A170" i="10"/>
  <c r="A171" i="10"/>
  <c r="D171" i="10" s="1"/>
  <c r="A172" i="10"/>
  <c r="C172" i="10" s="1"/>
  <c r="A173" i="10"/>
  <c r="A174" i="10"/>
  <c r="E174" i="10" s="1"/>
  <c r="A175" i="10"/>
  <c r="A176" i="10"/>
  <c r="B176" i="10" s="1"/>
  <c r="A177" i="10"/>
  <c r="A178" i="10"/>
  <c r="L178" i="10" s="1"/>
  <c r="A179" i="10"/>
  <c r="M179" i="10" s="1"/>
  <c r="A180" i="10"/>
  <c r="C180" i="10" s="1"/>
  <c r="A181" i="10"/>
  <c r="I181" i="10" s="1"/>
  <c r="A182" i="10"/>
  <c r="H182" i="10" s="1"/>
  <c r="A183" i="10"/>
  <c r="A184" i="10"/>
  <c r="M184" i="10" s="1"/>
  <c r="A185" i="10"/>
  <c r="C185" i="10" s="1"/>
  <c r="A186" i="10"/>
  <c r="L186" i="10" s="1"/>
  <c r="A187" i="10"/>
  <c r="F187" i="10" s="1"/>
  <c r="A188" i="10"/>
  <c r="A189" i="10"/>
  <c r="I189" i="10" s="1"/>
  <c r="A7" i="8"/>
  <c r="D7" i="8" s="1"/>
  <c r="A8" i="8"/>
  <c r="F8" i="8" s="1"/>
  <c r="A9" i="8"/>
  <c r="G9" i="8" s="1"/>
  <c r="A10" i="8"/>
  <c r="A11" i="8"/>
  <c r="A12" i="8"/>
  <c r="A13" i="8"/>
  <c r="A14" i="8"/>
  <c r="F14" i="8" s="1"/>
  <c r="A15" i="8"/>
  <c r="A16" i="8"/>
  <c r="I16" i="8" s="1"/>
  <c r="A17" i="8"/>
  <c r="D17" i="8" s="1"/>
  <c r="A18" i="8"/>
  <c r="C18" i="8" s="1"/>
  <c r="A19" i="8"/>
  <c r="D19" i="8" s="1"/>
  <c r="A20" i="8"/>
  <c r="C20" i="8" s="1"/>
  <c r="A21" i="8"/>
  <c r="D21" i="8" s="1"/>
  <c r="A22" i="8"/>
  <c r="C22" i="8" s="1"/>
  <c r="A23" i="8"/>
  <c r="D23" i="8" s="1"/>
  <c r="A24" i="8"/>
  <c r="F24" i="8" s="1"/>
  <c r="A25" i="8"/>
  <c r="G25" i="8" s="1"/>
  <c r="A26" i="8"/>
  <c r="C26" i="8" s="1"/>
  <c r="A27" i="8"/>
  <c r="D27" i="8" s="1"/>
  <c r="A28" i="8"/>
  <c r="A29" i="8"/>
  <c r="A30" i="8"/>
  <c r="G30" i="8" s="1"/>
  <c r="A31" i="8"/>
  <c r="D31" i="8" s="1"/>
  <c r="A32" i="8"/>
  <c r="I32" i="8" s="1"/>
  <c r="A33" i="8"/>
  <c r="D33" i="8" s="1"/>
  <c r="A34" i="8"/>
  <c r="C34" i="8" s="1"/>
  <c r="A35" i="8"/>
  <c r="D35" i="8" s="1"/>
  <c r="A36" i="8"/>
  <c r="A37" i="8"/>
  <c r="G37" i="8" s="1"/>
  <c r="A38" i="8"/>
  <c r="C38" i="8" s="1"/>
  <c r="A39" i="8"/>
  <c r="D39" i="8" s="1"/>
  <c r="A40" i="8"/>
  <c r="C40" i="8" s="1"/>
  <c r="A41" i="8"/>
  <c r="D41" i="8" s="1"/>
  <c r="A42" i="8"/>
  <c r="A43" i="8"/>
  <c r="A44" i="8"/>
  <c r="F44" i="8" s="1"/>
  <c r="A45" i="8"/>
  <c r="A46" i="8"/>
  <c r="A47" i="8"/>
  <c r="G47" i="8" s="1"/>
  <c r="A48" i="8"/>
  <c r="C48" i="8" s="1"/>
  <c r="A49" i="8"/>
  <c r="D49" i="8" s="1"/>
  <c r="A50" i="8"/>
  <c r="C50" i="8" s="1"/>
  <c r="A51" i="8"/>
  <c r="D51" i="8" s="1"/>
  <c r="A52" i="8"/>
  <c r="F52" i="8" s="1"/>
  <c r="A53" i="8"/>
  <c r="A54" i="8"/>
  <c r="G54" i="8" s="1"/>
  <c r="A55" i="8"/>
  <c r="D55" i="8" s="1"/>
  <c r="A56" i="8"/>
  <c r="F56" i="8" s="1"/>
  <c r="A7" i="6"/>
  <c r="A7" i="7" s="1"/>
  <c r="C7" i="7" s="1"/>
  <c r="A8" i="6"/>
  <c r="C8" i="6" s="1"/>
  <c r="A9" i="6"/>
  <c r="E9" i="6" s="1"/>
  <c r="A10" i="6"/>
  <c r="G10" i="6" s="1"/>
  <c r="A11" i="6"/>
  <c r="B11" i="6" s="1"/>
  <c r="A12" i="6"/>
  <c r="A12" i="7" s="1"/>
  <c r="E12" i="7" s="1"/>
  <c r="A13" i="6"/>
  <c r="I13" i="6" s="1"/>
  <c r="A14" i="6"/>
  <c r="A14" i="7" s="1"/>
  <c r="A15" i="6"/>
  <c r="A16" i="6"/>
  <c r="C16" i="6" s="1"/>
  <c r="A17" i="6"/>
  <c r="B17" i="6" s="1"/>
  <c r="A18" i="6"/>
  <c r="A18" i="7" s="1"/>
  <c r="A19" i="6"/>
  <c r="A19" i="7" s="1"/>
  <c r="A20" i="6"/>
  <c r="A20" i="7" s="1"/>
  <c r="I20" i="7" s="1"/>
  <c r="A21" i="6"/>
  <c r="D21" i="6" s="1"/>
  <c r="A22" i="6"/>
  <c r="D22" i="6" s="1"/>
  <c r="A23" i="6"/>
  <c r="I23" i="6" s="1"/>
  <c r="A24" i="6"/>
  <c r="E24" i="6" s="1"/>
  <c r="A25" i="6"/>
  <c r="D25" i="6" s="1"/>
  <c r="A26" i="6"/>
  <c r="G26" i="6" s="1"/>
  <c r="A27" i="6"/>
  <c r="A27" i="7" s="1"/>
  <c r="B27" i="7" s="1"/>
  <c r="A28" i="6"/>
  <c r="A29" i="6"/>
  <c r="F29" i="6" s="1"/>
  <c r="A30" i="6"/>
  <c r="M30" i="6" s="1"/>
  <c r="A31" i="6"/>
  <c r="A31" i="7" s="1"/>
  <c r="B31" i="7" s="1"/>
  <c r="A32" i="6"/>
  <c r="L32" i="6" s="1"/>
  <c r="A33" i="6"/>
  <c r="B33" i="6" s="1"/>
  <c r="A34" i="6"/>
  <c r="C34" i="6" s="1"/>
  <c r="A35" i="6"/>
  <c r="C35" i="6" s="1"/>
  <c r="A36" i="6"/>
  <c r="G36" i="6" s="1"/>
  <c r="A37" i="6"/>
  <c r="L37" i="6" s="1"/>
  <c r="A38" i="6"/>
  <c r="B38" i="6" s="1"/>
  <c r="A39" i="6"/>
  <c r="C39" i="6" s="1"/>
  <c r="A40" i="6"/>
  <c r="L40" i="6" s="1"/>
  <c r="A41" i="6"/>
  <c r="A41" i="7" s="1"/>
  <c r="H41" i="7" s="1"/>
  <c r="A42" i="6"/>
  <c r="A42" i="7" s="1"/>
  <c r="B42" i="7" s="1"/>
  <c r="A43" i="6"/>
  <c r="C43" i="6" s="1"/>
  <c r="A44" i="6"/>
  <c r="L44" i="6" s="1"/>
  <c r="A45" i="6"/>
  <c r="D45" i="6" s="1"/>
  <c r="A46" i="6"/>
  <c r="I46" i="6" s="1"/>
  <c r="A47" i="6"/>
  <c r="D47" i="6" s="1"/>
  <c r="A48" i="6"/>
  <c r="I48" i="6" s="1"/>
  <c r="A49" i="6"/>
  <c r="L49" i="6" s="1"/>
  <c r="A50" i="6"/>
  <c r="K50" i="6" s="1"/>
  <c r="A51" i="6"/>
  <c r="K51" i="6" s="1"/>
  <c r="A52" i="6"/>
  <c r="E52" i="6" s="1"/>
  <c r="A53" i="6"/>
  <c r="I53" i="6" s="1"/>
  <c r="A54" i="6"/>
  <c r="A55" i="6"/>
  <c r="B55" i="6" s="1"/>
  <c r="A56" i="6"/>
  <c r="O56" i="6" s="1"/>
  <c r="A57" i="6"/>
  <c r="F57" i="6" s="1"/>
  <c r="A58" i="6"/>
  <c r="K58" i="6" s="1"/>
  <c r="A59" i="6"/>
  <c r="F59" i="6" s="1"/>
  <c r="A60" i="6"/>
  <c r="E60" i="6" s="1"/>
  <c r="A61" i="6"/>
  <c r="L61" i="6" s="1"/>
  <c r="A62" i="6"/>
  <c r="A63" i="6"/>
  <c r="A63" i="7" s="1"/>
  <c r="A64" i="6"/>
  <c r="A64" i="7" s="1"/>
  <c r="C64" i="7" s="1"/>
  <c r="A65" i="6"/>
  <c r="E65" i="6" s="1"/>
  <c r="A66" i="6"/>
  <c r="A67" i="6"/>
  <c r="E67" i="6" s="1"/>
  <c r="A68" i="6"/>
  <c r="K68" i="6" s="1"/>
  <c r="A69" i="6"/>
  <c r="F69" i="6" s="1"/>
  <c r="A70" i="6"/>
  <c r="I70" i="6" s="1"/>
  <c r="A71" i="6"/>
  <c r="A71" i="7" s="1"/>
  <c r="C71" i="7" s="1"/>
  <c r="A72" i="6"/>
  <c r="A72" i="7" s="1"/>
  <c r="L72" i="7" s="1"/>
  <c r="A73" i="6"/>
  <c r="J73" i="6" s="1"/>
  <c r="A74" i="6"/>
  <c r="I74" i="6" s="1"/>
  <c r="A75" i="6"/>
  <c r="E75" i="6" s="1"/>
  <c r="A76" i="6"/>
  <c r="A77" i="6"/>
  <c r="D77" i="6" s="1"/>
  <c r="A78" i="6"/>
  <c r="I78" i="6" s="1"/>
  <c r="A79" i="6"/>
  <c r="A79" i="7" s="1"/>
  <c r="F79" i="7" s="1"/>
  <c r="A80" i="6"/>
  <c r="C80" i="6" s="1"/>
  <c r="A81" i="6"/>
  <c r="A81" i="7" s="1"/>
  <c r="L81" i="7" s="1"/>
  <c r="A82" i="6"/>
  <c r="I82" i="6" s="1"/>
  <c r="A83" i="6"/>
  <c r="A83" i="7" s="1"/>
  <c r="A84" i="6"/>
  <c r="C84" i="6" s="1"/>
  <c r="A85" i="6"/>
  <c r="F85" i="6" s="1"/>
  <c r="A86" i="6"/>
  <c r="I86" i="6" s="1"/>
  <c r="A87" i="6"/>
  <c r="L87" i="6" s="1"/>
  <c r="A88" i="6"/>
  <c r="C88" i="6" s="1"/>
  <c r="A89" i="6"/>
  <c r="B89" i="6" s="1"/>
  <c r="A90" i="6"/>
  <c r="I90" i="6" s="1"/>
  <c r="A91" i="6"/>
  <c r="C91" i="6" s="1"/>
  <c r="A92" i="6"/>
  <c r="G92" i="6" s="1"/>
  <c r="A93" i="6"/>
  <c r="A93" i="7" s="1"/>
  <c r="O93" i="7" s="1"/>
  <c r="A94" i="6"/>
  <c r="M94" i="6" s="1"/>
  <c r="A95" i="6"/>
  <c r="A95" i="7" s="1"/>
  <c r="B95" i="7" s="1"/>
  <c r="A96" i="6"/>
  <c r="K96" i="6" s="1"/>
  <c r="A97" i="6"/>
  <c r="E97" i="6" s="1"/>
  <c r="A98" i="6"/>
  <c r="I98" i="6" s="1"/>
  <c r="A99" i="6"/>
  <c r="E99" i="6" s="1"/>
  <c r="A100" i="6"/>
  <c r="G100" i="6" s="1"/>
  <c r="A101" i="6"/>
  <c r="L101" i="6" s="1"/>
  <c r="A102" i="6"/>
  <c r="A103" i="6"/>
  <c r="D103" i="6" s="1"/>
  <c r="A104" i="6"/>
  <c r="C104" i="6" s="1"/>
  <c r="A105" i="6"/>
  <c r="B105" i="6" s="1"/>
  <c r="A106" i="6"/>
  <c r="I106" i="6" s="1"/>
  <c r="A107" i="6"/>
  <c r="C107" i="6" s="1"/>
  <c r="A108" i="6"/>
  <c r="G108" i="6" s="1"/>
  <c r="A109" i="6"/>
  <c r="E109" i="6" s="1"/>
  <c r="A110" i="6"/>
  <c r="A111" i="6"/>
  <c r="C111" i="6" s="1"/>
  <c r="A112" i="6"/>
  <c r="A112" i="7" s="1"/>
  <c r="H112" i="7" s="1"/>
  <c r="A113" i="6"/>
  <c r="F113" i="6" s="1"/>
  <c r="A114" i="6"/>
  <c r="J114" i="6" s="1"/>
  <c r="A115" i="6"/>
  <c r="B115" i="6" s="1"/>
  <c r="A116" i="6"/>
  <c r="G116" i="6" s="1"/>
  <c r="A117" i="6"/>
  <c r="D117" i="6" s="1"/>
  <c r="A118" i="6"/>
  <c r="F118" i="6" s="1"/>
  <c r="A119" i="6"/>
  <c r="B119" i="6" s="1"/>
  <c r="A120" i="6"/>
  <c r="E120" i="6" s="1"/>
  <c r="A121" i="6"/>
  <c r="I121" i="6" s="1"/>
  <c r="A122" i="6"/>
  <c r="C122" i="6" s="1"/>
  <c r="A123" i="6"/>
  <c r="B123" i="6" s="1"/>
  <c r="A124" i="6"/>
  <c r="G124" i="6" s="1"/>
  <c r="A125" i="6"/>
  <c r="A126" i="6"/>
  <c r="F126" i="6" s="1"/>
  <c r="A127" i="6"/>
  <c r="C127" i="6" s="1"/>
  <c r="A128" i="6"/>
  <c r="O128" i="6" s="1"/>
  <c r="A129" i="6"/>
  <c r="L129" i="6" s="1"/>
  <c r="A130" i="6"/>
  <c r="B130" i="6" s="1"/>
  <c r="A131" i="6"/>
  <c r="C131" i="6" s="1"/>
  <c r="A132" i="6"/>
  <c r="C132" i="6" s="1"/>
  <c r="A133" i="6"/>
  <c r="D133" i="6" s="1"/>
  <c r="A134" i="6"/>
  <c r="K134" i="6" s="1"/>
  <c r="A135" i="6"/>
  <c r="A136" i="6"/>
  <c r="E136" i="6" s="1"/>
  <c r="A137" i="6"/>
  <c r="B137" i="6" s="1"/>
  <c r="A138" i="6"/>
  <c r="A138" i="7" s="1"/>
  <c r="F138" i="7" s="1"/>
  <c r="A139" i="6"/>
  <c r="B139" i="6" s="1"/>
  <c r="A140" i="6"/>
  <c r="G140" i="6" s="1"/>
  <c r="A141" i="6"/>
  <c r="A142" i="6"/>
  <c r="B142" i="6" s="1"/>
  <c r="A143" i="6"/>
  <c r="A143" i="7" s="1"/>
  <c r="F143" i="7" s="1"/>
  <c r="A144" i="6"/>
  <c r="H144" i="6" s="1"/>
  <c r="A145" i="6"/>
  <c r="F145" i="6" s="1"/>
  <c r="A146" i="6"/>
  <c r="E146" i="6" s="1"/>
  <c r="A147" i="6"/>
  <c r="A148" i="6"/>
  <c r="I148" i="6" s="1"/>
  <c r="A149" i="6"/>
  <c r="E149" i="6" s="1"/>
  <c r="A150" i="6"/>
  <c r="A151" i="6"/>
  <c r="F151" i="6" s="1"/>
  <c r="A152" i="6"/>
  <c r="A152" i="7" s="1"/>
  <c r="G152" i="7" s="1"/>
  <c r="A153" i="6"/>
  <c r="C153" i="6" s="1"/>
  <c r="A154" i="6"/>
  <c r="E154" i="6" s="1"/>
  <c r="A155" i="6"/>
  <c r="B155" i="6" s="1"/>
  <c r="A156" i="6"/>
  <c r="B156" i="6" s="1"/>
  <c r="A157" i="6"/>
  <c r="A157" i="7" s="1"/>
  <c r="A158" i="6"/>
  <c r="E158" i="6" s="1"/>
  <c r="A159" i="6"/>
  <c r="D159" i="6" s="1"/>
  <c r="A160" i="6"/>
  <c r="A161" i="6"/>
  <c r="N161" i="6" s="1"/>
  <c r="A162" i="6"/>
  <c r="E162" i="6" s="1"/>
  <c r="A163" i="6"/>
  <c r="D163" i="6" s="1"/>
  <c r="A164" i="6"/>
  <c r="A165" i="6"/>
  <c r="H165" i="6" s="1"/>
  <c r="A166" i="6"/>
  <c r="E166" i="6" s="1"/>
  <c r="A167" i="6"/>
  <c r="D167" i="6" s="1"/>
  <c r="A168" i="6"/>
  <c r="B168" i="6" s="1"/>
  <c r="A169" i="6"/>
  <c r="B169" i="6" s="1"/>
  <c r="A170" i="6"/>
  <c r="E170" i="6" s="1"/>
  <c r="A171" i="6"/>
  <c r="F171" i="6" s="1"/>
  <c r="A172" i="6"/>
  <c r="A173" i="6"/>
  <c r="G173" i="6" s="1"/>
  <c r="A174" i="6"/>
  <c r="E174" i="6" s="1"/>
  <c r="A175" i="6"/>
  <c r="C175" i="6" s="1"/>
  <c r="A176" i="6"/>
  <c r="C176" i="6" s="1"/>
  <c r="A177" i="6"/>
  <c r="B177" i="6" s="1"/>
  <c r="A178" i="6"/>
  <c r="E178" i="6" s="1"/>
  <c r="A179" i="6"/>
  <c r="D179" i="6" s="1"/>
  <c r="A180" i="6"/>
  <c r="D180" i="6" s="1"/>
  <c r="A181" i="6"/>
  <c r="B181" i="6" s="1"/>
  <c r="A182" i="6"/>
  <c r="E182" i="6" s="1"/>
  <c r="A183" i="6"/>
  <c r="C183" i="6" s="1"/>
  <c r="A184" i="6"/>
  <c r="I184" i="6" s="1"/>
  <c r="A185" i="6"/>
  <c r="A185" i="7" s="1"/>
  <c r="F185" i="7" s="1"/>
  <c r="A186" i="6"/>
  <c r="E186" i="6" s="1"/>
  <c r="A187" i="6"/>
  <c r="A188" i="6"/>
  <c r="I188" i="6" s="1"/>
  <c r="A189" i="6"/>
  <c r="A189" i="7" s="1"/>
  <c r="B189" i="7" s="1"/>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A7" i="3"/>
  <c r="C7" i="3" s="1"/>
  <c r="A8" i="3"/>
  <c r="O8" i="3" s="1"/>
  <c r="A9" i="3"/>
  <c r="C9" i="3" s="1"/>
  <c r="A10" i="3"/>
  <c r="M10" i="3" s="1"/>
  <c r="A11" i="3"/>
  <c r="Q11" i="3" s="1"/>
  <c r="A12" i="3"/>
  <c r="G12" i="3" s="1"/>
  <c r="A13" i="3"/>
  <c r="B13" i="3" s="1"/>
  <c r="A14" i="3"/>
  <c r="I14" i="3" s="1"/>
  <c r="A15" i="3"/>
  <c r="D15" i="3" s="1"/>
  <c r="A16" i="3"/>
  <c r="B16" i="3" s="1"/>
  <c r="A17" i="3"/>
  <c r="Q17" i="3" s="1"/>
  <c r="A18" i="3"/>
  <c r="B18" i="3" s="1"/>
  <c r="A19" i="3"/>
  <c r="D19" i="3" s="1"/>
  <c r="A20" i="3"/>
  <c r="C20" i="3" s="1"/>
  <c r="A21" i="3"/>
  <c r="F21" i="3" s="1"/>
  <c r="A22" i="3"/>
  <c r="F22" i="3" s="1"/>
  <c r="A23" i="3"/>
  <c r="C23" i="3" s="1"/>
  <c r="A24" i="3"/>
  <c r="B24" i="3" s="1"/>
  <c r="A25" i="3"/>
  <c r="N25" i="3" s="1"/>
  <c r="A26" i="3"/>
  <c r="B26" i="3" s="1"/>
  <c r="A27" i="3"/>
  <c r="G27" i="3" s="1"/>
  <c r="A28" i="3"/>
  <c r="B28" i="3" s="1"/>
  <c r="A29" i="3"/>
  <c r="F29" i="3" s="1"/>
  <c r="A30" i="3"/>
  <c r="I30" i="3" s="1"/>
  <c r="A31" i="3"/>
  <c r="C31" i="3" s="1"/>
  <c r="A32" i="3"/>
  <c r="B32" i="3" s="1"/>
  <c r="A33" i="3"/>
  <c r="F33" i="3" s="1"/>
  <c r="A34" i="3"/>
  <c r="B34" i="3" s="1"/>
  <c r="A35" i="3"/>
  <c r="D35" i="3" s="1"/>
  <c r="A36" i="3"/>
  <c r="B36" i="3" s="1"/>
  <c r="A37" i="3"/>
  <c r="C37" i="3" s="1"/>
  <c r="A38" i="3"/>
  <c r="L38" i="3" s="1"/>
  <c r="A39" i="3"/>
  <c r="P39" i="3" s="1"/>
  <c r="A40" i="3"/>
  <c r="B40" i="3" s="1"/>
  <c r="A41" i="3"/>
  <c r="A42" i="3"/>
  <c r="D42" i="3" s="1"/>
  <c r="A43" i="3"/>
  <c r="C43" i="3" s="1"/>
  <c r="A44" i="3"/>
  <c r="D44" i="3" s="1"/>
  <c r="A45" i="3"/>
  <c r="G45" i="3" s="1"/>
  <c r="A46" i="3"/>
  <c r="I46" i="3" s="1"/>
  <c r="A47" i="3"/>
  <c r="D47" i="3" s="1"/>
  <c r="A48" i="3"/>
  <c r="C48" i="3" s="1"/>
  <c r="A49" i="3"/>
  <c r="B49" i="3" s="1"/>
  <c r="A50" i="3"/>
  <c r="A51" i="3"/>
  <c r="I51" i="3" s="1"/>
  <c r="A52" i="3"/>
  <c r="Q52" i="3" s="1"/>
  <c r="A53" i="3"/>
  <c r="F53" i="3" s="1"/>
  <c r="A54" i="3"/>
  <c r="B54" i="3" s="1"/>
  <c r="A55" i="3"/>
  <c r="A56" i="3"/>
  <c r="C56" i="3" s="1"/>
  <c r="A57" i="3"/>
  <c r="I57" i="3" s="1"/>
  <c r="A58" i="3"/>
  <c r="I58" i="3" s="1"/>
  <c r="A59" i="3"/>
  <c r="C59" i="3" s="1"/>
  <c r="A60" i="3"/>
  <c r="G60" i="3" s="1"/>
  <c r="A61" i="3"/>
  <c r="G61" i="3" s="1"/>
  <c r="A62" i="3"/>
  <c r="I62" i="3" s="1"/>
  <c r="A63" i="3"/>
  <c r="I63" i="3" s="1"/>
  <c r="A64" i="3"/>
  <c r="D64" i="3" s="1"/>
  <c r="A65" i="3"/>
  <c r="B65" i="3" s="1"/>
  <c r="A66" i="3"/>
  <c r="F66" i="3" s="1"/>
  <c r="A67" i="3"/>
  <c r="G67" i="3" s="1"/>
  <c r="A68" i="3"/>
  <c r="D68" i="3" s="1"/>
  <c r="A69" i="3"/>
  <c r="F69" i="3" s="1"/>
  <c r="A70" i="3"/>
  <c r="A71" i="3"/>
  <c r="G71" i="3" s="1"/>
  <c r="A72" i="3"/>
  <c r="D72" i="3" s="1"/>
  <c r="A73" i="3"/>
  <c r="I73" i="3" s="1"/>
  <c r="A74" i="3"/>
  <c r="A75" i="3"/>
  <c r="Q75" i="3" s="1"/>
  <c r="A76" i="3"/>
  <c r="O76" i="3" s="1"/>
  <c r="A77" i="3"/>
  <c r="F77" i="3" s="1"/>
  <c r="A78" i="3"/>
  <c r="A79" i="3"/>
  <c r="C79" i="3" s="1"/>
  <c r="A80" i="3"/>
  <c r="L80" i="3" s="1"/>
  <c r="A81" i="3"/>
  <c r="Q81" i="3" s="1"/>
  <c r="A82" i="3"/>
  <c r="B82" i="3" s="1"/>
  <c r="A83" i="3"/>
  <c r="D83" i="3" s="1"/>
  <c r="A84" i="3"/>
  <c r="A85" i="3"/>
  <c r="F85" i="3" s="1"/>
  <c r="A86" i="3"/>
  <c r="A87" i="3"/>
  <c r="L87" i="3" s="1"/>
  <c r="A88" i="3"/>
  <c r="P88" i="3" s="1"/>
  <c r="A89" i="3"/>
  <c r="C89" i="3" s="1"/>
  <c r="A90" i="3"/>
  <c r="I90" i="3" s="1"/>
  <c r="A91" i="3"/>
  <c r="C91" i="3" s="1"/>
  <c r="A92" i="3"/>
  <c r="C92" i="3" s="1"/>
  <c r="A93" i="3"/>
  <c r="B93" i="3" s="1"/>
  <c r="A94" i="3"/>
  <c r="D94" i="3" s="1"/>
  <c r="A95" i="3"/>
  <c r="A96" i="3"/>
  <c r="B96" i="3" s="1"/>
  <c r="A97" i="3"/>
  <c r="F97" i="3" s="1"/>
  <c r="A98" i="3"/>
  <c r="B98" i="3" s="1"/>
  <c r="A99" i="3"/>
  <c r="I99" i="3" s="1"/>
  <c r="A100" i="3"/>
  <c r="F100" i="3" s="1"/>
  <c r="A101" i="3"/>
  <c r="N101" i="3" s="1"/>
  <c r="A102" i="3"/>
  <c r="F102" i="3" s="1"/>
  <c r="A103" i="3"/>
  <c r="G103" i="3" s="1"/>
  <c r="A104" i="3"/>
  <c r="B104" i="3" s="1"/>
  <c r="A105" i="3"/>
  <c r="Q105" i="3" s="1"/>
  <c r="A106" i="3"/>
  <c r="N106" i="3" s="1"/>
  <c r="A107" i="3"/>
  <c r="A108" i="3"/>
  <c r="D108" i="3" s="1"/>
  <c r="A109" i="3"/>
  <c r="G109" i="3" s="1"/>
  <c r="A110" i="3"/>
  <c r="I110" i="3" s="1"/>
  <c r="A111" i="3"/>
  <c r="C111" i="3" s="1"/>
  <c r="A112" i="3"/>
  <c r="D112" i="3" s="1"/>
  <c r="A113" i="3"/>
  <c r="F113" i="3" s="1"/>
  <c r="A114" i="3"/>
  <c r="J114" i="3" s="1"/>
  <c r="A115" i="3"/>
  <c r="I115" i="3" s="1"/>
  <c r="A116" i="3"/>
  <c r="B116" i="3" s="1"/>
  <c r="A117" i="3"/>
  <c r="F117" i="3" s="1"/>
  <c r="A118" i="3"/>
  <c r="F118" i="3" s="1"/>
  <c r="A119" i="3"/>
  <c r="L119" i="3" s="1"/>
  <c r="A120" i="3"/>
  <c r="I120" i="3" s="1"/>
  <c r="A121" i="3"/>
  <c r="Q121" i="3" s="1"/>
  <c r="A122" i="3"/>
  <c r="B122" i="3" s="1"/>
  <c r="A123" i="3"/>
  <c r="D123" i="3" s="1"/>
  <c r="A124" i="3"/>
  <c r="M124" i="3" s="1"/>
  <c r="A125" i="3"/>
  <c r="J125" i="3" s="1"/>
  <c r="A126" i="3"/>
  <c r="A127" i="3"/>
  <c r="F127" i="3" s="1"/>
  <c r="A128" i="3"/>
  <c r="Q128" i="3" s="1"/>
  <c r="A129" i="3"/>
  <c r="F129" i="3" s="1"/>
  <c r="A130" i="3"/>
  <c r="D130" i="3" s="1"/>
  <c r="A131" i="3"/>
  <c r="D131" i="3" s="1"/>
  <c r="A132" i="3"/>
  <c r="B132" i="3" s="1"/>
  <c r="A133" i="3"/>
  <c r="I133" i="3" s="1"/>
  <c r="A134" i="3"/>
  <c r="O134" i="3" s="1"/>
  <c r="A135" i="3"/>
  <c r="C135" i="3" s="1"/>
  <c r="A136" i="3"/>
  <c r="B136" i="3" s="1"/>
  <c r="A137" i="3"/>
  <c r="M137" i="3" s="1"/>
  <c r="A138" i="3"/>
  <c r="C138" i="3" s="1"/>
  <c r="A139" i="3"/>
  <c r="C139" i="3" s="1"/>
  <c r="A140" i="3"/>
  <c r="M140" i="3" s="1"/>
  <c r="A141" i="3"/>
  <c r="A142" i="3"/>
  <c r="P142" i="3" s="1"/>
  <c r="A143" i="3"/>
  <c r="F143" i="3" s="1"/>
  <c r="A144" i="3"/>
  <c r="Q144" i="3" s="1"/>
  <c r="A145" i="3"/>
  <c r="A146" i="3"/>
  <c r="M146" i="3" s="1"/>
  <c r="A147" i="3"/>
  <c r="C147" i="3" s="1"/>
  <c r="A148" i="3"/>
  <c r="Q148" i="3" s="1"/>
  <c r="A149" i="3"/>
  <c r="A150" i="3"/>
  <c r="A151" i="3"/>
  <c r="O151" i="3" s="1"/>
  <c r="A152" i="3"/>
  <c r="I152" i="3" s="1"/>
  <c r="A153" i="3"/>
  <c r="M153" i="3" s="1"/>
  <c r="A154" i="3"/>
  <c r="D154" i="3" s="1"/>
  <c r="A155" i="3"/>
  <c r="J155" i="3" s="1"/>
  <c r="A156" i="3"/>
  <c r="B156" i="3" s="1"/>
  <c r="A157" i="3"/>
  <c r="I157" i="3" s="1"/>
  <c r="A158" i="3"/>
  <c r="A159" i="3"/>
  <c r="G159" i="3" s="1"/>
  <c r="A160" i="3"/>
  <c r="I160" i="3" s="1"/>
  <c r="A161" i="3"/>
  <c r="I161" i="3" s="1"/>
  <c r="A162" i="3"/>
  <c r="D162" i="3" s="1"/>
  <c r="A163" i="3"/>
  <c r="D163" i="3" s="1"/>
  <c r="A164" i="3"/>
  <c r="A165" i="3"/>
  <c r="I165" i="3" s="1"/>
  <c r="A166" i="3"/>
  <c r="G166" i="3" s="1"/>
  <c r="A167" i="3"/>
  <c r="N167" i="3" s="1"/>
  <c r="A168" i="3"/>
  <c r="I168" i="3" s="1"/>
  <c r="A169" i="3"/>
  <c r="I169" i="3" s="1"/>
  <c r="A170" i="3"/>
  <c r="G170" i="3" s="1"/>
  <c r="A171" i="3"/>
  <c r="B171" i="3" s="1"/>
  <c r="A172" i="3"/>
  <c r="Q172" i="3" s="1"/>
  <c r="A173" i="3"/>
  <c r="A174" i="3"/>
  <c r="D174" i="3" s="1"/>
  <c r="A175" i="3"/>
  <c r="D175" i="3" s="1"/>
  <c r="A176" i="3"/>
  <c r="M176" i="3" s="1"/>
  <c r="A177" i="3"/>
  <c r="Q177" i="3" s="1"/>
  <c r="A178" i="3"/>
  <c r="B178" i="3" s="1"/>
  <c r="A179" i="3"/>
  <c r="P179" i="3" s="1"/>
  <c r="A180" i="3"/>
  <c r="Q180" i="3" s="1"/>
  <c r="A181" i="3"/>
  <c r="I181" i="3" s="1"/>
  <c r="A182" i="3"/>
  <c r="C182" i="3" s="1"/>
  <c r="A183" i="3"/>
  <c r="B183" i="3" s="1"/>
  <c r="A184" i="3"/>
  <c r="I184" i="3" s="1"/>
  <c r="A185" i="3"/>
  <c r="I185" i="3" s="1"/>
  <c r="A186" i="3"/>
  <c r="G186" i="3" s="1"/>
  <c r="A187" i="3"/>
  <c r="C187" i="3" s="1"/>
  <c r="A188" i="3"/>
  <c r="G188" i="3" s="1"/>
  <c r="A189" i="3"/>
  <c r="C10" i="2"/>
  <c r="B6" i="3" s="1"/>
  <c r="D6" i="5" s="1"/>
  <c r="D10" i="2"/>
  <c r="R10" i="2" s="1"/>
  <c r="A11" i="2"/>
  <c r="Q11" i="2" s="1"/>
  <c r="A12" i="2"/>
  <c r="D12" i="2" s="1"/>
  <c r="A13" i="2"/>
  <c r="L13" i="2" s="1"/>
  <c r="A14" i="2"/>
  <c r="L14" i="2" s="1"/>
  <c r="A15" i="2"/>
  <c r="I15" i="2" s="1"/>
  <c r="A16" i="2"/>
  <c r="E16" i="2" s="1"/>
  <c r="A17" i="2"/>
  <c r="Q17" i="2" s="1"/>
  <c r="A18" i="2"/>
  <c r="I18" i="2" s="1"/>
  <c r="A19" i="2"/>
  <c r="Q19" i="2" s="1"/>
  <c r="A20" i="2"/>
  <c r="C20" i="2" s="1"/>
  <c r="A21" i="2"/>
  <c r="L21" i="2" s="1"/>
  <c r="A22" i="2"/>
  <c r="Q22" i="2" s="1"/>
  <c r="A23" i="2"/>
  <c r="C23" i="2" s="1"/>
  <c r="A24" i="2"/>
  <c r="A25" i="2"/>
  <c r="A26" i="2"/>
  <c r="L26" i="2" s="1"/>
  <c r="A27" i="2"/>
  <c r="C27" i="2" s="1"/>
  <c r="A28" i="2"/>
  <c r="D28" i="2" s="1"/>
  <c r="A29" i="2"/>
  <c r="I29" i="2" s="1"/>
  <c r="A30" i="2"/>
  <c r="A31" i="2"/>
  <c r="Q31" i="2" s="1"/>
  <c r="A32" i="2"/>
  <c r="E32" i="2" s="1"/>
  <c r="A33" i="2"/>
  <c r="D33" i="2" s="1"/>
  <c r="A34" i="2"/>
  <c r="I34" i="2" s="1"/>
  <c r="A35" i="2"/>
  <c r="S35" i="2" s="1"/>
  <c r="A36" i="2"/>
  <c r="B36" i="2" s="1"/>
  <c r="A37" i="2"/>
  <c r="L37" i="2" s="1"/>
  <c r="A38" i="2"/>
  <c r="D38" i="2" s="1"/>
  <c r="A39" i="2"/>
  <c r="C39" i="2" s="1"/>
  <c r="A40" i="2"/>
  <c r="Q40" i="2" s="1"/>
  <c r="A41" i="2"/>
  <c r="L41" i="2" s="1"/>
  <c r="A42" i="2"/>
  <c r="L42" i="2" s="1"/>
  <c r="A43" i="2"/>
  <c r="I43" i="2" s="1"/>
  <c r="A44" i="2"/>
  <c r="H44" i="2" s="1"/>
  <c r="A45" i="2"/>
  <c r="I45" i="2" s="1"/>
  <c r="A46" i="2"/>
  <c r="A47" i="2"/>
  <c r="C47" i="2" s="1"/>
  <c r="A48" i="2"/>
  <c r="B48" i="2" s="1"/>
  <c r="A49" i="2"/>
  <c r="A50" i="2"/>
  <c r="I50" i="2" s="1"/>
  <c r="A51" i="2"/>
  <c r="S51" i="2" s="1"/>
  <c r="A52" i="2"/>
  <c r="B52" i="2" s="1"/>
  <c r="A53" i="2"/>
  <c r="D53" i="2" s="1"/>
  <c r="A54" i="2"/>
  <c r="D54" i="2" s="1"/>
  <c r="A55" i="2"/>
  <c r="C55" i="2" s="1"/>
  <c r="A56" i="2"/>
  <c r="B56" i="2" s="1"/>
  <c r="A57" i="2"/>
  <c r="Q57" i="2" s="1"/>
  <c r="A58" i="2"/>
  <c r="D58" i="2" s="1"/>
  <c r="A59" i="2"/>
  <c r="C59" i="2" s="1"/>
  <c r="A60" i="2"/>
  <c r="P60" i="2" s="1"/>
  <c r="A61" i="2"/>
  <c r="I61" i="2" s="1"/>
  <c r="A62" i="2"/>
  <c r="D62" i="2" s="1"/>
  <c r="A63" i="2"/>
  <c r="Q63" i="2" s="1"/>
  <c r="A64" i="2"/>
  <c r="B64" i="2" s="1"/>
  <c r="A65" i="2"/>
  <c r="D65" i="2" s="1"/>
  <c r="A66" i="2"/>
  <c r="Q66" i="2" s="1"/>
  <c r="A67" i="2"/>
  <c r="C67" i="2" s="1"/>
  <c r="A68" i="2"/>
  <c r="B68" i="2" s="1"/>
  <c r="A69" i="2"/>
  <c r="L69" i="2" s="1"/>
  <c r="A70" i="2"/>
  <c r="D70" i="2" s="1"/>
  <c r="A71" i="2"/>
  <c r="C71" i="2" s="1"/>
  <c r="A72" i="2"/>
  <c r="D72" i="2" s="1"/>
  <c r="A73" i="2"/>
  <c r="A74" i="2"/>
  <c r="A75" i="2"/>
  <c r="C75" i="2" s="1"/>
  <c r="A76" i="2"/>
  <c r="D76" i="2" s="1"/>
  <c r="A77" i="2"/>
  <c r="D77" i="2" s="1"/>
  <c r="A78" i="2"/>
  <c r="A79" i="2"/>
  <c r="A80" i="2"/>
  <c r="C80" i="2" s="1"/>
  <c r="A81" i="2"/>
  <c r="I81" i="2" s="1"/>
  <c r="A82" i="2"/>
  <c r="I82" i="2" s="1"/>
  <c r="A83" i="2"/>
  <c r="A84" i="2"/>
  <c r="I84" i="2" s="1"/>
  <c r="A85" i="2"/>
  <c r="D85" i="2" s="1"/>
  <c r="A86" i="2"/>
  <c r="D86" i="2" s="1"/>
  <c r="A87" i="2"/>
  <c r="I87" i="2" s="1"/>
  <c r="A88" i="2"/>
  <c r="C88" i="2" s="1"/>
  <c r="A89" i="2"/>
  <c r="I89" i="2" s="1"/>
  <c r="A90" i="2"/>
  <c r="A91" i="2"/>
  <c r="C91" i="2" s="1"/>
  <c r="A92" i="2"/>
  <c r="H92" i="2" s="1"/>
  <c r="A93" i="2"/>
  <c r="A94" i="2"/>
  <c r="D94" i="2" s="1"/>
  <c r="A95" i="2"/>
  <c r="I95" i="2" s="1"/>
  <c r="A96" i="2"/>
  <c r="D96" i="2" s="1"/>
  <c r="A97" i="2"/>
  <c r="I97" i="2" s="1"/>
  <c r="A98" i="2"/>
  <c r="I98" i="2" s="1"/>
  <c r="A99" i="2"/>
  <c r="I99" i="2" s="1"/>
  <c r="A100" i="2"/>
  <c r="C100" i="2" s="1"/>
  <c r="A101" i="2"/>
  <c r="D101" i="2" s="1"/>
  <c r="A102" i="2"/>
  <c r="D102" i="2" s="1"/>
  <c r="A103" i="2"/>
  <c r="I103" i="2" s="1"/>
  <c r="A104" i="2"/>
  <c r="D104" i="2" s="1"/>
  <c r="A105" i="2"/>
  <c r="I105" i="2" s="1"/>
  <c r="A106" i="2"/>
  <c r="I106" i="2" s="1"/>
  <c r="A107" i="2"/>
  <c r="A108" i="2"/>
  <c r="E108" i="2" s="1"/>
  <c r="A109" i="2"/>
  <c r="D109" i="2" s="1"/>
  <c r="A110" i="2"/>
  <c r="D110" i="2" s="1"/>
  <c r="A111" i="2"/>
  <c r="I111" i="2" s="1"/>
  <c r="A112" i="2"/>
  <c r="E112" i="2" s="1"/>
  <c r="A113" i="2"/>
  <c r="D113" i="2" s="1"/>
  <c r="A114" i="2"/>
  <c r="L114" i="2" s="1"/>
  <c r="A115" i="2"/>
  <c r="C115" i="2" s="1"/>
  <c r="A116" i="2"/>
  <c r="R116" i="2" s="1"/>
  <c r="A117" i="2"/>
  <c r="D117" i="2" s="1"/>
  <c r="A118" i="2"/>
  <c r="D118" i="2" s="1"/>
  <c r="A119" i="2"/>
  <c r="A120" i="2"/>
  <c r="D120" i="2" s="1"/>
  <c r="A121" i="2"/>
  <c r="I121" i="2" s="1"/>
  <c r="A122" i="2"/>
  <c r="L122" i="2" s="1"/>
  <c r="A123" i="2"/>
  <c r="C123" i="2" s="1"/>
  <c r="A124" i="2"/>
  <c r="D124" i="2" s="1"/>
  <c r="A125" i="2"/>
  <c r="D125" i="2" s="1"/>
  <c r="A126" i="2"/>
  <c r="D126" i="2" s="1"/>
  <c r="A127" i="2"/>
  <c r="I127" i="2" s="1"/>
  <c r="A128" i="2"/>
  <c r="D128" i="2" s="1"/>
  <c r="A129" i="2"/>
  <c r="I129" i="2" s="1"/>
  <c r="A130" i="2"/>
  <c r="I130" i="2" s="1"/>
  <c r="A131" i="2"/>
  <c r="C131" i="2" s="1"/>
  <c r="A132" i="2"/>
  <c r="C132" i="2" s="1"/>
  <c r="A133" i="2"/>
  <c r="D133" i="2" s="1"/>
  <c r="A134" i="2"/>
  <c r="A135" i="2"/>
  <c r="I135" i="2" s="1"/>
  <c r="A136" i="2"/>
  <c r="D136" i="2" s="1"/>
  <c r="A137" i="2"/>
  <c r="I137" i="2" s="1"/>
  <c r="A138" i="2"/>
  <c r="Q138" i="2" s="1"/>
  <c r="A139" i="2"/>
  <c r="C139" i="2" s="1"/>
  <c r="A140" i="2"/>
  <c r="C140" i="2" s="1"/>
  <c r="A141" i="2"/>
  <c r="D141" i="2" s="1"/>
  <c r="A142" i="2"/>
  <c r="A143" i="2"/>
  <c r="I143" i="2" s="1"/>
  <c r="A144" i="2"/>
  <c r="I144" i="2" s="1"/>
  <c r="A145" i="2"/>
  <c r="D145" i="2" s="1"/>
  <c r="A146" i="2"/>
  <c r="C146" i="2" s="1"/>
  <c r="A147" i="2"/>
  <c r="D147" i="2" s="1"/>
  <c r="A148" i="2"/>
  <c r="D148" i="2" s="1"/>
  <c r="A149" i="2"/>
  <c r="I149" i="2" s="1"/>
  <c r="A150" i="2"/>
  <c r="I150" i="2" s="1"/>
  <c r="A151" i="2"/>
  <c r="I151" i="2" s="1"/>
  <c r="A152" i="2"/>
  <c r="Q152" i="2" s="1"/>
  <c r="A153" i="2"/>
  <c r="A154" i="2"/>
  <c r="C154" i="2" s="1"/>
  <c r="A155" i="2"/>
  <c r="E155" i="2" s="1"/>
  <c r="A156" i="2"/>
  <c r="A157" i="2"/>
  <c r="I157" i="2" s="1"/>
  <c r="A158" i="2"/>
  <c r="A159" i="2"/>
  <c r="I159" i="2" s="1"/>
  <c r="A160" i="2"/>
  <c r="Q160" i="2" s="1"/>
  <c r="A161" i="2"/>
  <c r="D161" i="2" s="1"/>
  <c r="A162" i="2"/>
  <c r="C162" i="2" s="1"/>
  <c r="A163" i="2"/>
  <c r="A164" i="2"/>
  <c r="A165" i="2"/>
  <c r="I165" i="2" s="1"/>
  <c r="A166" i="2"/>
  <c r="Q166" i="2" s="1"/>
  <c r="A167" i="2"/>
  <c r="I167" i="2" s="1"/>
  <c r="A168" i="2"/>
  <c r="Q168" i="2" s="1"/>
  <c r="A169" i="2"/>
  <c r="D169" i="2" s="1"/>
  <c r="A170" i="2"/>
  <c r="Q170" i="2" s="1"/>
  <c r="A171" i="2"/>
  <c r="C171" i="2" s="1"/>
  <c r="A172" i="2"/>
  <c r="C172" i="2" s="1"/>
  <c r="A173" i="2"/>
  <c r="B173" i="2" s="1"/>
  <c r="A174" i="2"/>
  <c r="E174" i="2" s="1"/>
  <c r="A175" i="2"/>
  <c r="C175" i="2" s="1"/>
  <c r="A176" i="2"/>
  <c r="I176" i="2" s="1"/>
  <c r="A177" i="2"/>
  <c r="D177" i="2" s="1"/>
  <c r="A178" i="2"/>
  <c r="C178" i="2" s="1"/>
  <c r="A179" i="2"/>
  <c r="H179" i="2" s="1"/>
  <c r="A180" i="2"/>
  <c r="A181" i="2"/>
  <c r="D181" i="2" s="1"/>
  <c r="A182" i="2"/>
  <c r="E182" i="2" s="1"/>
  <c r="A183" i="2"/>
  <c r="A184" i="2"/>
  <c r="E184" i="2" s="1"/>
  <c r="A185" i="2"/>
  <c r="E185" i="2" s="1"/>
  <c r="A186" i="2"/>
  <c r="C186" i="2" s="1"/>
  <c r="A187" i="2"/>
  <c r="C187" i="2" s="1"/>
  <c r="A188" i="2"/>
  <c r="C188" i="2" s="1"/>
  <c r="A189" i="2"/>
  <c r="D189" i="2" s="1"/>
  <c r="A190" i="2"/>
  <c r="I190" i="2" s="1"/>
  <c r="A191" i="2"/>
  <c r="C191" i="2" s="1"/>
  <c r="A192" i="2"/>
  <c r="E192" i="2" s="1"/>
  <c r="A193" i="2"/>
  <c r="Q193" i="2" s="1"/>
  <c r="G240" i="2"/>
  <c r="C241" i="2"/>
  <c r="D241" i="2"/>
  <c r="F241" i="2"/>
  <c r="G241" i="2"/>
  <c r="C242" i="2"/>
  <c r="D242" i="2"/>
  <c r="F242" i="2"/>
  <c r="G242" i="2"/>
  <c r="C243" i="2"/>
  <c r="D243" i="2"/>
  <c r="F243" i="2"/>
  <c r="G243" i="2"/>
  <c r="C244" i="2"/>
  <c r="D244" i="2"/>
  <c r="F244" i="2"/>
  <c r="G244" i="2"/>
  <c r="A101" i="7" l="1"/>
  <c r="A29" i="7"/>
  <c r="L29" i="7" s="1"/>
  <c r="A159" i="7"/>
  <c r="A119" i="7"/>
  <c r="N119" i="7" s="1"/>
  <c r="A148" i="7"/>
  <c r="I148" i="7" s="1"/>
  <c r="A136" i="7"/>
  <c r="O136" i="7" s="1"/>
  <c r="A114" i="7"/>
  <c r="D114" i="7" s="1"/>
  <c r="A183" i="7"/>
  <c r="I183" i="7" s="1"/>
  <c r="A173" i="7"/>
  <c r="L173" i="7" s="1"/>
  <c r="A90" i="7"/>
  <c r="F90" i="7" s="1"/>
  <c r="A60" i="7"/>
  <c r="D60" i="7" s="1"/>
  <c r="A52" i="7"/>
  <c r="F52" i="7" s="1"/>
  <c r="A171" i="7"/>
  <c r="D171" i="7" s="1"/>
  <c r="A78" i="7"/>
  <c r="J78" i="7" s="1"/>
  <c r="A30" i="7"/>
  <c r="B30" i="7" s="1"/>
  <c r="A163" i="7"/>
  <c r="B163" i="7" s="1"/>
  <c r="A131" i="7"/>
  <c r="B131" i="7" s="1"/>
  <c r="A107" i="7"/>
  <c r="N107" i="7" s="1"/>
  <c r="A47" i="7"/>
  <c r="H47" i="7" s="1"/>
  <c r="A155" i="7"/>
  <c r="J155" i="7" s="1"/>
  <c r="A59" i="7"/>
  <c r="C59" i="7" s="1"/>
  <c r="A35" i="7"/>
  <c r="B35" i="7" s="1"/>
  <c r="A11" i="7"/>
  <c r="I11" i="7" s="1"/>
  <c r="A181" i="7"/>
  <c r="H181" i="7" s="1"/>
  <c r="A94" i="7"/>
  <c r="F94" i="7" s="1"/>
  <c r="A178" i="7"/>
  <c r="B178" i="7" s="1"/>
  <c r="A46" i="7"/>
  <c r="J46" i="7" s="1"/>
  <c r="A177" i="7"/>
  <c r="E177" i="7" s="1"/>
  <c r="A82" i="7"/>
  <c r="F82" i="7" s="1"/>
  <c r="B104" i="13"/>
  <c r="A130" i="7"/>
  <c r="B130" i="7" s="1"/>
  <c r="A80" i="7"/>
  <c r="K80" i="7" s="1"/>
  <c r="A34" i="7"/>
  <c r="G34" i="7" s="1"/>
  <c r="C240" i="2"/>
  <c r="F240" i="2" s="1"/>
  <c r="A169" i="7"/>
  <c r="F169" i="7" s="1"/>
  <c r="A127" i="7"/>
  <c r="B127" i="7" s="1"/>
  <c r="A67" i="7"/>
  <c r="O67" i="7" s="1"/>
  <c r="A16" i="7"/>
  <c r="H16" i="7" s="1"/>
  <c r="F19" i="14"/>
  <c r="A97" i="7"/>
  <c r="G97" i="7" s="1"/>
  <c r="L155" i="6"/>
  <c r="J155" i="6"/>
  <c r="E155" i="6"/>
  <c r="A146" i="7"/>
  <c r="D146" i="7" s="1"/>
  <c r="A122" i="7"/>
  <c r="A96" i="7"/>
  <c r="G96" i="7" s="1"/>
  <c r="A50" i="7"/>
  <c r="F50" i="7" s="1"/>
  <c r="A170" i="7"/>
  <c r="B170" i="7" s="1"/>
  <c r="A145" i="7"/>
  <c r="A121" i="7"/>
  <c r="E121" i="7" s="1"/>
  <c r="A74" i="7"/>
  <c r="F74" i="7" s="1"/>
  <c r="A49" i="7"/>
  <c r="E49" i="7" s="1"/>
  <c r="A26" i="7"/>
  <c r="B26" i="7" s="1"/>
  <c r="A144" i="7"/>
  <c r="I144" i="7" s="1"/>
  <c r="A120" i="7"/>
  <c r="K120" i="7" s="1"/>
  <c r="A73" i="7"/>
  <c r="G73" i="7" s="1"/>
  <c r="A48" i="7"/>
  <c r="K48" i="7" s="1"/>
  <c r="A25" i="7"/>
  <c r="K25" i="7" s="1"/>
  <c r="A167" i="7"/>
  <c r="E167" i="7" s="1"/>
  <c r="A24" i="7"/>
  <c r="E24" i="7" s="1"/>
  <c r="A166" i="7"/>
  <c r="I166" i="7" s="1"/>
  <c r="A89" i="7"/>
  <c r="G89" i="7" s="1"/>
  <c r="A23" i="7"/>
  <c r="C23" i="7" s="1"/>
  <c r="A182" i="7"/>
  <c r="M182" i="7" s="1"/>
  <c r="A165" i="7"/>
  <c r="N165" i="7" s="1"/>
  <c r="A113" i="7"/>
  <c r="C113" i="7" s="1"/>
  <c r="A85" i="7"/>
  <c r="C85" i="7" s="1"/>
  <c r="A68" i="7"/>
  <c r="D68" i="7" s="1"/>
  <c r="A17" i="7"/>
  <c r="A134" i="7"/>
  <c r="E134" i="7" s="1"/>
  <c r="A84" i="7"/>
  <c r="O84" i="7" s="1"/>
  <c r="A38" i="7"/>
  <c r="B38" i="7" s="1"/>
  <c r="A180" i="7"/>
  <c r="C180" i="7" s="1"/>
  <c r="A133" i="7"/>
  <c r="C133" i="7" s="1"/>
  <c r="A111" i="7"/>
  <c r="B111" i="7" s="1"/>
  <c r="A37" i="7"/>
  <c r="O37" i="7" s="1"/>
  <c r="A179" i="7"/>
  <c r="K179" i="7" s="1"/>
  <c r="A132" i="7"/>
  <c r="J132" i="7" s="1"/>
  <c r="A108" i="7"/>
  <c r="B108" i="7" s="1"/>
  <c r="A61" i="7"/>
  <c r="C61" i="7" s="1"/>
  <c r="A36" i="7"/>
  <c r="D36" i="7" s="1"/>
  <c r="A13" i="7"/>
  <c r="K13" i="7" s="1"/>
  <c r="A129" i="7"/>
  <c r="G129" i="7" s="1"/>
  <c r="A33" i="7"/>
  <c r="C33" i="7" s="1"/>
  <c r="A162" i="7"/>
  <c r="E162" i="7" s="1"/>
  <c r="A123" i="7"/>
  <c r="J123" i="7" s="1"/>
  <c r="A45" i="7"/>
  <c r="I45" i="7" s="1"/>
  <c r="A175" i="7"/>
  <c r="I175" i="7" s="1"/>
  <c r="A161" i="7"/>
  <c r="L161" i="7" s="1"/>
  <c r="A92" i="7"/>
  <c r="C92" i="7" s="1"/>
  <c r="A75" i="7"/>
  <c r="C75" i="7" s="1"/>
  <c r="A44" i="7"/>
  <c r="A174" i="7"/>
  <c r="A142" i="7"/>
  <c r="A106" i="7"/>
  <c r="B106" i="7" s="1"/>
  <c r="A91" i="7"/>
  <c r="C91" i="7" s="1"/>
  <c r="A58" i="7"/>
  <c r="A43" i="7"/>
  <c r="K43" i="7" s="1"/>
  <c r="A105" i="7"/>
  <c r="C105" i="7" s="1"/>
  <c r="A57" i="7"/>
  <c r="H57" i="7" s="1"/>
  <c r="A10" i="7"/>
  <c r="C10" i="7" s="1"/>
  <c r="A184" i="7"/>
  <c r="A156" i="7"/>
  <c r="E156" i="7" s="1"/>
  <c r="A104" i="7"/>
  <c r="A56" i="7"/>
  <c r="A39" i="7"/>
  <c r="O39" i="7" s="1"/>
  <c r="A8" i="7"/>
  <c r="I8" i="7" s="1"/>
  <c r="A117" i="7"/>
  <c r="L117" i="7" s="1"/>
  <c r="A103" i="7"/>
  <c r="C103" i="7" s="1"/>
  <c r="A55" i="7"/>
  <c r="F55" i="7" s="1"/>
  <c r="A154" i="7"/>
  <c r="L154" i="7" s="1"/>
  <c r="A116" i="7"/>
  <c r="D116" i="7" s="1"/>
  <c r="A70" i="7"/>
  <c r="B70" i="7" s="1"/>
  <c r="A22" i="7"/>
  <c r="F22" i="7" s="1"/>
  <c r="E165" i="5"/>
  <c r="A168" i="7"/>
  <c r="A153" i="7"/>
  <c r="A115" i="7"/>
  <c r="A99" i="7"/>
  <c r="C99" i="7" s="1"/>
  <c r="A69" i="7"/>
  <c r="L69" i="7" s="1"/>
  <c r="A21" i="7"/>
  <c r="E21" i="7" s="1"/>
  <c r="L23" i="6"/>
  <c r="O23" i="12" s="1"/>
  <c r="E243" i="2"/>
  <c r="O32" i="3"/>
  <c r="N69" i="3"/>
  <c r="O93" i="5"/>
  <c r="L145" i="10"/>
  <c r="I33" i="10"/>
  <c r="D73" i="13"/>
  <c r="I18" i="8"/>
  <c r="C84" i="14"/>
  <c r="O73" i="5"/>
  <c r="F167" i="12"/>
  <c r="F161" i="14"/>
  <c r="M167" i="6"/>
  <c r="K132" i="10"/>
  <c r="M109" i="6"/>
  <c r="H244"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A137" i="7"/>
  <c r="A77" i="7"/>
  <c r="L77" i="7" s="1"/>
  <c r="A53" i="7"/>
  <c r="L53" i="7" s="1"/>
  <c r="H167" i="6"/>
  <c r="L109" i="6"/>
  <c r="M8" i="6"/>
  <c r="K120" i="10"/>
  <c r="E110" i="10"/>
  <c r="K113" i="11"/>
  <c r="E78" i="12"/>
  <c r="F13" i="13"/>
  <c r="I161" i="2"/>
  <c r="I36" i="5"/>
  <c r="A151" i="7"/>
  <c r="I151" i="7" s="1"/>
  <c r="A88" i="7"/>
  <c r="B88" i="7" s="1"/>
  <c r="A65" i="7"/>
  <c r="G65" i="7" s="1"/>
  <c r="A51" i="7"/>
  <c r="L51" i="7" s="1"/>
  <c r="O56" i="10"/>
  <c r="M146" i="11"/>
  <c r="C170" i="12"/>
  <c r="C161" i="14"/>
  <c r="E70" i="14"/>
  <c r="P140" i="2"/>
  <c r="C56" i="2"/>
  <c r="A176" i="7"/>
  <c r="O176" i="7" s="1"/>
  <c r="A149" i="7"/>
  <c r="G149" i="7" s="1"/>
  <c r="A98" i="7"/>
  <c r="L98" i="7" s="1"/>
  <c r="A86" i="7"/>
  <c r="L86" i="7" s="1"/>
  <c r="E16" i="6"/>
  <c r="K93" i="5"/>
  <c r="A188" i="7"/>
  <c r="E188" i="7" s="1"/>
  <c r="M165" i="6"/>
  <c r="I96" i="10"/>
  <c r="K74" i="11"/>
  <c r="D125" i="14"/>
  <c r="E193" i="2"/>
  <c r="R147" i="2"/>
  <c r="L32" i="2"/>
  <c r="I171" i="3"/>
  <c r="M37" i="3"/>
  <c r="N163" i="5"/>
  <c r="A186" i="7"/>
  <c r="E186" i="7" s="1"/>
  <c r="A118" i="7"/>
  <c r="H118" i="7" s="1"/>
  <c r="A109" i="7"/>
  <c r="D109" i="7" s="1"/>
  <c r="N35" i="6"/>
  <c r="H242" i="2"/>
  <c r="B56" i="3"/>
  <c r="O165" i="5"/>
  <c r="A158" i="7"/>
  <c r="H158" i="7" s="1"/>
  <c r="F71" i="7"/>
  <c r="A9" i="7"/>
  <c r="B9" i="7" s="1"/>
  <c r="F131" i="6"/>
  <c r="L120" i="6"/>
  <c r="E103" i="6"/>
  <c r="O80" i="6"/>
  <c r="F104" i="10"/>
  <c r="K84" i="10"/>
  <c r="I62" i="10"/>
  <c r="N72" i="11"/>
  <c r="F87" i="14"/>
  <c r="C44" i="14"/>
  <c r="I40" i="2"/>
  <c r="M178" i="3"/>
  <c r="O12" i="3"/>
  <c r="N165" i="5"/>
  <c r="A128" i="7"/>
  <c r="K128" i="7" s="1"/>
  <c r="F111" i="6"/>
  <c r="I84" i="10"/>
  <c r="L72" i="11"/>
  <c r="G173" i="12"/>
  <c r="F47" i="12"/>
  <c r="Q144" i="2"/>
  <c r="L124" i="2"/>
  <c r="L92" i="2"/>
  <c r="Q60" i="2"/>
  <c r="F187" i="3"/>
  <c r="L135" i="3"/>
  <c r="L12" i="3"/>
  <c r="K165" i="5"/>
  <c r="L38" i="10"/>
  <c r="F173" i="12"/>
  <c r="A100" i="7"/>
  <c r="F100" i="7" s="1"/>
  <c r="D144" i="2"/>
  <c r="Q16" i="2"/>
  <c r="I64" i="3"/>
  <c r="B12" i="3"/>
  <c r="K101" i="5"/>
  <c r="A139" i="7"/>
  <c r="I139" i="7" s="1"/>
  <c r="A126" i="7"/>
  <c r="H126" i="7" s="1"/>
  <c r="F153" i="10"/>
  <c r="E173" i="12"/>
  <c r="B52" i="14"/>
  <c r="G19" i="8"/>
  <c r="O163" i="5"/>
  <c r="O109" i="5"/>
  <c r="O83" i="5"/>
  <c r="O65" i="5"/>
  <c r="C18" i="5"/>
  <c r="E18" i="13"/>
  <c r="E13" i="14"/>
  <c r="L123" i="11"/>
  <c r="B173" i="12"/>
  <c r="C163" i="5"/>
  <c r="F80" i="11"/>
  <c r="N60" i="11"/>
  <c r="E177" i="13"/>
  <c r="E154" i="13"/>
  <c r="D112" i="13"/>
  <c r="E86" i="13"/>
  <c r="E113" i="14"/>
  <c r="B63" i="14"/>
  <c r="D50" i="14"/>
  <c r="E28" i="14"/>
  <c r="E25" i="14"/>
  <c r="N129" i="5"/>
  <c r="F122" i="13"/>
  <c r="B177" i="14"/>
  <c r="G177" i="14" s="1"/>
  <c r="F125" i="14"/>
  <c r="E119" i="14"/>
  <c r="B79" i="14"/>
  <c r="F55" i="14"/>
  <c r="I188" i="2"/>
  <c r="B109" i="6"/>
  <c r="I96" i="6"/>
  <c r="M96" i="12" s="1"/>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E52" i="5" s="1"/>
  <c r="O36" i="3"/>
  <c r="F30" i="3"/>
  <c r="M15" i="3"/>
  <c r="F109" i="6"/>
  <c r="M38" i="6"/>
  <c r="J16" i="6"/>
  <c r="H11" i="6"/>
  <c r="P11" i="12" s="1"/>
  <c r="E176" i="10"/>
  <c r="N25" i="10"/>
  <c r="I19" i="8"/>
  <c r="F18" i="8"/>
  <c r="O141" i="5"/>
  <c r="I122" i="5"/>
  <c r="O101" i="5"/>
  <c r="N85" i="5"/>
  <c r="K65" i="5"/>
  <c r="I13" i="5"/>
  <c r="F78" i="12"/>
  <c r="F77" i="12"/>
  <c r="E134" i="13"/>
  <c r="E116" i="13"/>
  <c r="G110" i="13"/>
  <c r="F98" i="13"/>
  <c r="C69" i="13"/>
  <c r="B29"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B110" i="13"/>
  <c r="G40" i="13"/>
  <c r="B37"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R104" i="12" s="1"/>
  <c r="I94" i="6"/>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E108" i="5" s="1"/>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B108" i="13"/>
  <c r="B98" i="13"/>
  <c r="B96" i="13"/>
  <c r="B90" i="13"/>
  <c r="B81" i="13"/>
  <c r="E72" i="13"/>
  <c r="E69" i="13"/>
  <c r="G29" i="13"/>
  <c r="D21" i="13"/>
  <c r="F19" i="13"/>
  <c r="G13" i="13"/>
  <c r="B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E187" i="13"/>
  <c r="G170" i="13"/>
  <c r="C134" i="13"/>
  <c r="D127" i="13"/>
  <c r="F124" i="13"/>
  <c r="D122" i="13"/>
  <c r="B116" i="13"/>
  <c r="B100" i="13"/>
  <c r="E98" i="13"/>
  <c r="B86" i="13"/>
  <c r="F80" i="13"/>
  <c r="E13" i="13"/>
  <c r="F15" i="14"/>
  <c r="O151" i="5"/>
  <c r="O133" i="5"/>
  <c r="C123" i="5"/>
  <c r="I114" i="5"/>
  <c r="K107" i="5"/>
  <c r="O97" i="5"/>
  <c r="O89" i="5"/>
  <c r="O81" i="5"/>
  <c r="O75" i="5"/>
  <c r="N69" i="5"/>
  <c r="K63" i="5"/>
  <c r="N44" i="5"/>
  <c r="C34" i="5"/>
  <c r="N23" i="5"/>
  <c r="K166" i="11"/>
  <c r="I94" i="11"/>
  <c r="J92" i="11"/>
  <c r="L88" i="11"/>
  <c r="G53" i="11"/>
  <c r="G74" i="12"/>
  <c r="D98" i="13"/>
  <c r="F96" i="13"/>
  <c r="F90" i="13"/>
  <c r="C13"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J40" i="2" s="1"/>
  <c r="K40" i="2" s="1"/>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E32" i="5" s="1"/>
  <c r="F32" i="5" s="1"/>
  <c r="G32" i="5" s="1"/>
  <c r="N20" i="3"/>
  <c r="Q12" i="3"/>
  <c r="D12" i="3"/>
  <c r="M180" i="7"/>
  <c r="L171" i="7"/>
  <c r="R191" i="2"/>
  <c r="Q173" i="2"/>
  <c r="L171" i="3"/>
  <c r="D171" i="3"/>
  <c r="G127" i="3"/>
  <c r="Q72" i="3"/>
  <c r="L189" i="7"/>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E59" i="5" s="1"/>
  <c r="P47" i="3"/>
  <c r="J28" i="3"/>
  <c r="H189" i="7"/>
  <c r="E171" i="7"/>
  <c r="E113" i="7"/>
  <c r="S75" i="2"/>
  <c r="I100" i="7"/>
  <c r="G72" i="7"/>
  <c r="C72" i="7"/>
  <c r="O72" i="7"/>
  <c r="D72" i="7"/>
  <c r="I72" i="7"/>
  <c r="I12" i="10"/>
  <c r="L18" i="7"/>
  <c r="I183" i="6"/>
  <c r="K169" i="6"/>
  <c r="L52" i="6"/>
  <c r="O52" i="12" s="1"/>
  <c r="M187" i="10"/>
  <c r="L133" i="10"/>
  <c r="H133" i="10"/>
  <c r="D133" i="10"/>
  <c r="O132" i="10"/>
  <c r="J132" i="10"/>
  <c r="E132" i="10"/>
  <c r="J125" i="10"/>
  <c r="N69" i="10"/>
  <c r="O68" i="10"/>
  <c r="L57" i="10"/>
  <c r="M49" i="10"/>
  <c r="F18" i="7"/>
  <c r="E183" i="6"/>
  <c r="I169" i="6"/>
  <c r="M169" i="12" s="1"/>
  <c r="O130" i="6"/>
  <c r="J97" i="6"/>
  <c r="I77" i="6"/>
  <c r="K52" i="6"/>
  <c r="R52" i="12" s="1"/>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64" i="12" s="1"/>
  <c r="I21" i="7"/>
  <c r="B18" i="7"/>
  <c r="L183" i="6"/>
  <c r="D183" i="6"/>
  <c r="I181" i="6"/>
  <c r="N177" i="6"/>
  <c r="K176" i="6"/>
  <c r="I170" i="6"/>
  <c r="C169" i="6"/>
  <c r="L131" i="6"/>
  <c r="K130" i="6"/>
  <c r="N122" i="6"/>
  <c r="H109" i="6"/>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D54"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D186" i="13"/>
  <c r="B173" i="13"/>
  <c r="D134" i="13"/>
  <c r="F129" i="13"/>
  <c r="F112" i="13"/>
  <c r="C110" i="13"/>
  <c r="E108" i="13"/>
  <c r="B94" i="13"/>
  <c r="B92" i="13"/>
  <c r="D90" i="13"/>
  <c r="B83" i="13"/>
  <c r="F81" i="13"/>
  <c r="E70" i="13"/>
  <c r="E65" i="13"/>
  <c r="C62" i="13"/>
  <c r="B59" i="13"/>
  <c r="C54" i="13"/>
  <c r="F51" i="13"/>
  <c r="B40" i="13"/>
  <c r="F37" i="13"/>
  <c r="C29" i="13"/>
  <c r="E189" i="14"/>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C170" i="13"/>
  <c r="D159" i="13"/>
  <c r="F156" i="13"/>
  <c r="F134" i="13"/>
  <c r="B112" i="13"/>
  <c r="F94" i="13"/>
  <c r="F84" i="13"/>
  <c r="G82" i="13"/>
  <c r="E64" i="13"/>
  <c r="G62" i="13"/>
  <c r="G54" i="13"/>
  <c r="D50" i="13"/>
  <c r="F40" i="13"/>
  <c r="E11" i="13"/>
  <c r="C9"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Q92" i="3"/>
  <c r="G92" i="3"/>
  <c r="O85" i="3"/>
  <c r="G85" i="3"/>
  <c r="E85" i="5" s="1"/>
  <c r="L47" i="3"/>
  <c r="P40" i="3"/>
  <c r="Q39" i="3"/>
  <c r="L165" i="6"/>
  <c r="F165" i="6"/>
  <c r="C161" i="6"/>
  <c r="I161" i="6"/>
  <c r="F161" i="6"/>
  <c r="E112" i="6"/>
  <c r="L112" i="6"/>
  <c r="O112" i="12" s="1"/>
  <c r="I112" i="6"/>
  <c r="C95" i="6"/>
  <c r="L95" i="5" s="1"/>
  <c r="L95" i="6"/>
  <c r="O95" i="12" s="1"/>
  <c r="E73" i="6"/>
  <c r="H73" i="6"/>
  <c r="L73" i="12" s="1"/>
  <c r="B73" i="6"/>
  <c r="L73" i="6"/>
  <c r="I12" i="6"/>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Q31" i="12" s="1"/>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J120" i="2" s="1"/>
  <c r="K120" i="2" s="1"/>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K21" i="7"/>
  <c r="L181" i="6"/>
  <c r="D181" i="6"/>
  <c r="I180" i="6"/>
  <c r="M180" i="12" s="1"/>
  <c r="M169" i="6"/>
  <c r="E169" i="6"/>
  <c r="I168" i="6"/>
  <c r="Q168" i="12" s="1"/>
  <c r="L167" i="6"/>
  <c r="E167" i="6"/>
  <c r="N165" i="6"/>
  <c r="I165" i="6"/>
  <c r="B165" i="6"/>
  <c r="B114" i="6"/>
  <c r="G114" i="6"/>
  <c r="E114" i="6"/>
  <c r="C71" i="6"/>
  <c r="K71" i="6"/>
  <c r="S71" i="12" s="1"/>
  <c r="O71" i="6"/>
  <c r="G71" i="6"/>
  <c r="D69" i="6"/>
  <c r="I69" i="6"/>
  <c r="Q69" i="12" s="1"/>
  <c r="N69" i="6"/>
  <c r="E69" i="6"/>
  <c r="J69" i="6"/>
  <c r="B69" i="6"/>
  <c r="H69" i="6"/>
  <c r="M69" i="6"/>
  <c r="B41" i="6"/>
  <c r="I41" i="6"/>
  <c r="Q41" i="12" s="1"/>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P10" i="5" s="1"/>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C188" i="13"/>
  <c r="G188" i="13"/>
  <c r="E185" i="13"/>
  <c r="B182" i="13"/>
  <c r="F182" i="13"/>
  <c r="F178" i="13"/>
  <c r="C138" i="13"/>
  <c r="D138" i="13"/>
  <c r="E138" i="13"/>
  <c r="G126" i="13"/>
  <c r="F118" i="13"/>
  <c r="D102" i="13"/>
  <c r="E102" i="13"/>
  <c r="B102" i="13"/>
  <c r="G102" i="13"/>
  <c r="C102" i="13"/>
  <c r="L183" i="11"/>
  <c r="L163" i="11"/>
  <c r="M154" i="11"/>
  <c r="H144" i="11"/>
  <c r="O134" i="11"/>
  <c r="K129" i="11"/>
  <c r="L127" i="11"/>
  <c r="H64" i="11"/>
  <c r="F34" i="11"/>
  <c r="N32" i="11"/>
  <c r="I32" i="11"/>
  <c r="D32" i="11"/>
  <c r="E178" i="13"/>
  <c r="C130" i="13"/>
  <c r="G130" i="13"/>
  <c r="D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C186" i="13"/>
  <c r="B186" i="13"/>
  <c r="D177" i="13"/>
  <c r="C177" i="13"/>
  <c r="C171" i="13"/>
  <c r="D171" i="13"/>
  <c r="E171" i="13"/>
  <c r="E146" i="13"/>
  <c r="G146" i="13"/>
  <c r="F130" i="13"/>
  <c r="D125" i="13"/>
  <c r="B125" i="13"/>
  <c r="G125" i="13"/>
  <c r="C106" i="13"/>
  <c r="E106" i="13"/>
  <c r="B106" i="13"/>
  <c r="D106" i="13"/>
  <c r="N26" i="5"/>
  <c r="E127" i="12"/>
  <c r="E109" i="12"/>
  <c r="D99" i="12"/>
  <c r="E63" i="12"/>
  <c r="F40" i="12"/>
  <c r="D19" i="12"/>
  <c r="C178" i="13"/>
  <c r="B178" i="13"/>
  <c r="E130" i="13"/>
  <c r="C118" i="13"/>
  <c r="G118" i="13"/>
  <c r="D118" i="13"/>
  <c r="C114" i="13"/>
  <c r="B114" i="13"/>
  <c r="D114" i="13"/>
  <c r="F104" i="13"/>
  <c r="F100" i="13"/>
  <c r="E96" i="13"/>
  <c r="D94" i="13"/>
  <c r="C80" i="13"/>
  <c r="G56" i="13"/>
  <c r="E38" i="13"/>
  <c r="G34" i="13"/>
  <c r="G25" i="13"/>
  <c r="C156" i="14"/>
  <c r="C149" i="14"/>
  <c r="E148" i="14"/>
  <c r="F3" i="21" s="1"/>
  <c r="E127" i="14"/>
  <c r="G125" i="14"/>
  <c r="D115" i="14"/>
  <c r="C113" i="14"/>
  <c r="E55" i="14"/>
  <c r="F52" i="14"/>
  <c r="E39" i="14"/>
  <c r="E37" i="14"/>
  <c r="D33" i="14"/>
  <c r="F31" i="14"/>
  <c r="D29" i="14"/>
  <c r="F11" i="14"/>
  <c r="E9" i="14"/>
  <c r="F116" i="13"/>
  <c r="E112" i="13"/>
  <c r="D104" i="13"/>
  <c r="E100" i="13"/>
  <c r="D96" i="13"/>
  <c r="G94" i="13"/>
  <c r="F92" i="13"/>
  <c r="G86" i="13"/>
  <c r="E83" i="13"/>
  <c r="G80" i="13"/>
  <c r="B80" i="13"/>
  <c r="F73" i="13"/>
  <c r="G69" i="13"/>
  <c r="E56" i="13"/>
  <c r="G50" i="13"/>
  <c r="C38" i="13"/>
  <c r="D34" i="13"/>
  <c r="E29" i="13"/>
  <c r="F23" i="13"/>
  <c r="F187" i="14"/>
  <c r="F160" i="14"/>
  <c r="B156" i="14"/>
  <c r="D153" i="14"/>
  <c r="F149" i="14"/>
  <c r="B149" i="14"/>
  <c r="B148" i="14"/>
  <c r="G3" i="21" s="1"/>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E4" i="21" s="1"/>
  <c r="I33" i="2"/>
  <c r="Q33" i="2"/>
  <c r="I27" i="2"/>
  <c r="Q181" i="3"/>
  <c r="I154" i="3"/>
  <c r="M154" i="3"/>
  <c r="P154" i="3"/>
  <c r="D145" i="3"/>
  <c r="I145" i="3"/>
  <c r="Q145" i="3"/>
  <c r="B144" i="3"/>
  <c r="M144" i="3"/>
  <c r="F144" i="3"/>
  <c r="N144" i="3"/>
  <c r="L141" i="3"/>
  <c r="I141" i="3"/>
  <c r="P141" i="3"/>
  <c r="I134" i="3"/>
  <c r="C134" i="3"/>
  <c r="P134" i="3"/>
  <c r="G134" i="3"/>
  <c r="E134" i="5" s="1"/>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H4" i="21" s="1"/>
  <c r="D36" i="2"/>
  <c r="I4" i="21" s="1"/>
  <c r="M36" i="2"/>
  <c r="E36" i="2"/>
  <c r="J4" i="21" s="1"/>
  <c r="P36" i="2"/>
  <c r="D4" i="21" s="1"/>
  <c r="L189" i="3"/>
  <c r="F189" i="3"/>
  <c r="Q189" i="3"/>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B4" i="21" s="1"/>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A172" i="7"/>
  <c r="I172" i="7" s="1"/>
  <c r="I164" i="6"/>
  <c r="Q164" i="12" s="1"/>
  <c r="K164" i="6"/>
  <c r="A164" i="7"/>
  <c r="E164" i="7" s="1"/>
  <c r="B147" i="6"/>
  <c r="F147" i="6"/>
  <c r="I147" i="6"/>
  <c r="M147" i="12" s="1"/>
  <c r="L147" i="6"/>
  <c r="O147" i="12" s="1"/>
  <c r="B135" i="6"/>
  <c r="F135" i="6"/>
  <c r="J135" i="6"/>
  <c r="N135" i="6"/>
  <c r="C135" i="6"/>
  <c r="G135" i="6"/>
  <c r="K135" i="6"/>
  <c r="O135" i="6"/>
  <c r="D135" i="6"/>
  <c r="H135" i="6"/>
  <c r="P135" i="12" s="1"/>
  <c r="L135" i="6"/>
  <c r="B125" i="6"/>
  <c r="E125" i="6"/>
  <c r="H125" i="6"/>
  <c r="J125" i="6"/>
  <c r="A125" i="7"/>
  <c r="E54" i="6"/>
  <c r="J54" i="6"/>
  <c r="A54" i="7"/>
  <c r="I54" i="7" s="1"/>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E48" i="5" s="1"/>
  <c r="F48" i="5" s="1"/>
  <c r="G48" i="5" s="1"/>
  <c r="L46" i="3"/>
  <c r="O45" i="3"/>
  <c r="O40" i="3"/>
  <c r="J40" i="3"/>
  <c r="D40" i="3"/>
  <c r="N36" i="3"/>
  <c r="I36" i="3"/>
  <c r="C36" i="3"/>
  <c r="E36" i="3" s="1"/>
  <c r="O35" i="3"/>
  <c r="P34" i="3"/>
  <c r="M32" i="3"/>
  <c r="F32" i="3"/>
  <c r="O31" i="3"/>
  <c r="P28" i="3"/>
  <c r="G28" i="3"/>
  <c r="I25" i="3"/>
  <c r="P24" i="3"/>
  <c r="G24" i="3"/>
  <c r="I20" i="3"/>
  <c r="O19" i="3"/>
  <c r="N16" i="3"/>
  <c r="L14" i="3"/>
  <c r="O13" i="3"/>
  <c r="L7" i="3"/>
  <c r="F189" i="7"/>
  <c r="A187" i="7"/>
  <c r="C187" i="7" s="1"/>
  <c r="E180" i="7"/>
  <c r="M171" i="7"/>
  <c r="I161" i="7"/>
  <c r="M152" i="7"/>
  <c r="F152" i="7"/>
  <c r="J148" i="7"/>
  <c r="F136" i="7"/>
  <c r="A135" i="7"/>
  <c r="B135" i="7" s="1"/>
  <c r="F114" i="7"/>
  <c r="E112" i="7"/>
  <c r="C112" i="7"/>
  <c r="I112" i="7"/>
  <c r="D112" i="7"/>
  <c r="L112" i="7"/>
  <c r="J83" i="7"/>
  <c r="B83" i="7"/>
  <c r="C81" i="7"/>
  <c r="H81" i="7"/>
  <c r="M81" i="7"/>
  <c r="D81" i="7"/>
  <c r="I81" i="7"/>
  <c r="O81" i="7"/>
  <c r="E81" i="7"/>
  <c r="K81" i="7"/>
  <c r="B63" i="7"/>
  <c r="F63" i="7"/>
  <c r="K63" i="7"/>
  <c r="E46" i="7"/>
  <c r="B46" i="7"/>
  <c r="M46" i="7"/>
  <c r="F46" i="7"/>
  <c r="H46" i="7"/>
  <c r="E150" i="6"/>
  <c r="A150" i="7"/>
  <c r="I150" i="7" s="1"/>
  <c r="M135" i="6"/>
  <c r="I66" i="6"/>
  <c r="M66" i="12" s="1"/>
  <c r="A66" i="7"/>
  <c r="M66" i="7" s="1"/>
  <c r="C62" i="6"/>
  <c r="A62" i="7"/>
  <c r="K62" i="7" s="1"/>
  <c r="B13" i="6"/>
  <c r="F13" i="6"/>
  <c r="J13" i="6"/>
  <c r="N13" i="6"/>
  <c r="C13" i="6"/>
  <c r="G13" i="6"/>
  <c r="K13" i="6"/>
  <c r="O13" i="6"/>
  <c r="D13" i="6"/>
  <c r="L13" i="6"/>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H36" i="3" s="1"/>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A147" i="7"/>
  <c r="L147" i="7" s="1"/>
  <c r="E136" i="7"/>
  <c r="C119" i="7"/>
  <c r="F119" i="7"/>
  <c r="C77" i="7"/>
  <c r="D77" i="7"/>
  <c r="O77" i="7"/>
  <c r="G77" i="7"/>
  <c r="I77" i="7"/>
  <c r="E185" i="6"/>
  <c r="I185" i="6"/>
  <c r="M185" i="6"/>
  <c r="B141" i="6"/>
  <c r="L141" i="6"/>
  <c r="O141" i="12" s="1"/>
  <c r="A141" i="7"/>
  <c r="I135" i="6"/>
  <c r="C76" i="6"/>
  <c r="L76" i="5" s="1"/>
  <c r="O76" i="6"/>
  <c r="A76" i="7"/>
  <c r="I76" i="7" s="1"/>
  <c r="F15" i="6"/>
  <c r="L15" i="6"/>
  <c r="A15" i="7"/>
  <c r="C15" i="7" s="1"/>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A160" i="7"/>
  <c r="I160" i="7" s="1"/>
  <c r="B152" i="6"/>
  <c r="I152" i="6"/>
  <c r="E135" i="6"/>
  <c r="F110" i="6"/>
  <c r="I110" i="6"/>
  <c r="K110" i="6"/>
  <c r="A110" i="7"/>
  <c r="C110" i="7" s="1"/>
  <c r="I102" i="6"/>
  <c r="A102" i="7"/>
  <c r="C87" i="6"/>
  <c r="H87" i="6"/>
  <c r="M87" i="6"/>
  <c r="D87" i="6"/>
  <c r="I87" i="6"/>
  <c r="Q87" i="12" s="1"/>
  <c r="O87" i="6"/>
  <c r="E87" i="6"/>
  <c r="G87" i="6"/>
  <c r="A87" i="7"/>
  <c r="F87" i="7" s="1"/>
  <c r="K87" i="6"/>
  <c r="R87" i="12" s="1"/>
  <c r="E83" i="6"/>
  <c r="G83" i="6"/>
  <c r="I83" i="6"/>
  <c r="Q83" i="12" s="1"/>
  <c r="C83" i="6"/>
  <c r="L83" i="5" s="1"/>
  <c r="M83" i="5" s="1"/>
  <c r="K83" i="6"/>
  <c r="R83" i="12" s="1"/>
  <c r="O83" i="6"/>
  <c r="B51" i="6"/>
  <c r="G51" i="6"/>
  <c r="M51" i="6"/>
  <c r="C51" i="6"/>
  <c r="I51" i="6"/>
  <c r="M51" i="12" s="1"/>
  <c r="N51" i="6"/>
  <c r="E51" i="6"/>
  <c r="O51" i="6"/>
  <c r="F51" i="6"/>
  <c r="J51" i="6"/>
  <c r="E28" i="6"/>
  <c r="A28" i="7"/>
  <c r="K173" i="10"/>
  <c r="E94" i="7"/>
  <c r="F42" i="7"/>
  <c r="K31" i="7"/>
  <c r="M27" i="7"/>
  <c r="G27" i="7"/>
  <c r="O21" i="7"/>
  <c r="C21" i="7"/>
  <c r="M12" i="7"/>
  <c r="N10" i="7"/>
  <c r="K7" i="7"/>
  <c r="G180" i="6"/>
  <c r="M177" i="6"/>
  <c r="E177" i="6"/>
  <c r="I176" i="6"/>
  <c r="M176" i="12" s="1"/>
  <c r="I175" i="6"/>
  <c r="M175" i="12" s="1"/>
  <c r="O173" i="6"/>
  <c r="H171" i="6"/>
  <c r="L163" i="6"/>
  <c r="L161" i="6"/>
  <c r="E161" i="6"/>
  <c r="N155" i="6"/>
  <c r="I155" i="6"/>
  <c r="D155" i="6"/>
  <c r="M153" i="6"/>
  <c r="L151" i="6"/>
  <c r="M149" i="6"/>
  <c r="I138" i="6"/>
  <c r="M138" i="12" s="1"/>
  <c r="G132" i="6"/>
  <c r="E130" i="6"/>
  <c r="M128" i="6"/>
  <c r="C128" i="6"/>
  <c r="M122" i="6"/>
  <c r="B122" i="6"/>
  <c r="H120" i="6"/>
  <c r="N119" i="6"/>
  <c r="I119" i="6"/>
  <c r="C119" i="6"/>
  <c r="G112" i="6"/>
  <c r="N111" i="6"/>
  <c r="C96" i="6"/>
  <c r="O96" i="6"/>
  <c r="G96" i="6"/>
  <c r="G80" i="6"/>
  <c r="K80" i="6"/>
  <c r="E59" i="6"/>
  <c r="J59" i="6"/>
  <c r="L59" i="6"/>
  <c r="L56" i="6"/>
  <c r="D56" i="6"/>
  <c r="I56" i="6"/>
  <c r="Q56" i="12" s="1"/>
  <c r="F42" i="6"/>
  <c r="I42" i="6"/>
  <c r="H36" i="6"/>
  <c r="C31" i="6"/>
  <c r="L31" i="5" s="1"/>
  <c r="K31" i="6"/>
  <c r="S31" i="12" s="1"/>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C99" i="6"/>
  <c r="G99" i="6"/>
  <c r="K99" i="6"/>
  <c r="B93" i="6"/>
  <c r="F93" i="6"/>
  <c r="L93" i="6"/>
  <c r="E81" i="6"/>
  <c r="L81" i="6"/>
  <c r="I68" i="6"/>
  <c r="O68" i="6"/>
  <c r="C52" i="6"/>
  <c r="H52" i="6"/>
  <c r="M52" i="6"/>
  <c r="D52" i="6"/>
  <c r="I52" i="6"/>
  <c r="O52" i="6"/>
  <c r="F50" i="6"/>
  <c r="I50" i="6"/>
  <c r="M50" i="12" s="1"/>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12" s="1"/>
  <c r="L119" i="6"/>
  <c r="C112" i="6"/>
  <c r="D112" i="6"/>
  <c r="K112" i="6"/>
  <c r="D85" i="6"/>
  <c r="I85" i="6"/>
  <c r="N85" i="6"/>
  <c r="I63" i="6"/>
  <c r="Q63" i="12" s="1"/>
  <c r="M63" i="6"/>
  <c r="H60" i="6"/>
  <c r="L60" i="6"/>
  <c r="O60" i="12" s="1"/>
  <c r="E36" i="6"/>
  <c r="C36" i="6"/>
  <c r="I36" i="6"/>
  <c r="M36" i="12" s="1"/>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R35" i="12" s="1"/>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C150" i="13"/>
  <c r="G150" i="13"/>
  <c r="C54" i="11"/>
  <c r="B54" i="11"/>
  <c r="H54" i="11"/>
  <c r="M54" i="11"/>
  <c r="D54" i="11"/>
  <c r="I54" i="11"/>
  <c r="N54" i="11"/>
  <c r="C52" i="11"/>
  <c r="D52" i="11"/>
  <c r="N52" i="11"/>
  <c r="F52" i="11"/>
  <c r="C50" i="11"/>
  <c r="L50" i="11"/>
  <c r="C47" i="11"/>
  <c r="K47" i="11"/>
  <c r="E35" i="11"/>
  <c r="H35" i="11"/>
  <c r="K35" i="11"/>
  <c r="D189" i="12"/>
  <c r="F189" i="12"/>
  <c r="G189" i="12"/>
  <c r="C181" i="12"/>
  <c r="F181" i="12"/>
  <c r="C122" i="12"/>
  <c r="F122" i="12"/>
  <c r="G122" i="12"/>
  <c r="B86" i="12"/>
  <c r="G86" i="12"/>
  <c r="C73" i="12"/>
  <c r="B73" i="12"/>
  <c r="E73" i="12"/>
  <c r="C70" i="12"/>
  <c r="F70" i="12"/>
  <c r="F60" i="12"/>
  <c r="C60" i="12"/>
  <c r="B41" i="12"/>
  <c r="C41" i="12"/>
  <c r="E41" i="12"/>
  <c r="G41" i="12"/>
  <c r="C37" i="12"/>
  <c r="B37" i="12"/>
  <c r="E37" i="12"/>
  <c r="F37" i="12"/>
  <c r="C14" i="12"/>
  <c r="G14" i="12"/>
  <c r="D149" i="13"/>
  <c r="B149" i="13"/>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K190" i="12"/>
  <c r="C138" i="12"/>
  <c r="E138" i="12"/>
  <c r="F138" i="12"/>
  <c r="C130" i="12"/>
  <c r="B130" i="12"/>
  <c r="F130" i="12"/>
  <c r="F126" i="12"/>
  <c r="E123" i="12"/>
  <c r="D103" i="12"/>
  <c r="F103" i="12"/>
  <c r="F89" i="12"/>
  <c r="D89" i="12"/>
  <c r="E62" i="12"/>
  <c r="G62" i="12"/>
  <c r="B44" i="12"/>
  <c r="C44" i="12"/>
  <c r="F44" i="12"/>
  <c r="D23" i="12"/>
  <c r="B23" i="12"/>
  <c r="F23" i="12"/>
  <c r="C158" i="13"/>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D176" i="13"/>
  <c r="F176" i="13"/>
  <c r="D157" i="13"/>
  <c r="B157" i="13"/>
  <c r="F157" i="13"/>
  <c r="G157" i="13"/>
  <c r="C49" i="12"/>
  <c r="F43" i="12"/>
  <c r="E122" i="13"/>
  <c r="F108" i="13"/>
  <c r="E104" i="13"/>
  <c r="E90" i="13"/>
  <c r="F86" i="13"/>
  <c r="F83" i="13"/>
  <c r="I60" i="11"/>
  <c r="I53" i="11"/>
  <c r="E151" i="12"/>
  <c r="F109" i="12"/>
  <c r="E99" i="12"/>
  <c r="E87" i="12"/>
  <c r="F63" i="12"/>
  <c r="G49" i="12"/>
  <c r="E40" i="12"/>
  <c r="C126" i="13"/>
  <c r="B122" i="13"/>
  <c r="G9" i="14"/>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I3" i="21" s="1"/>
  <c r="C150" i="2"/>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N88" i="2" s="1"/>
  <c r="O88" i="2" s="1"/>
  <c r="D88" i="2"/>
  <c r="F88" i="2" s="1"/>
  <c r="Q87" i="2"/>
  <c r="L85" i="2"/>
  <c r="R84" i="2"/>
  <c r="L84" i="2"/>
  <c r="D78" i="2"/>
  <c r="L78" i="2"/>
  <c r="B76" i="2"/>
  <c r="H76" i="2"/>
  <c r="M76" i="2"/>
  <c r="R76" i="2"/>
  <c r="I74" i="2"/>
  <c r="R72" i="2"/>
  <c r="H72" i="2"/>
  <c r="S68" i="2"/>
  <c r="L68" i="2"/>
  <c r="Q64" i="2"/>
  <c r="S59" i="2"/>
  <c r="E56" i="2"/>
  <c r="H56" i="2"/>
  <c r="S56" i="2"/>
  <c r="D48" i="2"/>
  <c r="G48" i="2" s="1"/>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E147" i="5" s="1"/>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E154" i="5" s="1"/>
  <c r="O154" i="3"/>
  <c r="C151" i="3"/>
  <c r="I151" i="3"/>
  <c r="G146" i="3"/>
  <c r="D146" i="3"/>
  <c r="O146" i="3"/>
  <c r="B142" i="3"/>
  <c r="C142" i="3"/>
  <c r="L142" i="3"/>
  <c r="Q142" i="3"/>
  <c r="D142" i="3"/>
  <c r="M142" i="3"/>
  <c r="G142" i="3"/>
  <c r="E142" i="5" s="1"/>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E76" i="5" s="1"/>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E99" i="5" s="1"/>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K112" i="3" s="1"/>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E53" i="5" s="1"/>
  <c r="L52" i="3"/>
  <c r="D96" i="3"/>
  <c r="F96" i="3"/>
  <c r="M96" i="3"/>
  <c r="I89" i="3"/>
  <c r="F89" i="3"/>
  <c r="G83" i="3"/>
  <c r="Q83" i="3"/>
  <c r="B81" i="3"/>
  <c r="F81" i="3"/>
  <c r="G79" i="3"/>
  <c r="I79" i="3"/>
  <c r="Q79" i="3"/>
  <c r="F74" i="3"/>
  <c r="D74" i="3"/>
  <c r="N74" i="3"/>
  <c r="I74" i="3"/>
  <c r="P74" i="3"/>
  <c r="D62" i="3"/>
  <c r="N62" i="3"/>
  <c r="F62" i="3"/>
  <c r="Q62" i="3"/>
  <c r="B61" i="3"/>
  <c r="M61" i="3"/>
  <c r="F61" i="3"/>
  <c r="O61" i="3"/>
  <c r="C60" i="3"/>
  <c r="B60" i="3"/>
  <c r="M60" i="3"/>
  <c r="F60" i="3"/>
  <c r="H60" i="3" s="1"/>
  <c r="P60" i="3"/>
  <c r="F58" i="3"/>
  <c r="N58" i="3"/>
  <c r="J50" i="3"/>
  <c r="L50" i="3"/>
  <c r="B38" i="3"/>
  <c r="F38" i="3"/>
  <c r="J37" i="3"/>
  <c r="C27" i="3"/>
  <c r="L27" i="3"/>
  <c r="J26" i="3"/>
  <c r="P23" i="3"/>
  <c r="M21" i="3"/>
  <c r="G13" i="3"/>
  <c r="Q13" i="3"/>
  <c r="J189" i="7"/>
  <c r="E183" i="7"/>
  <c r="I162" i="7"/>
  <c r="M162" i="7"/>
  <c r="N148" i="7"/>
  <c r="F148" i="7"/>
  <c r="O47" i="3"/>
  <c r="G47" i="3"/>
  <c r="J45" i="3"/>
  <c r="P44" i="3"/>
  <c r="M42" i="3"/>
  <c r="F42" i="3"/>
  <c r="Q37" i="3"/>
  <c r="G37" i="3"/>
  <c r="F34" i="3"/>
  <c r="M34" i="3"/>
  <c r="G31" i="3"/>
  <c r="E31" i="5" s="1"/>
  <c r="F31" i="5" s="1"/>
  <c r="G31" i="5" s="1"/>
  <c r="L31" i="3"/>
  <c r="C28" i="3"/>
  <c r="I28" i="3"/>
  <c r="N28" i="3"/>
  <c r="Q26" i="3"/>
  <c r="D26" i="3"/>
  <c r="M23" i="3"/>
  <c r="J21" i="3"/>
  <c r="J13" i="3"/>
  <c r="I9" i="3"/>
  <c r="F9" i="3"/>
  <c r="C189" i="7"/>
  <c r="D189" i="7"/>
  <c r="I189" i="7"/>
  <c r="N189" i="7"/>
  <c r="J163" i="7"/>
  <c r="M148" i="7"/>
  <c r="M77" i="3"/>
  <c r="M72" i="3"/>
  <c r="F72" i="3"/>
  <c r="P71" i="3"/>
  <c r="M68" i="3"/>
  <c r="F68" i="3"/>
  <c r="O67" i="3"/>
  <c r="M66" i="3"/>
  <c r="M64" i="3"/>
  <c r="F64" i="3"/>
  <c r="N57" i="3"/>
  <c r="P56" i="3"/>
  <c r="G56" i="3"/>
  <c r="E56" i="5" s="1"/>
  <c r="M47" i="3"/>
  <c r="F45" i="3"/>
  <c r="H45" i="3" s="1"/>
  <c r="L44" i="3"/>
  <c r="Q42" i="3"/>
  <c r="L42" i="3"/>
  <c r="L39" i="3"/>
  <c r="G39" i="3"/>
  <c r="E39" i="5" s="1"/>
  <c r="F39" i="5" s="1"/>
  <c r="G39" i="5" s="1"/>
  <c r="O37" i="3"/>
  <c r="I35" i="3"/>
  <c r="G35" i="3"/>
  <c r="E35" i="5" s="1"/>
  <c r="F35" i="5" s="1"/>
  <c r="G35" i="5" s="1"/>
  <c r="C32" i="3"/>
  <c r="I32" i="3"/>
  <c r="N32" i="3"/>
  <c r="Q30" i="3"/>
  <c r="M28" i="3"/>
  <c r="F28" i="3"/>
  <c r="Q27" i="3"/>
  <c r="N26" i="3"/>
  <c r="L23" i="3"/>
  <c r="C21" i="3"/>
  <c r="M18" i="3"/>
  <c r="C16" i="3"/>
  <c r="G16" i="3"/>
  <c r="F13" i="3"/>
  <c r="H13" i="3" s="1"/>
  <c r="G11" i="3"/>
  <c r="F10" i="3"/>
  <c r="L10" i="3"/>
  <c r="D167" i="7"/>
  <c r="C163" i="7"/>
  <c r="H163" i="7"/>
  <c r="F37" i="3"/>
  <c r="N37" i="3"/>
  <c r="I26" i="3"/>
  <c r="P26" i="3"/>
  <c r="C8" i="3"/>
  <c r="I8" i="3"/>
  <c r="N163" i="7"/>
  <c r="C148" i="7"/>
  <c r="G148" i="7"/>
  <c r="C3" i="21" s="1"/>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I173" i="6"/>
  <c r="B172" i="6"/>
  <c r="E172" i="6"/>
  <c r="I172" i="6"/>
  <c r="D171" i="6"/>
  <c r="B171" i="6"/>
  <c r="J171" i="6"/>
  <c r="E171" i="6"/>
  <c r="L171" i="6"/>
  <c r="I149" i="6"/>
  <c r="B148" i="6"/>
  <c r="C148" i="6"/>
  <c r="K148" i="6"/>
  <c r="E148" i="6"/>
  <c r="M148" i="6"/>
  <c r="G148" i="6"/>
  <c r="O148" i="6"/>
  <c r="D144" i="6"/>
  <c r="C144" i="6"/>
  <c r="K144" i="6"/>
  <c r="E144" i="6"/>
  <c r="L144" i="6"/>
  <c r="O144" i="12" s="1"/>
  <c r="G144" i="6"/>
  <c r="M144" i="6"/>
  <c r="I180" i="7"/>
  <c r="M144" i="7"/>
  <c r="E144" i="7"/>
  <c r="L136" i="7"/>
  <c r="H136" i="7"/>
  <c r="K135" i="7"/>
  <c r="M132" i="7"/>
  <c r="G132" i="7"/>
  <c r="B132" i="7"/>
  <c r="L114" i="7"/>
  <c r="K112" i="7"/>
  <c r="K111" i="7"/>
  <c r="G107" i="7"/>
  <c r="M105" i="7"/>
  <c r="M97" i="7"/>
  <c r="M94" i="7"/>
  <c r="L92" i="7"/>
  <c r="M72" i="7"/>
  <c r="K41" i="7"/>
  <c r="M30" i="7"/>
  <c r="C18" i="7"/>
  <c r="D18" i="7"/>
  <c r="I18" i="7"/>
  <c r="N18" i="7"/>
  <c r="E18" i="7"/>
  <c r="J18" i="7"/>
  <c r="J14" i="7"/>
  <c r="O7" i="7"/>
  <c r="E189" i="6"/>
  <c r="I189" i="6"/>
  <c r="M190" i="12" s="1"/>
  <c r="M189" i="6"/>
  <c r="C187" i="6"/>
  <c r="D187" i="6"/>
  <c r="I187" i="6"/>
  <c r="M187" i="12" s="1"/>
  <c r="N187" i="6"/>
  <c r="E187" i="6"/>
  <c r="J187" i="6"/>
  <c r="N179" i="6"/>
  <c r="C177" i="6"/>
  <c r="G177" i="6"/>
  <c r="K177" i="6"/>
  <c r="O177" i="6"/>
  <c r="D177" i="6"/>
  <c r="H177" i="6"/>
  <c r="L177" i="6"/>
  <c r="D176" i="6"/>
  <c r="E176" i="6"/>
  <c r="M176" i="6"/>
  <c r="G176" i="6"/>
  <c r="O176" i="6"/>
  <c r="M171" i="6"/>
  <c r="B164" i="6"/>
  <c r="C164" i="6"/>
  <c r="L164" i="5" s="1"/>
  <c r="O164" i="6"/>
  <c r="G164" i="6"/>
  <c r="C157" i="6"/>
  <c r="E157" i="6"/>
  <c r="I157" i="6"/>
  <c r="M157" i="6"/>
  <c r="B151" i="6"/>
  <c r="H151" i="6"/>
  <c r="M151" i="6"/>
  <c r="D151" i="6"/>
  <c r="I151" i="6"/>
  <c r="M151" i="12" s="1"/>
  <c r="N151" i="6"/>
  <c r="E151" i="6"/>
  <c r="J151" i="6"/>
  <c r="C143" i="6"/>
  <c r="L143" i="5" s="1"/>
  <c r="E143" i="6"/>
  <c r="I143" i="6"/>
  <c r="M143" i="6"/>
  <c r="D49" i="7"/>
  <c r="C45" i="7"/>
  <c r="D45" i="7"/>
  <c r="O45" i="7"/>
  <c r="G45" i="7"/>
  <c r="C22" i="7"/>
  <c r="B22" i="7"/>
  <c r="J22" i="7"/>
  <c r="E22" i="7"/>
  <c r="L22" i="7"/>
  <c r="E20" i="7"/>
  <c r="M20" i="7"/>
  <c r="B173" i="6"/>
  <c r="C173" i="6"/>
  <c r="K173" i="6"/>
  <c r="E173" i="6"/>
  <c r="M173" i="6"/>
  <c r="B160" i="6"/>
  <c r="C160" i="6"/>
  <c r="L160" i="5" s="1"/>
  <c r="O160" i="6"/>
  <c r="G160" i="6"/>
  <c r="I160" i="6"/>
  <c r="B149" i="6"/>
  <c r="F149" i="6"/>
  <c r="J149" i="6"/>
  <c r="N149" i="6"/>
  <c r="C149" i="6"/>
  <c r="G149" i="6"/>
  <c r="K149" i="6"/>
  <c r="N149" i="12" s="1"/>
  <c r="O149" i="6"/>
  <c r="D149" i="6"/>
  <c r="H149" i="6"/>
  <c r="L149" i="6"/>
  <c r="B58" i="7"/>
  <c r="F58" i="7"/>
  <c r="L58" i="7"/>
  <c r="C57" i="7"/>
  <c r="D54" i="7"/>
  <c r="E41" i="7"/>
  <c r="C41" i="7"/>
  <c r="M41" i="7"/>
  <c r="G41" i="7"/>
  <c r="M22" i="7"/>
  <c r="C31" i="7"/>
  <c r="C13" i="7"/>
  <c r="I186" i="6"/>
  <c r="M186" i="12" s="1"/>
  <c r="M183" i="6"/>
  <c r="H183" i="6"/>
  <c r="B183" i="6"/>
  <c r="N181" i="6"/>
  <c r="J181" i="6"/>
  <c r="F181" i="6"/>
  <c r="K180" i="6"/>
  <c r="N180" i="12" s="1"/>
  <c r="C180" i="6"/>
  <c r="N175" i="6"/>
  <c r="D175" i="6"/>
  <c r="F163" i="6"/>
  <c r="M161" i="6"/>
  <c r="H161" i="6"/>
  <c r="B161" i="6"/>
  <c r="L159" i="6"/>
  <c r="I156" i="6"/>
  <c r="Q156" i="12" s="1"/>
  <c r="I153" i="6"/>
  <c r="N147" i="6"/>
  <c r="D147" i="6"/>
  <c r="K142" i="6"/>
  <c r="H141" i="6"/>
  <c r="O139" i="6"/>
  <c r="G139" i="6"/>
  <c r="N138" i="6"/>
  <c r="C138" i="6"/>
  <c r="H136" i="6"/>
  <c r="F133" i="6"/>
  <c r="J131" i="6"/>
  <c r="E131" i="6"/>
  <c r="N126" i="6"/>
  <c r="L125" i="6"/>
  <c r="F123" i="6"/>
  <c r="M120" i="6"/>
  <c r="O116" i="6"/>
  <c r="L115" i="6"/>
  <c r="O115" i="12" s="1"/>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O85" i="12" s="1"/>
  <c r="E85" i="6"/>
  <c r="K84" i="6"/>
  <c r="R84" i="12" s="1"/>
  <c r="H81" i="6"/>
  <c r="E80" i="6"/>
  <c r="I80" i="6"/>
  <c r="M80" i="12" s="1"/>
  <c r="L77" i="6"/>
  <c r="O77" i="12" s="1"/>
  <c r="E77" i="6"/>
  <c r="K76" i="6"/>
  <c r="D73" i="6"/>
  <c r="F73" i="6"/>
  <c r="M73" i="6"/>
  <c r="E72" i="6"/>
  <c r="C72" i="6"/>
  <c r="L72" i="5" s="1"/>
  <c r="O72" i="6"/>
  <c r="I67" i="6"/>
  <c r="F61" i="6"/>
  <c r="I55" i="6"/>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L121" i="6"/>
  <c r="L116" i="6"/>
  <c r="F115" i="6"/>
  <c r="G107" i="6"/>
  <c r="H105" i="6"/>
  <c r="L105" i="12" s="1"/>
  <c r="M99" i="6"/>
  <c r="H99" i="6"/>
  <c r="L99" i="12" s="1"/>
  <c r="M97" i="6"/>
  <c r="B97" i="6"/>
  <c r="O95" i="6"/>
  <c r="D95" i="6"/>
  <c r="N93" i="6"/>
  <c r="I93" i="6"/>
  <c r="M93" i="12" s="1"/>
  <c r="D93" i="6"/>
  <c r="K92" i="6"/>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Q43" i="12" s="1"/>
  <c r="E35" i="6"/>
  <c r="G35" i="6"/>
  <c r="O35" i="6"/>
  <c r="I35" i="6"/>
  <c r="Q35" i="12" s="1"/>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L126" i="5" s="1"/>
  <c r="F121" i="6"/>
  <c r="I117" i="6"/>
  <c r="D116" i="6"/>
  <c r="O107" i="6"/>
  <c r="D107" i="6"/>
  <c r="O100" i="6"/>
  <c r="M93" i="6"/>
  <c r="H93" i="6"/>
  <c r="P93" i="12" s="1"/>
  <c r="C92" i="6"/>
  <c r="L92" i="5" s="1"/>
  <c r="E89" i="6"/>
  <c r="B85" i="6"/>
  <c r="H85" i="6"/>
  <c r="P85" i="12" s="1"/>
  <c r="M85" i="6"/>
  <c r="G84" i="6"/>
  <c r="I84" i="6"/>
  <c r="Q84" i="12" s="1"/>
  <c r="M81" i="6"/>
  <c r="B77" i="6"/>
  <c r="H77" i="6"/>
  <c r="M77" i="6"/>
  <c r="G76" i="6"/>
  <c r="I76" i="6"/>
  <c r="O67" i="6"/>
  <c r="D64" i="6"/>
  <c r="G64" i="6"/>
  <c r="K62" i="6"/>
  <c r="S62" i="12" s="1"/>
  <c r="N55" i="6"/>
  <c r="E46" i="6"/>
  <c r="C46" i="6"/>
  <c r="L46" i="5" s="1"/>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L55" i="5" s="1"/>
  <c r="E55" i="6"/>
  <c r="J55" i="6"/>
  <c r="O55" i="6"/>
  <c r="F55" i="6"/>
  <c r="K55" i="6"/>
  <c r="C47" i="6"/>
  <c r="L47" i="5" s="1"/>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M39" i="12" s="1"/>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3" i="2"/>
  <c r="F245"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P48" i="5" s="1"/>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P20" i="5" s="1"/>
  <c r="C20" i="5"/>
  <c r="K18" i="5"/>
  <c r="N17" i="5"/>
  <c r="O16" i="5"/>
  <c r="C16" i="5"/>
  <c r="K14" i="5"/>
  <c r="N13" i="5"/>
  <c r="O12" i="5"/>
  <c r="P12" i="5" s="1"/>
  <c r="C12" i="5"/>
  <c r="K10" i="5"/>
  <c r="N9" i="5"/>
  <c r="O8" i="5"/>
  <c r="P8" i="5" s="1"/>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K189" i="11"/>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P137" i="5" s="1"/>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F189" i="11"/>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C190" i="12"/>
  <c r="I190" i="12"/>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C179" i="13"/>
  <c r="E179" i="13"/>
  <c r="B168" i="13"/>
  <c r="E168" i="13"/>
  <c r="G154" i="13"/>
  <c r="B25" i="12"/>
  <c r="C25" i="12"/>
  <c r="G18" i="12"/>
  <c r="C18" i="12"/>
  <c r="D184" i="13"/>
  <c r="C184" i="13"/>
  <c r="E181" i="13"/>
  <c r="G181" i="13"/>
  <c r="B166" i="13"/>
  <c r="F166" i="13"/>
  <c r="D166" i="13"/>
  <c r="D162" i="13"/>
  <c r="B162" i="13"/>
  <c r="F162" i="13"/>
  <c r="C143" i="13"/>
  <c r="D143" i="13"/>
  <c r="D141" i="13"/>
  <c r="B141" i="13"/>
  <c r="G141" i="13"/>
  <c r="D133" i="13"/>
  <c r="F133" i="13"/>
  <c r="B133" i="13"/>
  <c r="E189" i="12"/>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E188" i="13"/>
  <c r="C174" i="13"/>
  <c r="G174" i="13"/>
  <c r="B170" i="13"/>
  <c r="F170" i="13"/>
  <c r="D170" i="13"/>
  <c r="G166" i="13"/>
  <c r="G162" i="13"/>
  <c r="D161" i="13"/>
  <c r="F161" i="13"/>
  <c r="D150" i="13"/>
  <c r="B150" i="13"/>
  <c r="F150" i="13"/>
  <c r="D146" i="13"/>
  <c r="B146" i="13"/>
  <c r="F146" i="13"/>
  <c r="B140" i="13"/>
  <c r="F140" i="13"/>
  <c r="B132" i="13"/>
  <c r="F132" i="13"/>
  <c r="E123" i="13"/>
  <c r="D123" i="13"/>
  <c r="G65" i="12"/>
  <c r="E54" i="12"/>
  <c r="E53" i="12"/>
  <c r="G46" i="12"/>
  <c r="E45" i="12"/>
  <c r="E31" i="12"/>
  <c r="C28" i="12"/>
  <c r="E28" i="12"/>
  <c r="G25" i="12"/>
  <c r="C21" i="12"/>
  <c r="B21" i="12"/>
  <c r="E13" i="12"/>
  <c r="F11" i="12"/>
  <c r="G180" i="13"/>
  <c r="C180" i="13"/>
  <c r="D169" i="13"/>
  <c r="C169" i="13"/>
  <c r="E166" i="13"/>
  <c r="B165" i="13"/>
  <c r="G165" i="13"/>
  <c r="E162" i="13"/>
  <c r="B154" i="13"/>
  <c r="F154" i="13"/>
  <c r="D154" i="13"/>
  <c r="D145" i="13"/>
  <c r="F145" i="13"/>
  <c r="C142" i="13"/>
  <c r="G142" i="13"/>
  <c r="D139" i="13"/>
  <c r="G139" i="13"/>
  <c r="G133" i="13"/>
  <c r="D131" i="13"/>
  <c r="E131" i="13"/>
  <c r="E149" i="13"/>
  <c r="G138" i="13"/>
  <c r="E126" i="13"/>
  <c r="F125" i="13"/>
  <c r="G122" i="13"/>
  <c r="D116" i="13"/>
  <c r="G114" i="13"/>
  <c r="D108" i="13"/>
  <c r="G106" i="13"/>
  <c r="D100" i="13"/>
  <c r="G98" i="13"/>
  <c r="D92" i="13"/>
  <c r="G90" i="13"/>
  <c r="C78" i="13"/>
  <c r="C76" i="13"/>
  <c r="B73" i="13"/>
  <c r="B72" i="13"/>
  <c r="F67" i="13"/>
  <c r="D65" i="13"/>
  <c r="B56" i="13"/>
  <c r="E51" i="13"/>
  <c r="F48" i="13"/>
  <c r="F47" i="13"/>
  <c r="E45" i="13"/>
  <c r="E43" i="13"/>
  <c r="F41" i="13"/>
  <c r="F27" i="13"/>
  <c r="B25" i="13"/>
  <c r="E25" i="13"/>
  <c r="E8" i="13"/>
  <c r="G8" i="13"/>
  <c r="E184" i="14"/>
  <c r="C183" i="14"/>
  <c r="F183" i="14"/>
  <c r="B176" i="14"/>
  <c r="G176" i="14" s="1"/>
  <c r="C176" i="14"/>
  <c r="B167" i="14"/>
  <c r="F167" i="14"/>
  <c r="C151" i="14"/>
  <c r="E151" i="14"/>
  <c r="B151" i="14"/>
  <c r="D144" i="14"/>
  <c r="C144" i="14"/>
  <c r="C110" i="14"/>
  <c r="E110" i="14"/>
  <c r="F68" i="13"/>
  <c r="E67" i="13"/>
  <c r="G65" i="13"/>
  <c r="C65" i="13"/>
  <c r="F61" i="13"/>
  <c r="F49" i="13"/>
  <c r="E48" i="13"/>
  <c r="E41" i="13"/>
  <c r="D35" i="13"/>
  <c r="E35" i="13"/>
  <c r="E27" i="13"/>
  <c r="C23" i="13"/>
  <c r="E23" i="13"/>
  <c r="C11" i="13"/>
  <c r="B11" i="13"/>
  <c r="F7" i="13"/>
  <c r="C189" i="14"/>
  <c r="B189" i="14"/>
  <c r="G189" i="14" s="1"/>
  <c r="C187" i="14"/>
  <c r="E187" i="14"/>
  <c r="G187" i="14" s="1"/>
  <c r="D172" i="14"/>
  <c r="B172" i="14"/>
  <c r="G172" i="14" s="1"/>
  <c r="B169" i="14"/>
  <c r="D169" i="14"/>
  <c r="E154" i="14"/>
  <c r="C154" i="14"/>
  <c r="D146" i="14"/>
  <c r="E146" i="14"/>
  <c r="C131" i="14"/>
  <c r="B131" i="14"/>
  <c r="E131" i="14"/>
  <c r="C122" i="14"/>
  <c r="E122" i="14"/>
  <c r="E81" i="13"/>
  <c r="E75" i="13"/>
  <c r="B67" i="13"/>
  <c r="F65" i="13"/>
  <c r="B61" i="13"/>
  <c r="F56" i="13"/>
  <c r="B49" i="13"/>
  <c r="C48" i="13"/>
  <c r="F44" i="13"/>
  <c r="G42" i="13"/>
  <c r="D25" i="13"/>
  <c r="E24" i="13"/>
  <c r="G24" i="13"/>
  <c r="F11" i="13"/>
  <c r="B9" i="13"/>
  <c r="E9" i="13"/>
  <c r="F189" i="14"/>
  <c r="C177" i="14"/>
  <c r="D177" i="14"/>
  <c r="F172" i="14"/>
  <c r="D171" i="14"/>
  <c r="F169" i="14"/>
  <c r="C143" i="14"/>
  <c r="B143" i="14"/>
  <c r="F143" i="14"/>
  <c r="F140" i="14"/>
  <c r="C128" i="14"/>
  <c r="E128" i="14"/>
  <c r="C27" i="13"/>
  <c r="B27" i="13"/>
  <c r="C7" i="13"/>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G189"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J128" i="2" s="1"/>
  <c r="K128" i="2" s="1"/>
  <c r="Q127" i="2"/>
  <c r="S124" i="2"/>
  <c r="I124" i="2"/>
  <c r="C124" i="2"/>
  <c r="I123" i="2"/>
  <c r="I122" i="2"/>
  <c r="L121" i="2"/>
  <c r="N120" i="2"/>
  <c r="O120" i="2" s="1"/>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E143" i="3" s="1"/>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E107" i="5" s="1"/>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E150" i="5" s="1"/>
  <c r="O150" i="3"/>
  <c r="B139" i="3"/>
  <c r="G139" i="3"/>
  <c r="M139" i="3"/>
  <c r="Q139" i="3"/>
  <c r="B138" i="3"/>
  <c r="G138" i="3"/>
  <c r="E138" i="5" s="1"/>
  <c r="O138" i="3"/>
  <c r="F136" i="3"/>
  <c r="Q136" i="3"/>
  <c r="B123" i="3"/>
  <c r="G123" i="3"/>
  <c r="E123" i="5" s="1"/>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H167" i="3" s="1"/>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F44" i="2" s="1"/>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E95" i="5" s="1"/>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E60" i="3" s="1"/>
  <c r="Q59" i="3"/>
  <c r="Q58" i="3"/>
  <c r="L58" i="3"/>
  <c r="D58" i="3"/>
  <c r="N56" i="3"/>
  <c r="I56" i="3"/>
  <c r="D56" i="3"/>
  <c r="E56" i="3" s="1"/>
  <c r="Q55" i="3"/>
  <c r="G55" i="3"/>
  <c r="E55" i="5" s="1"/>
  <c r="L54" i="3"/>
  <c r="O52" i="3"/>
  <c r="J52" i="3"/>
  <c r="D52" i="3"/>
  <c r="Q51" i="3"/>
  <c r="G51" i="3"/>
  <c r="E51" i="5" s="1"/>
  <c r="P50" i="3"/>
  <c r="F50" i="3"/>
  <c r="O48" i="3"/>
  <c r="J48" i="3"/>
  <c r="D48" i="3"/>
  <c r="E48" i="3" s="1"/>
  <c r="N44" i="3"/>
  <c r="I44" i="3"/>
  <c r="C44" i="3"/>
  <c r="E44" i="3" s="1"/>
  <c r="L43" i="3"/>
  <c r="I41" i="3"/>
  <c r="L34" i="3"/>
  <c r="Q31" i="3"/>
  <c r="I31" i="3"/>
  <c r="D30" i="3"/>
  <c r="N30" i="3"/>
  <c r="G29" i="3"/>
  <c r="H29" i="3" s="1"/>
  <c r="D24" i="3"/>
  <c r="J24" i="3"/>
  <c r="O24" i="3"/>
  <c r="B22" i="3"/>
  <c r="L22" i="3"/>
  <c r="B21" i="3"/>
  <c r="I21" i="3"/>
  <c r="K21" i="3" s="1"/>
  <c r="O21" i="3"/>
  <c r="M20" i="3"/>
  <c r="F20" i="3"/>
  <c r="G19" i="3"/>
  <c r="E19" i="5" s="1"/>
  <c r="F19" i="5" s="1"/>
  <c r="G19" i="5" s="1"/>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G23" i="3"/>
  <c r="E23" i="5" s="1"/>
  <c r="F23" i="5" s="1"/>
  <c r="G23" i="5" s="1"/>
  <c r="Q23" i="3"/>
  <c r="Q21" i="3"/>
  <c r="G21" i="3"/>
  <c r="E21" i="5" s="1"/>
  <c r="F21" i="5" s="1"/>
  <c r="G21" i="5" s="1"/>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I177" i="7"/>
  <c r="O171" i="7"/>
  <c r="K171" i="7"/>
  <c r="G171" i="7"/>
  <c r="C171" i="7"/>
  <c r="I157" i="7"/>
  <c r="F151" i="7"/>
  <c r="K145" i="7"/>
  <c r="E145" i="7"/>
  <c r="O144" i="7"/>
  <c r="K144" i="7"/>
  <c r="G144" i="7"/>
  <c r="C144" i="7"/>
  <c r="I135" i="7"/>
  <c r="N134" i="7"/>
  <c r="B119"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C189" i="6"/>
  <c r="L166" i="5" s="1"/>
  <c r="G189" i="6"/>
  <c r="K189" i="6"/>
  <c r="N190" i="12" s="1"/>
  <c r="O189" i="6"/>
  <c r="D189" i="6"/>
  <c r="H189" i="6"/>
  <c r="L190" i="12" s="1"/>
  <c r="L189" i="6"/>
  <c r="O190" i="12" s="1"/>
  <c r="B189" i="6"/>
  <c r="F189" i="6"/>
  <c r="J189" i="6"/>
  <c r="N189" i="6"/>
  <c r="D64" i="7"/>
  <c r="H64" i="7"/>
  <c r="L64" i="7"/>
  <c r="B64" i="7"/>
  <c r="F64" i="7"/>
  <c r="J64" i="7"/>
  <c r="N64" i="7"/>
  <c r="B60" i="7"/>
  <c r="C19" i="7"/>
  <c r="I19" i="7"/>
  <c r="M19" i="7"/>
  <c r="E19" i="7"/>
  <c r="D184" i="6"/>
  <c r="E184" i="6"/>
  <c r="M184" i="6"/>
  <c r="G184" i="6"/>
  <c r="O184" i="6"/>
  <c r="C184" i="6"/>
  <c r="K184" i="6"/>
  <c r="B74" i="7"/>
  <c r="L74" i="7"/>
  <c r="F67" i="7"/>
  <c r="M67" i="7"/>
  <c r="B67" i="7"/>
  <c r="J67" i="7"/>
  <c r="O64" i="7"/>
  <c r="G64" i="7"/>
  <c r="G11" i="7"/>
  <c r="D188" i="6"/>
  <c r="E188" i="6"/>
  <c r="M188" i="6"/>
  <c r="G188" i="6"/>
  <c r="O188" i="6"/>
  <c r="C188" i="6"/>
  <c r="K188" i="6"/>
  <c r="N188" i="12" s="1"/>
  <c r="I65" i="7"/>
  <c r="L46" i="7"/>
  <c r="L42" i="7"/>
  <c r="L41" i="7"/>
  <c r="F31" i="7"/>
  <c r="L30" i="7"/>
  <c r="N22" i="7"/>
  <c r="I22" i="7"/>
  <c r="D22" i="7"/>
  <c r="M21" i="7"/>
  <c r="N14" i="7"/>
  <c r="I14" i="7"/>
  <c r="D14" i="7"/>
  <c r="K8" i="7"/>
  <c r="M7" i="7"/>
  <c r="E7" i="7"/>
  <c r="J179" i="6"/>
  <c r="E179" i="6"/>
  <c r="I178" i="6"/>
  <c r="M178" i="12" s="1"/>
  <c r="J175" i="6"/>
  <c r="E175" i="6"/>
  <c r="L173" i="6"/>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L156" i="5" s="1"/>
  <c r="N153" i="6"/>
  <c r="J153" i="6"/>
  <c r="F153" i="6"/>
  <c r="B153" i="6"/>
  <c r="K152" i="6"/>
  <c r="C152" i="6"/>
  <c r="L152" i="5" s="1"/>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L110" i="5" s="1"/>
  <c r="N110" i="6"/>
  <c r="K107" i="6"/>
  <c r="S107" i="12" s="1"/>
  <c r="E107" i="6"/>
  <c r="J105" i="6"/>
  <c r="I104" i="6"/>
  <c r="O103" i="6"/>
  <c r="I103" i="6"/>
  <c r="M103" i="12" s="1"/>
  <c r="C100" i="6"/>
  <c r="B99" i="6"/>
  <c r="F99" i="6"/>
  <c r="J99" i="6"/>
  <c r="N99" i="6"/>
  <c r="L97" i="6"/>
  <c r="O97" i="12" s="1"/>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O123" i="12" s="1"/>
  <c r="B117" i="6"/>
  <c r="H117" i="6"/>
  <c r="M117" i="6"/>
  <c r="C115" i="6"/>
  <c r="G115" i="6"/>
  <c r="K115" i="6"/>
  <c r="O115" i="6"/>
  <c r="D105" i="6"/>
  <c r="I105" i="6"/>
  <c r="M105" i="12" s="1"/>
  <c r="N105" i="6"/>
  <c r="C102" i="6"/>
  <c r="L102" i="5" s="1"/>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O53" i="12" s="1"/>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L153" i="12" s="1"/>
  <c r="D153" i="6"/>
  <c r="O152" i="6"/>
  <c r="G152" i="6"/>
  <c r="M147" i="6"/>
  <c r="H147" i="6"/>
  <c r="L143" i="6"/>
  <c r="O143" i="12" s="1"/>
  <c r="H143" i="6"/>
  <c r="P143" i="12" s="1"/>
  <c r="D143" i="6"/>
  <c r="N142" i="6"/>
  <c r="C142" i="6"/>
  <c r="L142" i="5" s="1"/>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D115" i="6"/>
  <c r="B107" i="6"/>
  <c r="F107" i="6"/>
  <c r="J107" i="6"/>
  <c r="N107" i="6"/>
  <c r="L105" i="6"/>
  <c r="E105" i="6"/>
  <c r="E104" i="6"/>
  <c r="M104" i="6"/>
  <c r="M102" i="6"/>
  <c r="I100" i="6"/>
  <c r="M100" i="12" s="1"/>
  <c r="B95" i="6"/>
  <c r="F95" i="6"/>
  <c r="J95" i="6"/>
  <c r="N95" i="6"/>
  <c r="O91" i="6"/>
  <c r="I91" i="6"/>
  <c r="M91" i="12" s="1"/>
  <c r="D91" i="6"/>
  <c r="D89" i="6"/>
  <c r="I89" i="6"/>
  <c r="Q89" i="12" s="1"/>
  <c r="N89" i="6"/>
  <c r="G88" i="6"/>
  <c r="M79" i="6"/>
  <c r="E79" i="6"/>
  <c r="C78" i="6"/>
  <c r="M78" i="6"/>
  <c r="E78" i="6"/>
  <c r="D75" i="6"/>
  <c r="H75" i="6"/>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59" i="6"/>
  <c r="K59" i="6"/>
  <c r="G59" i="6"/>
  <c r="L55" i="6"/>
  <c r="H55" i="6"/>
  <c r="P55" i="12" s="1"/>
  <c r="D55" i="6"/>
  <c r="D51" i="6"/>
  <c r="H51" i="6"/>
  <c r="P51" i="12" s="1"/>
  <c r="L51" i="6"/>
  <c r="O51" i="12" s="1"/>
  <c r="C50" i="6"/>
  <c r="L50" i="5" s="1"/>
  <c r="N50" i="6"/>
  <c r="L48" i="6"/>
  <c r="M47" i="6"/>
  <c r="H47" i="6"/>
  <c r="K46" i="6"/>
  <c r="S46" i="12" s="1"/>
  <c r="M43" i="6"/>
  <c r="G43" i="6"/>
  <c r="M39" i="6"/>
  <c r="H39" i="6"/>
  <c r="L39" i="12" s="1"/>
  <c r="E38" i="6"/>
  <c r="K38" i="6"/>
  <c r="M35" i="6"/>
  <c r="D31" i="6"/>
  <c r="H31" i="6"/>
  <c r="L31" i="6"/>
  <c r="O31" i="12" s="1"/>
  <c r="B31" i="6"/>
  <c r="F31" i="6"/>
  <c r="J31" i="6"/>
  <c r="N31" i="6"/>
  <c r="G30" i="6"/>
  <c r="O30" i="6"/>
  <c r="C30" i="6"/>
  <c r="K30" i="6"/>
  <c r="M27" i="6"/>
  <c r="I22" i="6"/>
  <c r="Q22" i="12" s="1"/>
  <c r="I18" i="6"/>
  <c r="D18" i="6"/>
  <c r="O18" i="6"/>
  <c r="C12" i="6"/>
  <c r="L12" i="5" s="1"/>
  <c r="K12" i="6"/>
  <c r="K9" i="6"/>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N47" i="12" s="1"/>
  <c r="E47" i="6"/>
  <c r="B46" i="6"/>
  <c r="G46" i="6"/>
  <c r="M46" i="6"/>
  <c r="O43" i="6"/>
  <c r="J43" i="6"/>
  <c r="E43" i="6"/>
  <c r="K42" i="6"/>
  <c r="N42" i="12" s="1"/>
  <c r="K39" i="6"/>
  <c r="S39" i="12" s="1"/>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M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O33" i="12" s="1"/>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1" i="2"/>
  <c r="G245"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P139" i="5"/>
  <c r="K138" i="5"/>
  <c r="K134" i="5"/>
  <c r="K130" i="5"/>
  <c r="K126" i="5"/>
  <c r="K122" i="5"/>
  <c r="K118" i="5"/>
  <c r="K114" i="5"/>
  <c r="K110" i="5"/>
  <c r="O108" i="5"/>
  <c r="C108" i="5"/>
  <c r="P107" i="5"/>
  <c r="K106" i="5"/>
  <c r="O104" i="5"/>
  <c r="C104" i="5"/>
  <c r="K102" i="5"/>
  <c r="O100" i="5"/>
  <c r="C100" i="5"/>
  <c r="K98" i="5"/>
  <c r="O96" i="5"/>
  <c r="C96" i="5"/>
  <c r="K94" i="5"/>
  <c r="O92" i="5"/>
  <c r="C92" i="5"/>
  <c r="K90" i="5"/>
  <c r="O88" i="5"/>
  <c r="C88" i="5"/>
  <c r="K86" i="5"/>
  <c r="O84" i="5"/>
  <c r="C84" i="5"/>
  <c r="K82" i="5"/>
  <c r="O80" i="5"/>
  <c r="C80" i="5"/>
  <c r="K78" i="5"/>
  <c r="O76" i="5"/>
  <c r="C76" i="5"/>
  <c r="K74" i="5"/>
  <c r="O72" i="5"/>
  <c r="P72" i="5" s="1"/>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M189" i="11"/>
  <c r="G189" i="11"/>
  <c r="B189" i="11"/>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P149" i="5"/>
  <c r="O146" i="5"/>
  <c r="O142" i="5"/>
  <c r="O138" i="5"/>
  <c r="O134" i="5"/>
  <c r="O130" i="5"/>
  <c r="P130" i="5" s="1"/>
  <c r="O126" i="5"/>
  <c r="P126" i="5" s="1"/>
  <c r="P125" i="5"/>
  <c r="O122" i="5"/>
  <c r="O118" i="5"/>
  <c r="O114" i="5"/>
  <c r="O110" i="5"/>
  <c r="K108" i="5"/>
  <c r="O106" i="5"/>
  <c r="K104" i="5"/>
  <c r="O102" i="5"/>
  <c r="K100" i="5"/>
  <c r="O98" i="5"/>
  <c r="P98" i="5" s="1"/>
  <c r="K96" i="5"/>
  <c r="O94" i="5"/>
  <c r="P93" i="5"/>
  <c r="K92" i="5"/>
  <c r="O90" i="5"/>
  <c r="P90" i="5" s="1"/>
  <c r="K88" i="5"/>
  <c r="O86" i="5"/>
  <c r="P86" i="5" s="1"/>
  <c r="P85" i="5"/>
  <c r="K84" i="5"/>
  <c r="O82" i="5"/>
  <c r="K80" i="5"/>
  <c r="O78" i="5"/>
  <c r="K76" i="5"/>
  <c r="O74" i="5"/>
  <c r="K72" i="5"/>
  <c r="O70" i="5"/>
  <c r="K68" i="5"/>
  <c r="O66" i="5"/>
  <c r="K64" i="5"/>
  <c r="O49" i="5"/>
  <c r="P49" i="5" s="1"/>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O189" i="11"/>
  <c r="J189" i="11"/>
  <c r="E189" i="11"/>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N189" i="11"/>
  <c r="I189" i="11"/>
  <c r="C189" i="11"/>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8" i="12"/>
  <c r="E188" i="12"/>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C189" i="12"/>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C183" i="13"/>
  <c r="E183" i="13"/>
  <c r="C182" i="13"/>
  <c r="D182" i="13"/>
  <c r="B180" i="13"/>
  <c r="F180" i="13"/>
  <c r="G176" i="13"/>
  <c r="B176" i="13"/>
  <c r="B174" i="13"/>
  <c r="F174" i="13"/>
  <c r="D173" i="13"/>
  <c r="E173" i="13"/>
  <c r="C167" i="13"/>
  <c r="G167" i="13"/>
  <c r="D165" i="13"/>
  <c r="C165" i="13"/>
  <c r="G158" i="13"/>
  <c r="E155" i="13"/>
  <c r="C155" i="13"/>
  <c r="C151" i="13"/>
  <c r="G151" i="13"/>
  <c r="D147" i="13"/>
  <c r="G147" i="13"/>
  <c r="C147" i="13"/>
  <c r="B144" i="13"/>
  <c r="E144" i="13"/>
  <c r="D136" i="13"/>
  <c r="B136" i="13"/>
  <c r="E136" i="13"/>
  <c r="F136" i="13"/>
  <c r="B128" i="13"/>
  <c r="D128" i="13"/>
  <c r="E128" i="13"/>
  <c r="D120" i="13"/>
  <c r="B120" i="13"/>
  <c r="E120" i="13"/>
  <c r="F120" i="13"/>
  <c r="B17" i="12"/>
  <c r="F17" i="12"/>
  <c r="D163" i="13"/>
  <c r="C163" i="13"/>
  <c r="B160" i="13"/>
  <c r="E160" i="13"/>
  <c r="D153" i="13"/>
  <c r="C153" i="13"/>
  <c r="E117" i="13"/>
  <c r="C117" i="13"/>
  <c r="G117" i="13"/>
  <c r="E109" i="13"/>
  <c r="C109" i="13"/>
  <c r="G109" i="13"/>
  <c r="E101" i="13"/>
  <c r="C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B188" i="13"/>
  <c r="F188" i="13"/>
  <c r="G184" i="13"/>
  <c r="B184" i="13"/>
  <c r="E182" i="13"/>
  <c r="C181" i="13"/>
  <c r="D180" i="13"/>
  <c r="E176" i="13"/>
  <c r="D174" i="13"/>
  <c r="F173" i="13"/>
  <c r="F169" i="13"/>
  <c r="E165" i="13"/>
  <c r="B164" i="13"/>
  <c r="D164" i="13"/>
  <c r="G155" i="13"/>
  <c r="B148" i="13"/>
  <c r="D148" i="13"/>
  <c r="F144" i="13"/>
  <c r="D142" i="13"/>
  <c r="B142" i="13"/>
  <c r="F142" i="13"/>
  <c r="G57" i="12"/>
  <c r="G33" i="12"/>
  <c r="D27" i="12"/>
  <c r="D17" i="12"/>
  <c r="C176" i="13"/>
  <c r="C175" i="13"/>
  <c r="G175" i="13"/>
  <c r="D168" i="13"/>
  <c r="F168" i="13"/>
  <c r="G163" i="13"/>
  <c r="F160" i="13"/>
  <c r="D158" i="13"/>
  <c r="B158" i="13"/>
  <c r="F158" i="13"/>
  <c r="D152" i="13"/>
  <c r="B152" i="13"/>
  <c r="F152" i="13"/>
  <c r="E139" i="13"/>
  <c r="C139" i="13"/>
  <c r="D137" i="13"/>
  <c r="C137" i="13"/>
  <c r="F137" i="13"/>
  <c r="D121" i="13"/>
  <c r="C121" i="13"/>
  <c r="F121" i="13"/>
  <c r="E113" i="13"/>
  <c r="C113" i="13"/>
  <c r="G113" i="13"/>
  <c r="E105" i="13"/>
  <c r="C105" i="13"/>
  <c r="G105" i="13"/>
  <c r="E97" i="13"/>
  <c r="C97" i="13"/>
  <c r="G97" i="13"/>
  <c r="C88" i="13"/>
  <c r="E88" i="13"/>
  <c r="C77" i="13"/>
  <c r="G77" i="13"/>
  <c r="D60" i="13"/>
  <c r="C60" i="13"/>
  <c r="F60" i="13"/>
  <c r="C57" i="13"/>
  <c r="G57" i="13"/>
  <c r="D57" i="13"/>
  <c r="C53" i="13"/>
  <c r="G53" i="13"/>
  <c r="D53" i="13"/>
  <c r="B39" i="13"/>
  <c r="F39" i="13"/>
  <c r="C33" i="13"/>
  <c r="G33" i="13"/>
  <c r="D33" i="13"/>
  <c r="C31" i="13"/>
  <c r="D31" i="13"/>
  <c r="E31" i="13"/>
  <c r="C26" i="13"/>
  <c r="E26" i="13"/>
  <c r="C17" i="13"/>
  <c r="G17" i="13"/>
  <c r="D17" i="13"/>
  <c r="C15" i="13"/>
  <c r="D15" i="13"/>
  <c r="E15" i="13"/>
  <c r="C10" i="13"/>
  <c r="E10" i="13"/>
  <c r="C181" i="14"/>
  <c r="B181" i="14"/>
  <c r="D181" i="14"/>
  <c r="E181" i="14"/>
  <c r="B179" i="14"/>
  <c r="F179" i="14"/>
  <c r="C179" i="14"/>
  <c r="D179" i="14"/>
  <c r="C170" i="14"/>
  <c r="E170" i="14"/>
  <c r="B45" i="14"/>
  <c r="F45" i="14"/>
  <c r="C45" i="14"/>
  <c r="D45" i="14"/>
  <c r="E45" i="14"/>
  <c r="C22" i="14"/>
  <c r="E22" i="14"/>
  <c r="G159" i="13"/>
  <c r="E157" i="13"/>
  <c r="C149" i="13"/>
  <c r="G143" i="13"/>
  <c r="E141" i="13"/>
  <c r="G135" i="13"/>
  <c r="C133" i="13"/>
  <c r="D132" i="13"/>
  <c r="C131" i="13"/>
  <c r="G127" i="13"/>
  <c r="F126" i="13"/>
  <c r="B126" i="13"/>
  <c r="E125" i="13"/>
  <c r="C123" i="13"/>
  <c r="G119" i="13"/>
  <c r="F88" i="13"/>
  <c r="C86" i="13"/>
  <c r="E85" i="13"/>
  <c r="G85" i="13"/>
  <c r="E77" i="13"/>
  <c r="D75" i="13"/>
  <c r="C73" i="13"/>
  <c r="G73" i="13"/>
  <c r="D72" i="13"/>
  <c r="F72" i="13"/>
  <c r="C70" i="13"/>
  <c r="D64" i="13"/>
  <c r="B64" i="13"/>
  <c r="G64" i="13"/>
  <c r="C64" i="13"/>
  <c r="F57" i="13"/>
  <c r="F53" i="13"/>
  <c r="C41" i="13"/>
  <c r="G41" i="13"/>
  <c r="D41" i="13"/>
  <c r="C37" i="13"/>
  <c r="G37" i="13"/>
  <c r="D37" i="13"/>
  <c r="F33" i="13"/>
  <c r="E32" i="13"/>
  <c r="C32" i="13"/>
  <c r="G32" i="13"/>
  <c r="E22" i="13"/>
  <c r="B21" i="13"/>
  <c r="F21" i="13"/>
  <c r="C21" i="13"/>
  <c r="G21" i="13"/>
  <c r="F17" i="13"/>
  <c r="E16" i="13"/>
  <c r="C16" i="13"/>
  <c r="G16" i="13"/>
  <c r="C162" i="14"/>
  <c r="D162" i="14"/>
  <c r="E162" i="14"/>
  <c r="C155" i="14"/>
  <c r="D155" i="14"/>
  <c r="F155" i="14"/>
  <c r="C147" i="14"/>
  <c r="F147" i="14"/>
  <c r="B145" i="14"/>
  <c r="F145" i="14"/>
  <c r="C145" i="14"/>
  <c r="D145" i="14"/>
  <c r="E145" i="14"/>
  <c r="G93" i="13"/>
  <c r="G89" i="13"/>
  <c r="D88" i="13"/>
  <c r="F79" i="13"/>
  <c r="D77" i="13"/>
  <c r="D71" i="13"/>
  <c r="F71" i="13"/>
  <c r="E57" i="13"/>
  <c r="E53" i="13"/>
  <c r="B45" i="13"/>
  <c r="F45" i="13"/>
  <c r="C45" i="13"/>
  <c r="G45" i="13"/>
  <c r="E33" i="13"/>
  <c r="F31" i="13"/>
  <c r="E28" i="13"/>
  <c r="G28" i="13"/>
  <c r="C19" i="13"/>
  <c r="B19" i="13"/>
  <c r="D19" i="13"/>
  <c r="E17" i="13"/>
  <c r="F15" i="13"/>
  <c r="E12" i="13"/>
  <c r="G12" i="13"/>
  <c r="C150" i="14"/>
  <c r="D150" i="14"/>
  <c r="C106" i="14"/>
  <c r="E106" i="14"/>
  <c r="G131" i="13"/>
  <c r="C93" i="13"/>
  <c r="C89" i="13"/>
  <c r="B88" i="13"/>
  <c r="C81" i="13"/>
  <c r="G81" i="13"/>
  <c r="D78" i="13"/>
  <c r="G78" i="13"/>
  <c r="B77" i="13"/>
  <c r="F75" i="13"/>
  <c r="D74" i="13"/>
  <c r="G70" i="13"/>
  <c r="B69" i="13"/>
  <c r="F69" i="13"/>
  <c r="C61" i="13"/>
  <c r="G61" i="13"/>
  <c r="D61" i="13"/>
  <c r="D59" i="13"/>
  <c r="E59" i="13"/>
  <c r="B57" i="13"/>
  <c r="B55" i="13"/>
  <c r="F55" i="13"/>
  <c r="B53" i="13"/>
  <c r="C49" i="13"/>
  <c r="G49" i="13"/>
  <c r="D49" i="13"/>
  <c r="D46" i="13"/>
  <c r="E46" i="13"/>
  <c r="G46" i="13"/>
  <c r="B43" i="13"/>
  <c r="D43" i="13"/>
  <c r="D39" i="13"/>
  <c r="B33" i="13"/>
  <c r="B31" i="13"/>
  <c r="B17" i="13"/>
  <c r="B15"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B51" i="13"/>
  <c r="G48" i="13"/>
  <c r="B48" i="13"/>
  <c r="C44" i="13"/>
  <c r="F36" i="13"/>
  <c r="B35" i="13"/>
  <c r="E30" i="13"/>
  <c r="F25" i="13"/>
  <c r="B23" i="13"/>
  <c r="C20" i="13"/>
  <c r="E14" i="13"/>
  <c r="F9" i="13"/>
  <c r="B7"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G8"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5" i="2"/>
  <c r="H241" i="2"/>
  <c r="B192" i="2"/>
  <c r="R192" i="2"/>
  <c r="D192" i="2"/>
  <c r="H192" i="2"/>
  <c r="L192" i="2"/>
  <c r="P192" i="2"/>
  <c r="E244"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J3" i="21" s="1"/>
  <c r="P152" i="2"/>
  <c r="C152" i="2"/>
  <c r="H3" i="21" s="1"/>
  <c r="H152" i="2"/>
  <c r="B3" i="21" s="1"/>
  <c r="M152" i="2"/>
  <c r="N152" i="2" s="1"/>
  <c r="O152" i="2" s="1"/>
  <c r="S152" i="2"/>
  <c r="D150" i="2"/>
  <c r="H150" i="2"/>
  <c r="J150" i="2" s="1"/>
  <c r="K150" i="2" s="1"/>
  <c r="L150" i="2"/>
  <c r="P150" i="2"/>
  <c r="B150" i="2"/>
  <c r="M150" i="2"/>
  <c r="R150" i="2"/>
  <c r="E150" i="2"/>
  <c r="Q148" i="2"/>
  <c r="Q146" i="2"/>
  <c r="B144" i="2"/>
  <c r="R144" i="2"/>
  <c r="E144" i="2"/>
  <c r="G144" i="2" s="1"/>
  <c r="P144" i="2"/>
  <c r="C144" i="2"/>
  <c r="F144" i="2" s="1"/>
  <c r="H144" i="2"/>
  <c r="J144" i="2" s="1"/>
  <c r="K144" i="2" s="1"/>
  <c r="M144" i="2"/>
  <c r="S144" i="2"/>
  <c r="Q142" i="2"/>
  <c r="F140" i="2"/>
  <c r="C138" i="2"/>
  <c r="F138" i="2" s="1"/>
  <c r="S138" i="2"/>
  <c r="B138" i="2"/>
  <c r="H138" i="2"/>
  <c r="M138" i="2"/>
  <c r="R138" i="2"/>
  <c r="E138" i="2"/>
  <c r="G138" i="2" s="1"/>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N106" i="2" s="1"/>
  <c r="O106" i="2" s="1"/>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N82" i="2" s="1"/>
  <c r="O82" i="2" s="1"/>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F42" i="2" s="1"/>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B6" i="28"/>
  <c r="D11" i="2"/>
  <c r="H11" i="2"/>
  <c r="L11" i="2"/>
  <c r="P11" i="2"/>
  <c r="C11" i="2"/>
  <c r="I11" i="2"/>
  <c r="S11" i="2"/>
  <c r="E11" i="2"/>
  <c r="B11" i="2"/>
  <c r="M11" i="2"/>
  <c r="R11" i="2"/>
  <c r="C189" i="3"/>
  <c r="G189" i="3"/>
  <c r="O189" i="3"/>
  <c r="D189" i="3"/>
  <c r="I189" i="3"/>
  <c r="N189" i="3"/>
  <c r="J189" i="3"/>
  <c r="P189" i="3"/>
  <c r="B189" i="3"/>
  <c r="M189" i="3"/>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J139" i="2" s="1"/>
  <c r="K139" i="2" s="1"/>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J109" i="2" s="1"/>
  <c r="K109" i="2" s="1"/>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J59" i="2" s="1"/>
  <c r="K59" i="2" s="1"/>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2" i="2"/>
  <c r="L164" i="2"/>
  <c r="D162" i="2"/>
  <c r="H162" i="2"/>
  <c r="L162" i="2"/>
  <c r="P162" i="2"/>
  <c r="E162" i="2"/>
  <c r="B162" i="2"/>
  <c r="M162" i="2"/>
  <c r="R162" i="2"/>
  <c r="L156" i="2"/>
  <c r="D154" i="2"/>
  <c r="H154" i="2"/>
  <c r="L154" i="2"/>
  <c r="P154" i="2"/>
  <c r="E154" i="2"/>
  <c r="B154" i="2"/>
  <c r="M154" i="2"/>
  <c r="R154" i="2"/>
  <c r="B148" i="2"/>
  <c r="R148" i="2"/>
  <c r="E3" i="21" s="1"/>
  <c r="C148" i="2"/>
  <c r="F148" i="2" s="1"/>
  <c r="H148" i="2"/>
  <c r="M148" i="2"/>
  <c r="N148" i="2" s="1"/>
  <c r="O148" i="2" s="1"/>
  <c r="S148" i="2"/>
  <c r="E148" i="2"/>
  <c r="G148" i="2" s="1"/>
  <c r="P148" i="2"/>
  <c r="D3" i="21" s="1"/>
  <c r="D146" i="2"/>
  <c r="H146" i="2"/>
  <c r="L146" i="2"/>
  <c r="P146" i="2"/>
  <c r="E146" i="2"/>
  <c r="B146" i="2"/>
  <c r="M146" i="2"/>
  <c r="R146" i="2"/>
  <c r="C142" i="2"/>
  <c r="S142" i="2"/>
  <c r="E142" i="2"/>
  <c r="P142" i="2"/>
  <c r="B142" i="2"/>
  <c r="H142" i="2"/>
  <c r="M142" i="2"/>
  <c r="N142" i="2" s="1"/>
  <c r="O142" i="2" s="1"/>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F78" i="2" s="1"/>
  <c r="S78" i="2"/>
  <c r="E78" i="2"/>
  <c r="G78" i="2" s="1"/>
  <c r="P78" i="2"/>
  <c r="B78" i="2"/>
  <c r="H78" i="2"/>
  <c r="M78" i="2"/>
  <c r="R78" i="2"/>
  <c r="C70" i="2"/>
  <c r="F70" i="2" s="1"/>
  <c r="S70" i="2"/>
  <c r="E70" i="2"/>
  <c r="G70" i="2" s="1"/>
  <c r="P70" i="2"/>
  <c r="B70" i="2"/>
  <c r="H70" i="2"/>
  <c r="M70" i="2"/>
  <c r="R70" i="2"/>
  <c r="C62" i="2"/>
  <c r="F62" i="2" s="1"/>
  <c r="S62" i="2"/>
  <c r="E62" i="2"/>
  <c r="G62" i="2" s="1"/>
  <c r="P62" i="2"/>
  <c r="B62" i="2"/>
  <c r="H62" i="2"/>
  <c r="M62" i="2"/>
  <c r="N62" i="2" s="1"/>
  <c r="O62" i="2" s="1"/>
  <c r="R62" i="2"/>
  <c r="C54" i="2"/>
  <c r="F54" i="2" s="1"/>
  <c r="S54" i="2"/>
  <c r="E54" i="2"/>
  <c r="G54" i="2" s="1"/>
  <c r="P54" i="2"/>
  <c r="B54" i="2"/>
  <c r="H54" i="2"/>
  <c r="M54" i="2"/>
  <c r="R54" i="2"/>
  <c r="C46" i="2"/>
  <c r="S46" i="2"/>
  <c r="E46" i="2"/>
  <c r="P46" i="2"/>
  <c r="B46" i="2"/>
  <c r="H46" i="2"/>
  <c r="M46" i="2"/>
  <c r="N46" i="2" s="1"/>
  <c r="O46" i="2" s="1"/>
  <c r="R46" i="2"/>
  <c r="C38" i="2"/>
  <c r="S38" i="2"/>
  <c r="E38" i="2"/>
  <c r="P38" i="2"/>
  <c r="B38" i="2"/>
  <c r="H38" i="2"/>
  <c r="M38" i="2"/>
  <c r="R38" i="2"/>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N157" i="2" s="1"/>
  <c r="O157" i="2" s="1"/>
  <c r="R157" i="2"/>
  <c r="I156" i="2"/>
  <c r="S154" i="2"/>
  <c r="I154" i="2"/>
  <c r="Q153" i="2"/>
  <c r="C149" i="2"/>
  <c r="S149" i="2"/>
  <c r="E149" i="2"/>
  <c r="P149" i="2"/>
  <c r="B149" i="2"/>
  <c r="H149" i="2"/>
  <c r="J149" i="2" s="1"/>
  <c r="K149" i="2" s="1"/>
  <c r="M149" i="2"/>
  <c r="R149" i="2"/>
  <c r="I148" i="2"/>
  <c r="S146" i="2"/>
  <c r="I146" i="2"/>
  <c r="Q145" i="2"/>
  <c r="D143" i="2"/>
  <c r="H143" i="2"/>
  <c r="J143" i="2" s="1"/>
  <c r="M143" i="2"/>
  <c r="N143" i="2" s="1"/>
  <c r="O143" i="2" s="1"/>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J119" i="2" s="1"/>
  <c r="K119" i="2" s="1"/>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N89" i="2" s="1"/>
  <c r="O89" i="2" s="1"/>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G57" i="2" s="1"/>
  <c r="P57" i="2"/>
  <c r="C57" i="2"/>
  <c r="F57" i="2" s="1"/>
  <c r="H57" i="2"/>
  <c r="J57" i="2" s="1"/>
  <c r="K57" i="2" s="1"/>
  <c r="M57" i="2"/>
  <c r="N57" i="2" s="1"/>
  <c r="O57" i="2" s="1"/>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J23" i="2" s="1"/>
  <c r="K23" i="2" s="1"/>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K180" i="3" s="1"/>
  <c r="L177" i="3"/>
  <c r="N172" i="3"/>
  <c r="F172" i="3"/>
  <c r="P169" i="3"/>
  <c r="D168" i="3"/>
  <c r="L168" i="3"/>
  <c r="P168" i="3"/>
  <c r="C168" i="3"/>
  <c r="G168" i="3"/>
  <c r="O168" i="3"/>
  <c r="C165" i="3"/>
  <c r="E165" i="3" s="1"/>
  <c r="G165" i="3"/>
  <c r="O165" i="3"/>
  <c r="B165" i="3"/>
  <c r="F165" i="3"/>
  <c r="J165" i="3"/>
  <c r="K165" i="3" s="1"/>
  <c r="N165" i="3"/>
  <c r="J164" i="3"/>
  <c r="L161" i="3"/>
  <c r="N156" i="3"/>
  <c r="F156" i="3"/>
  <c r="P153" i="3"/>
  <c r="D152" i="3"/>
  <c r="L152" i="3"/>
  <c r="P152" i="3"/>
  <c r="C152" i="3"/>
  <c r="G152" i="3"/>
  <c r="O152" i="3"/>
  <c r="C149" i="3"/>
  <c r="E149" i="3" s="1"/>
  <c r="G149" i="3"/>
  <c r="E149" i="5" s="1"/>
  <c r="O149" i="3"/>
  <c r="B149" i="3"/>
  <c r="F149" i="3"/>
  <c r="J149" i="3"/>
  <c r="N149" i="3"/>
  <c r="J148" i="3"/>
  <c r="L145" i="3"/>
  <c r="N140" i="3"/>
  <c r="F140" i="3"/>
  <c r="P137" i="3"/>
  <c r="D136" i="3"/>
  <c r="L136" i="3"/>
  <c r="P136" i="3"/>
  <c r="C136" i="3"/>
  <c r="G136" i="3"/>
  <c r="O136" i="3"/>
  <c r="C133" i="3"/>
  <c r="G133" i="3"/>
  <c r="E133" i="5" s="1"/>
  <c r="O133" i="3"/>
  <c r="B133" i="3"/>
  <c r="F133" i="3"/>
  <c r="J133" i="3"/>
  <c r="K133" i="3" s="1"/>
  <c r="N133" i="3"/>
  <c r="J132" i="3"/>
  <c r="K132" i="3" s="1"/>
  <c r="D124" i="3"/>
  <c r="L124" i="3"/>
  <c r="P124" i="3"/>
  <c r="B124" i="3"/>
  <c r="F124" i="3"/>
  <c r="J124" i="3"/>
  <c r="N124" i="3"/>
  <c r="C124" i="3"/>
  <c r="G124" i="3"/>
  <c r="O124" i="3"/>
  <c r="Q113" i="3"/>
  <c r="Q107" i="3"/>
  <c r="Q97" i="3"/>
  <c r="D180" i="3"/>
  <c r="L180" i="3"/>
  <c r="P180" i="3"/>
  <c r="C180" i="3"/>
  <c r="G180" i="3"/>
  <c r="O180" i="3"/>
  <c r="C177" i="3"/>
  <c r="E177" i="3" s="1"/>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N145" i="3"/>
  <c r="D132" i="3"/>
  <c r="L132" i="3"/>
  <c r="P132" i="3"/>
  <c r="C132" i="3"/>
  <c r="G132" i="3"/>
  <c r="E132" i="5" s="1"/>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5" i="2"/>
  <c r="R23" i="2"/>
  <c r="M23" i="2"/>
  <c r="B23" i="2"/>
  <c r="S21" i="2"/>
  <c r="M21" i="2"/>
  <c r="N21" i="2" s="1"/>
  <c r="O21" i="2" s="1"/>
  <c r="H21" i="2"/>
  <c r="C21" i="2"/>
  <c r="R18" i="2"/>
  <c r="M18" i="2"/>
  <c r="H18" i="2"/>
  <c r="J18" i="2" s="1"/>
  <c r="K18" i="2" s="1"/>
  <c r="R15" i="2"/>
  <c r="M15" i="2"/>
  <c r="S13" i="2"/>
  <c r="M13" i="2"/>
  <c r="N13" i="2" s="1"/>
  <c r="O13" i="2" s="1"/>
  <c r="H13" i="2"/>
  <c r="J13" i="2" s="1"/>
  <c r="K13" i="2" s="1"/>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E157" i="5" s="1"/>
  <c r="O157" i="3"/>
  <c r="B157" i="3"/>
  <c r="F157" i="3"/>
  <c r="J157" i="3"/>
  <c r="K157" i="3" s="1"/>
  <c r="N157" i="3"/>
  <c r="J156" i="3"/>
  <c r="L153" i="3"/>
  <c r="M152" i="3"/>
  <c r="N148" i="3"/>
  <c r="F148" i="3"/>
  <c r="P145" i="3"/>
  <c r="D144" i="3"/>
  <c r="L144" i="3"/>
  <c r="P144" i="3"/>
  <c r="C144" i="3"/>
  <c r="G144" i="3"/>
  <c r="O144" i="3"/>
  <c r="C141" i="3"/>
  <c r="G141" i="3"/>
  <c r="E141" i="5" s="1"/>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E153" i="3" s="1"/>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E110" i="3" s="1"/>
  <c r="G110" i="3"/>
  <c r="O110" i="3"/>
  <c r="D105" i="3"/>
  <c r="L105" i="3"/>
  <c r="P105" i="3"/>
  <c r="B99" i="3"/>
  <c r="F99" i="3"/>
  <c r="J99" i="3"/>
  <c r="K99" i="3" s="1"/>
  <c r="N99" i="3"/>
  <c r="C94" i="3"/>
  <c r="E94" i="3" s="1"/>
  <c r="G94" i="3"/>
  <c r="H94" i="3" s="1"/>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H51" i="3" s="1"/>
  <c r="J51" i="3"/>
  <c r="K51" i="3" s="1"/>
  <c r="N51" i="3"/>
  <c r="N49" i="3"/>
  <c r="I49" i="3"/>
  <c r="C49" i="3"/>
  <c r="C46" i="3"/>
  <c r="E46" i="3" s="1"/>
  <c r="G46" i="3"/>
  <c r="O46" i="3"/>
  <c r="O43" i="3"/>
  <c r="I43" i="3"/>
  <c r="D43" i="3"/>
  <c r="E43" i="3" s="1"/>
  <c r="D41" i="3"/>
  <c r="L41" i="3"/>
  <c r="P41" i="3"/>
  <c r="N38" i="3"/>
  <c r="I38" i="3"/>
  <c r="D38" i="3"/>
  <c r="B35" i="3"/>
  <c r="F35" i="3"/>
  <c r="J35" i="3"/>
  <c r="N35" i="3"/>
  <c r="N33" i="3"/>
  <c r="I33" i="3"/>
  <c r="C33" i="3"/>
  <c r="C30" i="3"/>
  <c r="E30" i="3" s="1"/>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F12" i="5" s="1"/>
  <c r="G12" i="5" s="1"/>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C8" i="28" s="1"/>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E81" i="5" s="1"/>
  <c r="P78" i="3"/>
  <c r="J78" i="3"/>
  <c r="D77" i="3"/>
  <c r="L77" i="3"/>
  <c r="P77" i="3"/>
  <c r="M75" i="3"/>
  <c r="O73" i="3"/>
  <c r="J73" i="3"/>
  <c r="K73" i="3" s="1"/>
  <c r="B71" i="3"/>
  <c r="F71" i="3"/>
  <c r="H71" i="3" s="1"/>
  <c r="J71" i="3"/>
  <c r="N71" i="3"/>
  <c r="M70" i="3"/>
  <c r="P67" i="3"/>
  <c r="C66" i="3"/>
  <c r="G66" i="3"/>
  <c r="H66" i="3" s="1"/>
  <c r="O66" i="3"/>
  <c r="M65" i="3"/>
  <c r="G65" i="3"/>
  <c r="H65" i="3" s="1"/>
  <c r="P62" i="3"/>
  <c r="J62" i="3"/>
  <c r="K62" i="3" s="1"/>
  <c r="H61" i="3"/>
  <c r="D61" i="3"/>
  <c r="L61" i="3"/>
  <c r="P61" i="3"/>
  <c r="M59" i="3"/>
  <c r="O57" i="3"/>
  <c r="J57" i="3"/>
  <c r="K57" i="3" s="1"/>
  <c r="B55" i="3"/>
  <c r="F55" i="3"/>
  <c r="J55" i="3"/>
  <c r="N55" i="3"/>
  <c r="M54" i="3"/>
  <c r="P51" i="3"/>
  <c r="C50" i="3"/>
  <c r="G50" i="3"/>
  <c r="E50" i="5" s="1"/>
  <c r="O50" i="3"/>
  <c r="M49" i="3"/>
  <c r="G49" i="3"/>
  <c r="E49" i="5" s="1"/>
  <c r="F49" i="5" s="1"/>
  <c r="G49" i="5" s="1"/>
  <c r="P46" i="3"/>
  <c r="J46" i="3"/>
  <c r="K46" i="3" s="1"/>
  <c r="D45" i="3"/>
  <c r="L45" i="3"/>
  <c r="P45" i="3"/>
  <c r="M43" i="3"/>
  <c r="K42" i="3"/>
  <c r="O41" i="3"/>
  <c r="J41" i="3"/>
  <c r="K41" i="3" s="1"/>
  <c r="B39" i="3"/>
  <c r="F39" i="3"/>
  <c r="J39" i="3"/>
  <c r="N39" i="3"/>
  <c r="M38" i="3"/>
  <c r="P35" i="3"/>
  <c r="C34" i="3"/>
  <c r="G34" i="3"/>
  <c r="O34" i="3"/>
  <c r="M33" i="3"/>
  <c r="G33" i="3"/>
  <c r="E33" i="5" s="1"/>
  <c r="F33" i="5" s="1"/>
  <c r="G33" i="5" s="1"/>
  <c r="P30" i="3"/>
  <c r="J30" i="3"/>
  <c r="K30" i="3" s="1"/>
  <c r="D29" i="3"/>
  <c r="L29" i="3"/>
  <c r="P29" i="3"/>
  <c r="M27" i="3"/>
  <c r="O25" i="3"/>
  <c r="J25" i="3"/>
  <c r="K25" i="3" s="1"/>
  <c r="B23" i="3"/>
  <c r="F23" i="3"/>
  <c r="H23" i="3" s="1"/>
  <c r="J23" i="3"/>
  <c r="N23" i="3"/>
  <c r="M22" i="3"/>
  <c r="P19" i="3"/>
  <c r="C18" i="3"/>
  <c r="G18" i="3"/>
  <c r="O18" i="3"/>
  <c r="M17" i="3"/>
  <c r="G17" i="3"/>
  <c r="E17" i="5" s="1"/>
  <c r="F17" i="5" s="1"/>
  <c r="G17" i="5" s="1"/>
  <c r="P14" i="3"/>
  <c r="J14" i="3"/>
  <c r="K14" i="3" s="1"/>
  <c r="D13" i="3"/>
  <c r="L13" i="3"/>
  <c r="P13" i="3"/>
  <c r="M11" i="3"/>
  <c r="O9" i="3"/>
  <c r="J9" i="3"/>
  <c r="B7" i="3"/>
  <c r="F7" i="3"/>
  <c r="J7" i="3"/>
  <c r="N7" i="3"/>
  <c r="E166" i="5"/>
  <c r="E162" i="5"/>
  <c r="E159" i="5"/>
  <c r="E158" i="5"/>
  <c r="E151" i="5"/>
  <c r="E116" i="5"/>
  <c r="E109" i="5"/>
  <c r="E103" i="5"/>
  <c r="E101" i="5"/>
  <c r="E93" i="5"/>
  <c r="E92" i="5"/>
  <c r="E84" i="5"/>
  <c r="E71" i="5"/>
  <c r="E68" i="5"/>
  <c r="E67" i="5"/>
  <c r="E64"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H43" i="3" s="1"/>
  <c r="J43" i="3"/>
  <c r="N43" i="3"/>
  <c r="C38" i="3"/>
  <c r="G38" i="3"/>
  <c r="H38" i="3" s="1"/>
  <c r="O38" i="3"/>
  <c r="D33" i="3"/>
  <c r="L33" i="3"/>
  <c r="P33" i="3"/>
  <c r="B27" i="3"/>
  <c r="F27" i="3"/>
  <c r="H27" i="3" s="1"/>
  <c r="J27" i="3"/>
  <c r="N27" i="3"/>
  <c r="C22" i="3"/>
  <c r="G22" i="3"/>
  <c r="H22" i="3" s="1"/>
  <c r="O22" i="3"/>
  <c r="D17" i="3"/>
  <c r="L17" i="3"/>
  <c r="P17" i="3"/>
  <c r="B11" i="3"/>
  <c r="F11" i="3"/>
  <c r="J11" i="3"/>
  <c r="N11" i="3"/>
  <c r="E61" i="5"/>
  <c r="E60" i="5"/>
  <c r="E47" i="5"/>
  <c r="F47" i="5" s="1"/>
  <c r="G47" i="5" s="1"/>
  <c r="E43" i="5"/>
  <c r="F43" i="5" s="1"/>
  <c r="G43" i="5" s="1"/>
  <c r="E13" i="5"/>
  <c r="F13" i="5" s="1"/>
  <c r="G13" i="5" s="1"/>
  <c r="E7" i="5"/>
  <c r="F7" i="5" s="1"/>
  <c r="G7"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K182" i="3" s="1"/>
  <c r="F182" i="3"/>
  <c r="H182" i="3" s="1"/>
  <c r="N178" i="3"/>
  <c r="J178" i="3"/>
  <c r="F178" i="3"/>
  <c r="N174" i="3"/>
  <c r="J174" i="3"/>
  <c r="F174" i="3"/>
  <c r="N170" i="3"/>
  <c r="J170" i="3"/>
  <c r="F170" i="3"/>
  <c r="H170" i="3" s="1"/>
  <c r="N166" i="3"/>
  <c r="J166" i="3"/>
  <c r="K166" i="3" s="1"/>
  <c r="F166" i="3"/>
  <c r="H166" i="3" s="1"/>
  <c r="N162" i="3"/>
  <c r="J162" i="3"/>
  <c r="F162" i="3"/>
  <c r="H162" i="3" s="1"/>
  <c r="N158" i="3"/>
  <c r="J158" i="3"/>
  <c r="F158" i="3"/>
  <c r="N154" i="3"/>
  <c r="J154" i="3"/>
  <c r="F154" i="3"/>
  <c r="N150" i="3"/>
  <c r="J150" i="3"/>
  <c r="F150" i="3"/>
  <c r="N146" i="3"/>
  <c r="J146" i="3"/>
  <c r="K146" i="3" s="1"/>
  <c r="F146" i="3"/>
  <c r="N142" i="3"/>
  <c r="J142" i="3"/>
  <c r="K142" i="3" s="1"/>
  <c r="F142" i="3"/>
  <c r="N138" i="3"/>
  <c r="J138" i="3"/>
  <c r="F138" i="3"/>
  <c r="N134" i="3"/>
  <c r="J134" i="3"/>
  <c r="F134" i="3"/>
  <c r="N130" i="3"/>
  <c r="J130" i="3"/>
  <c r="K130" i="3" s="1"/>
  <c r="F130" i="3"/>
  <c r="O129" i="3"/>
  <c r="G129" i="3"/>
  <c r="H129" i="3" s="1"/>
  <c r="N126" i="3"/>
  <c r="J126" i="3"/>
  <c r="K126" i="3" s="1"/>
  <c r="F126" i="3"/>
  <c r="O125" i="3"/>
  <c r="G125" i="3"/>
  <c r="N122" i="3"/>
  <c r="J122" i="3"/>
  <c r="F122" i="3"/>
  <c r="O121" i="3"/>
  <c r="G121" i="3"/>
  <c r="D117" i="3"/>
  <c r="L117" i="3"/>
  <c r="P117" i="3"/>
  <c r="M115" i="3"/>
  <c r="C115" i="3"/>
  <c r="N114" i="3"/>
  <c r="I114" i="3"/>
  <c r="K114" i="3" s="1"/>
  <c r="D114" i="3"/>
  <c r="B111" i="3"/>
  <c r="F111" i="3"/>
  <c r="J111" i="3"/>
  <c r="K111" i="3" s="1"/>
  <c r="N111" i="3"/>
  <c r="M110" i="3"/>
  <c r="B110" i="3"/>
  <c r="N109" i="3"/>
  <c r="I109" i="3"/>
  <c r="K109" i="3" s="1"/>
  <c r="C109" i="3"/>
  <c r="C106" i="3"/>
  <c r="E106" i="3" s="1"/>
  <c r="G106" i="3"/>
  <c r="O106" i="3"/>
  <c r="M105" i="3"/>
  <c r="G105" i="3"/>
  <c r="E105" i="5" s="1"/>
  <c r="B105" i="3"/>
  <c r="O103" i="3"/>
  <c r="I103" i="3"/>
  <c r="D103" i="3"/>
  <c r="D101" i="3"/>
  <c r="E101" i="3" s="1"/>
  <c r="L101" i="3"/>
  <c r="P101" i="3"/>
  <c r="M99" i="3"/>
  <c r="C99" i="3"/>
  <c r="E99" i="3" s="1"/>
  <c r="N98" i="3"/>
  <c r="I98" i="3"/>
  <c r="D98" i="3"/>
  <c r="B95" i="3"/>
  <c r="F95" i="3"/>
  <c r="J95" i="3"/>
  <c r="N95" i="3"/>
  <c r="M94" i="3"/>
  <c r="B94" i="3"/>
  <c r="N93" i="3"/>
  <c r="I93" i="3"/>
  <c r="K93" i="3" s="1"/>
  <c r="C93" i="3"/>
  <c r="P91" i="3"/>
  <c r="C90" i="3"/>
  <c r="G90" i="3"/>
  <c r="O90" i="3"/>
  <c r="M89" i="3"/>
  <c r="G89" i="3"/>
  <c r="E89" i="5" s="1"/>
  <c r="B89" i="3"/>
  <c r="O87" i="3"/>
  <c r="I87" i="3"/>
  <c r="D87" i="3"/>
  <c r="E87" i="3" s="1"/>
  <c r="P86" i="3"/>
  <c r="J86" i="3"/>
  <c r="D85" i="3"/>
  <c r="E85" i="3" s="1"/>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E67" i="3" s="1"/>
  <c r="N66" i="3"/>
  <c r="I66" i="3"/>
  <c r="D66" i="3"/>
  <c r="O65" i="3"/>
  <c r="J65" i="3"/>
  <c r="B63" i="3"/>
  <c r="F63" i="3"/>
  <c r="J63" i="3"/>
  <c r="K63" i="3" s="1"/>
  <c r="N63" i="3"/>
  <c r="M62" i="3"/>
  <c r="B62" i="3"/>
  <c r="N61" i="3"/>
  <c r="I61" i="3"/>
  <c r="C61" i="3"/>
  <c r="P59" i="3"/>
  <c r="C58" i="3"/>
  <c r="G58" i="3"/>
  <c r="H58" i="3" s="1"/>
  <c r="O58" i="3"/>
  <c r="M57" i="3"/>
  <c r="G57" i="3"/>
  <c r="B57" i="3"/>
  <c r="O55" i="3"/>
  <c r="I55" i="3"/>
  <c r="D55" i="3"/>
  <c r="P54" i="3"/>
  <c r="J54" i="3"/>
  <c r="D53" i="3"/>
  <c r="L53" i="3"/>
  <c r="P53" i="3"/>
  <c r="M51" i="3"/>
  <c r="C51" i="3"/>
  <c r="N50" i="3"/>
  <c r="I50" i="3"/>
  <c r="D50" i="3"/>
  <c r="O49" i="3"/>
  <c r="J49" i="3"/>
  <c r="B47" i="3"/>
  <c r="F47" i="3"/>
  <c r="H47" i="3" s="1"/>
  <c r="J47" i="3"/>
  <c r="N47" i="3"/>
  <c r="M46" i="3"/>
  <c r="B46" i="3"/>
  <c r="N45" i="3"/>
  <c r="I45" i="3"/>
  <c r="C45" i="3"/>
  <c r="P43" i="3"/>
  <c r="C42" i="3"/>
  <c r="E42" i="3" s="1"/>
  <c r="G42" i="3"/>
  <c r="H42" i="3" s="1"/>
  <c r="O42" i="3"/>
  <c r="M41" i="3"/>
  <c r="G41" i="3"/>
  <c r="H41" i="3" s="1"/>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H25" i="3" s="1"/>
  <c r="B25" i="3"/>
  <c r="O23" i="3"/>
  <c r="I23" i="3"/>
  <c r="D23" i="3"/>
  <c r="E23" i="3" s="1"/>
  <c r="P22" i="3"/>
  <c r="J22" i="3"/>
  <c r="D21" i="3"/>
  <c r="E21" i="3" s="1"/>
  <c r="L21" i="3"/>
  <c r="P21" i="3"/>
  <c r="M19" i="3"/>
  <c r="C19" i="3"/>
  <c r="E19" i="3" s="1"/>
  <c r="N18" i="3"/>
  <c r="I18" i="3"/>
  <c r="K18" i="3" s="1"/>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L122" i="5"/>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M80" i="5" s="1"/>
  <c r="D79" i="5"/>
  <c r="H79" i="5"/>
  <c r="J79" i="5" s="1"/>
  <c r="D78" i="5"/>
  <c r="H78" i="5"/>
  <c r="D77" i="5"/>
  <c r="H77" i="5"/>
  <c r="J77" i="5" s="1"/>
  <c r="D76" i="5"/>
  <c r="H76" i="5"/>
  <c r="J76" i="5" s="1"/>
  <c r="D75" i="5"/>
  <c r="H75" i="5"/>
  <c r="J75" i="5" s="1"/>
  <c r="L75" i="5"/>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O162" i="12" s="1"/>
  <c r="I158" i="6"/>
  <c r="Q158" i="12" s="1"/>
  <c r="B154" i="6"/>
  <c r="F154" i="6"/>
  <c r="J154" i="6"/>
  <c r="N154" i="6"/>
  <c r="C154" i="6"/>
  <c r="G154" i="6"/>
  <c r="K154" i="6"/>
  <c r="S154" i="12" s="1"/>
  <c r="O154" i="6"/>
  <c r="D154" i="6"/>
  <c r="H154" i="6"/>
  <c r="L154" i="12" s="1"/>
  <c r="L154" i="6"/>
  <c r="O154" i="12" s="1"/>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A124" i="7"/>
  <c r="D124" i="6"/>
  <c r="I124" i="6"/>
  <c r="O124" i="6"/>
  <c r="E124" i="6"/>
  <c r="K124" i="6"/>
  <c r="H49" i="5"/>
  <c r="H48" i="5"/>
  <c r="H47" i="5"/>
  <c r="H46" i="5"/>
  <c r="H45" i="5"/>
  <c r="H44" i="5"/>
  <c r="H43" i="5"/>
  <c r="H42" i="5"/>
  <c r="H41" i="5"/>
  <c r="J41" i="5" s="1"/>
  <c r="H40" i="5"/>
  <c r="L39" i="5"/>
  <c r="H39" i="5"/>
  <c r="J39" i="5" s="1"/>
  <c r="H38" i="5"/>
  <c r="J38" i="5" s="1"/>
  <c r="H37" i="5"/>
  <c r="H36" i="5"/>
  <c r="J36" i="5" s="1"/>
  <c r="H35" i="5"/>
  <c r="L34" i="5"/>
  <c r="M34" i="5" s="1"/>
  <c r="H34" i="5"/>
  <c r="H33" i="5"/>
  <c r="H32" i="5"/>
  <c r="J32" i="5" s="1"/>
  <c r="H31" i="5"/>
  <c r="H30" i="5"/>
  <c r="L29" i="5"/>
  <c r="H29" i="5"/>
  <c r="H28" i="5"/>
  <c r="J28" i="5" s="1"/>
  <c r="H27" i="5"/>
  <c r="J27" i="5" s="1"/>
  <c r="H26" i="5"/>
  <c r="J26" i="5" s="1"/>
  <c r="H25" i="5"/>
  <c r="H24" i="5"/>
  <c r="H23" i="5"/>
  <c r="H22" i="5"/>
  <c r="H21" i="5"/>
  <c r="J21" i="5" s="1"/>
  <c r="H20" i="5"/>
  <c r="H19" i="5"/>
  <c r="H18" i="5"/>
  <c r="H17" i="5"/>
  <c r="L16" i="5"/>
  <c r="H16" i="5"/>
  <c r="H15" i="5"/>
  <c r="H14" i="5"/>
  <c r="J14" i="5" s="1"/>
  <c r="H13" i="5"/>
  <c r="H12" i="5"/>
  <c r="J12" i="5" s="1"/>
  <c r="H11" i="5"/>
  <c r="H10" i="5"/>
  <c r="H9" i="5"/>
  <c r="L8" i="5"/>
  <c r="H8" i="5"/>
  <c r="H7" i="5"/>
  <c r="J7" i="5" s="1"/>
  <c r="O189" i="7"/>
  <c r="K189" i="7"/>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L134" i="5" s="1"/>
  <c r="M134" i="5" s="1"/>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L106" i="5" s="1"/>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I111" i="12" s="1"/>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12" s="1"/>
  <c r="L174" i="6"/>
  <c r="O174" i="12" s="1"/>
  <c r="B166" i="6"/>
  <c r="F166" i="6"/>
  <c r="J166" i="6"/>
  <c r="N166" i="6"/>
  <c r="C166" i="6"/>
  <c r="G166" i="6"/>
  <c r="K166" i="6"/>
  <c r="O166" i="6"/>
  <c r="D166" i="6"/>
  <c r="H166" i="6"/>
  <c r="L166" i="12" s="1"/>
  <c r="L166" i="6"/>
  <c r="O166" i="12" s="1"/>
  <c r="B158" i="6"/>
  <c r="F158" i="6"/>
  <c r="J158" i="6"/>
  <c r="N158" i="6"/>
  <c r="C158" i="6"/>
  <c r="G158" i="6"/>
  <c r="K158" i="6"/>
  <c r="O158" i="6"/>
  <c r="D158" i="6"/>
  <c r="H158" i="6"/>
  <c r="L158" i="6"/>
  <c r="O158" i="12" s="1"/>
  <c r="B150" i="6"/>
  <c r="F150" i="6"/>
  <c r="J150" i="6"/>
  <c r="N150" i="6"/>
  <c r="C150" i="6"/>
  <c r="G150" i="6"/>
  <c r="K150" i="6"/>
  <c r="O150" i="6"/>
  <c r="D150" i="6"/>
  <c r="H150" i="6"/>
  <c r="L150" i="6"/>
  <c r="O150" i="12" s="1"/>
  <c r="B140" i="6"/>
  <c r="F140" i="6"/>
  <c r="J140" i="6"/>
  <c r="N140" i="6"/>
  <c r="C140" i="6"/>
  <c r="H140" i="6"/>
  <c r="L140" i="12" s="1"/>
  <c r="M140" i="6"/>
  <c r="A140" i="7"/>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S40" i="12" s="1"/>
  <c r="C40" i="6"/>
  <c r="L43" i="5" s="1"/>
  <c r="H40" i="6"/>
  <c r="L40" i="12" s="1"/>
  <c r="M40" i="6"/>
  <c r="B32" i="6"/>
  <c r="F32" i="6"/>
  <c r="J32" i="6"/>
  <c r="N32" i="6"/>
  <c r="C32" i="6"/>
  <c r="L32" i="5" s="1"/>
  <c r="H32" i="6"/>
  <c r="P32" i="12" s="1"/>
  <c r="M32" i="6"/>
  <c r="E32" i="6"/>
  <c r="K32" i="6"/>
  <c r="O13" i="12"/>
  <c r="M23" i="12"/>
  <c r="O25" i="12"/>
  <c r="M13" i="12"/>
  <c r="M25" i="12"/>
  <c r="M61" i="12"/>
  <c r="L31" i="12"/>
  <c r="O40" i="12"/>
  <c r="M46" i="12"/>
  <c r="L47" i="12"/>
  <c r="M74" i="12"/>
  <c r="M78" i="12"/>
  <c r="M12" i="12"/>
  <c r="O61" i="12"/>
  <c r="O48" i="12"/>
  <c r="O65" i="12"/>
  <c r="M82" i="12"/>
  <c r="M86" i="12"/>
  <c r="M90" i="12"/>
  <c r="M94" i="12"/>
  <c r="M98" i="12"/>
  <c r="O49" i="12"/>
  <c r="M55" i="12"/>
  <c r="O64" i="12"/>
  <c r="M85" i="12"/>
  <c r="O87" i="12"/>
  <c r="M121" i="12"/>
  <c r="M88" i="12"/>
  <c r="M111" i="12"/>
  <c r="M115" i="12"/>
  <c r="O131" i="12"/>
  <c r="M156" i="12"/>
  <c r="M160" i="12"/>
  <c r="O127" i="12"/>
  <c r="O173" i="12"/>
  <c r="M179" i="12"/>
  <c r="N134" i="12"/>
  <c r="N135" i="12"/>
  <c r="L117" i="12"/>
  <c r="M161" i="12"/>
  <c r="M185" i="12"/>
  <c r="M184" i="12"/>
  <c r="M188" i="12"/>
  <c r="L165" i="12"/>
  <c r="C7" i="6"/>
  <c r="G7" i="6"/>
  <c r="K7" i="6"/>
  <c r="O7" i="6"/>
  <c r="E7" i="6"/>
  <c r="J7" i="6"/>
  <c r="B7" i="6"/>
  <c r="H7" i="6"/>
  <c r="L7" i="12" s="1"/>
  <c r="M7" i="6"/>
  <c r="D7" i="6"/>
  <c r="N7" i="6"/>
  <c r="I7" i="6"/>
  <c r="M7" i="12" s="1"/>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8" i="6"/>
  <c r="J188" i="6"/>
  <c r="F188" i="6"/>
  <c r="B188" i="6"/>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L141" i="5" s="1"/>
  <c r="M141" i="5" s="1"/>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Q48" i="12"/>
  <c r="B48" i="6"/>
  <c r="F48" i="6"/>
  <c r="J48" i="6"/>
  <c r="N48" i="6"/>
  <c r="C48" i="6"/>
  <c r="H48" i="6"/>
  <c r="P48" i="12" s="1"/>
  <c r="M48" i="6"/>
  <c r="E48" i="6"/>
  <c r="K48" i="6"/>
  <c r="N45" i="6"/>
  <c r="I40" i="6"/>
  <c r="Q40" i="12" s="1"/>
  <c r="N37" i="6"/>
  <c r="N34" i="6"/>
  <c r="I32" i="6"/>
  <c r="B10" i="6"/>
  <c r="F10" i="6"/>
  <c r="J10" i="6"/>
  <c r="N10" i="6"/>
  <c r="C10" i="6"/>
  <c r="L10" i="5" s="1"/>
  <c r="M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72" i="12"/>
  <c r="Q160" i="12"/>
  <c r="Q148" i="12"/>
  <c r="D142" i="6"/>
  <c r="H142" i="6"/>
  <c r="L142" i="6"/>
  <c r="O142" i="12" s="1"/>
  <c r="C137" i="6"/>
  <c r="G137" i="6"/>
  <c r="K137" i="6"/>
  <c r="R137" i="12" s="1"/>
  <c r="O137" i="6"/>
  <c r="Q132" i="12"/>
  <c r="B132" i="6"/>
  <c r="F132" i="6"/>
  <c r="J132" i="6"/>
  <c r="N132" i="6"/>
  <c r="D126" i="6"/>
  <c r="H126" i="6"/>
  <c r="P126" i="12" s="1"/>
  <c r="L126" i="6"/>
  <c r="O126" i="12" s="1"/>
  <c r="Q121" i="12"/>
  <c r="C121" i="6"/>
  <c r="G121" i="6"/>
  <c r="K121" i="6"/>
  <c r="O121" i="6"/>
  <c r="B116" i="6"/>
  <c r="F116" i="6"/>
  <c r="J116" i="6"/>
  <c r="N116" i="6"/>
  <c r="D110" i="6"/>
  <c r="H110" i="6"/>
  <c r="P110" i="12" s="1"/>
  <c r="L110" i="6"/>
  <c r="Q102" i="12"/>
  <c r="D102" i="6"/>
  <c r="H102" i="6"/>
  <c r="L102" i="6"/>
  <c r="B102" i="6"/>
  <c r="F102" i="6"/>
  <c r="J102" i="6"/>
  <c r="N102" i="6"/>
  <c r="M98" i="6"/>
  <c r="E98" i="6"/>
  <c r="Q94" i="12"/>
  <c r="D94" i="6"/>
  <c r="H94" i="6"/>
  <c r="L94" i="6"/>
  <c r="O94" i="12" s="1"/>
  <c r="B94" i="6"/>
  <c r="F94" i="6"/>
  <c r="J94" i="6"/>
  <c r="N94" i="6"/>
  <c r="M90" i="6"/>
  <c r="E90" i="6"/>
  <c r="Q86" i="12"/>
  <c r="D86" i="6"/>
  <c r="H86" i="6"/>
  <c r="L86" i="6"/>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M64" i="5" s="1"/>
  <c r="H64" i="6"/>
  <c r="P64" i="12" s="1"/>
  <c r="M64" i="6"/>
  <c r="E64" i="6"/>
  <c r="K64" i="6"/>
  <c r="R64" i="12" s="1"/>
  <c r="F58" i="6"/>
  <c r="C45" i="6"/>
  <c r="L45" i="5" s="1"/>
  <c r="G45" i="6"/>
  <c r="K45" i="6"/>
  <c r="N45" i="12" s="1"/>
  <c r="O45" i="6"/>
  <c r="E45" i="6"/>
  <c r="J45" i="6"/>
  <c r="B45" i="6"/>
  <c r="H45" i="6"/>
  <c r="M45" i="6"/>
  <c r="G40" i="6"/>
  <c r="C37" i="6"/>
  <c r="L37" i="5" s="1"/>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N28" i="12" s="1"/>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A40" i="7"/>
  <c r="A32" i="7"/>
  <c r="O22" i="7"/>
  <c r="K22" i="7"/>
  <c r="G22" i="7"/>
  <c r="O18" i="7"/>
  <c r="K18" i="7"/>
  <c r="G18" i="7"/>
  <c r="O14" i="7"/>
  <c r="K14" i="7"/>
  <c r="G14" i="7"/>
  <c r="L11" i="7"/>
  <c r="H11" i="7"/>
  <c r="O10" i="7"/>
  <c r="K10" i="7"/>
  <c r="G10" i="7"/>
  <c r="L7" i="7"/>
  <c r="H7" i="7"/>
  <c r="D7" i="7"/>
  <c r="L188" i="6"/>
  <c r="O188" i="12" s="1"/>
  <c r="H188" i="6"/>
  <c r="L188" i="12" s="1"/>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L175" i="12" s="1"/>
  <c r="O175" i="6"/>
  <c r="K175" i="6"/>
  <c r="N175" i="12" s="1"/>
  <c r="G175" i="6"/>
  <c r="L172" i="6"/>
  <c r="O181" i="12" s="1"/>
  <c r="H172" i="6"/>
  <c r="L172" i="12" s="1"/>
  <c r="D172" i="6"/>
  <c r="O171" i="6"/>
  <c r="K171" i="6"/>
  <c r="G171" i="6"/>
  <c r="C171" i="6"/>
  <c r="S169" i="12"/>
  <c r="P169" i="12"/>
  <c r="L168" i="6"/>
  <c r="O177" i="12" s="1"/>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S157" i="12"/>
  <c r="L156" i="6"/>
  <c r="O156" i="12" s="1"/>
  <c r="H156" i="6"/>
  <c r="P156" i="12" s="1"/>
  <c r="D156" i="6"/>
  <c r="O155" i="6"/>
  <c r="K155" i="6"/>
  <c r="N155" i="12" s="1"/>
  <c r="G155" i="6"/>
  <c r="C155" i="6"/>
  <c r="Q153" i="12"/>
  <c r="L152" i="6"/>
  <c r="O152" i="12" s="1"/>
  <c r="H152" i="6"/>
  <c r="L152" i="12" s="1"/>
  <c r="D152" i="6"/>
  <c r="O151" i="6"/>
  <c r="K151" i="6"/>
  <c r="G151" i="6"/>
  <c r="C151" i="6"/>
  <c r="L151" i="5" s="1"/>
  <c r="P149" i="12"/>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P117" i="12"/>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Q80" i="12"/>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Q37" i="12" s="1"/>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109" i="12"/>
  <c r="P97" i="12"/>
  <c r="P89" i="12"/>
  <c r="Q85" i="12"/>
  <c r="Q77" i="12"/>
  <c r="Q73"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Q12" i="12"/>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S135" i="12"/>
  <c r="S127" i="12"/>
  <c r="R127" i="12"/>
  <c r="P119" i="12"/>
  <c r="Q115" i="12"/>
  <c r="S111"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Q91" i="12"/>
  <c r="O89" i="6"/>
  <c r="K89" i="6"/>
  <c r="N89" i="12" s="1"/>
  <c r="G89" i="6"/>
  <c r="C89" i="6"/>
  <c r="L89" i="5" s="1"/>
  <c r="O85" i="6"/>
  <c r="K85" i="6"/>
  <c r="N85" i="12" s="1"/>
  <c r="G85" i="6"/>
  <c r="C85" i="6"/>
  <c r="L85" i="5" s="1"/>
  <c r="P83" i="12"/>
  <c r="O81" i="6"/>
  <c r="K81" i="6"/>
  <c r="R81" i="12" s="1"/>
  <c r="G81" i="6"/>
  <c r="C81" i="6"/>
  <c r="P79" i="12"/>
  <c r="O77" i="6"/>
  <c r="K77" i="6"/>
  <c r="S77" i="12" s="1"/>
  <c r="G77" i="6"/>
  <c r="C77" i="6"/>
  <c r="L77" i="5" s="1"/>
  <c r="O73" i="6"/>
  <c r="K73" i="6"/>
  <c r="R73" i="12" s="1"/>
  <c r="G73" i="6"/>
  <c r="C73" i="6"/>
  <c r="O69" i="6"/>
  <c r="K69" i="6"/>
  <c r="N69" i="12" s="1"/>
  <c r="G69" i="6"/>
  <c r="C69" i="6"/>
  <c r="L69" i="5" s="1"/>
  <c r="M69" i="5" s="1"/>
  <c r="N65" i="6"/>
  <c r="I65" i="6"/>
  <c r="D65" i="6"/>
  <c r="Q62" i="12"/>
  <c r="D62" i="6"/>
  <c r="H62" i="6"/>
  <c r="L62" i="6"/>
  <c r="O62" i="12" s="1"/>
  <c r="O60" i="6"/>
  <c r="I60" i="6"/>
  <c r="Q60" i="12" s="1"/>
  <c r="D60" i="6"/>
  <c r="P57" i="12"/>
  <c r="C57" i="6"/>
  <c r="G57" i="6"/>
  <c r="K57" i="6"/>
  <c r="N57" i="12" s="1"/>
  <c r="O57" i="6"/>
  <c r="N54" i="6"/>
  <c r="I54" i="6"/>
  <c r="Q54" i="12" s="1"/>
  <c r="C54" i="6"/>
  <c r="L54" i="5" s="1"/>
  <c r="B52" i="6"/>
  <c r="F52" i="6"/>
  <c r="J52" i="6"/>
  <c r="N52" i="6"/>
  <c r="N49" i="6"/>
  <c r="I49" i="6"/>
  <c r="D49" i="6"/>
  <c r="Q46" i="12"/>
  <c r="D46" i="6"/>
  <c r="H46" i="6"/>
  <c r="P46" i="12" s="1"/>
  <c r="L46" i="6"/>
  <c r="O46" i="12" s="1"/>
  <c r="O44" i="6"/>
  <c r="I44" i="6"/>
  <c r="M44" i="12" s="1"/>
  <c r="D44" i="6"/>
  <c r="C41" i="6"/>
  <c r="G41" i="6"/>
  <c r="K41" i="6"/>
  <c r="O41" i="6"/>
  <c r="N38" i="6"/>
  <c r="I38" i="6"/>
  <c r="M38" i="12" s="1"/>
  <c r="C38" i="6"/>
  <c r="L38" i="5" s="1"/>
  <c r="M38" i="5" s="1"/>
  <c r="B36" i="6"/>
  <c r="F36" i="6"/>
  <c r="J36" i="6"/>
  <c r="N36" i="6"/>
  <c r="N33" i="6"/>
  <c r="I33" i="6"/>
  <c r="Q33" i="12" s="1"/>
  <c r="D33" i="6"/>
  <c r="Q30" i="12"/>
  <c r="B30" i="6"/>
  <c r="F30" i="6"/>
  <c r="J30" i="6"/>
  <c r="N30" i="6"/>
  <c r="D30" i="6"/>
  <c r="H30" i="6"/>
  <c r="L30" i="12" s="1"/>
  <c r="L30" i="6"/>
  <c r="O30" i="12" s="1"/>
  <c r="B26" i="6"/>
  <c r="F26" i="6"/>
  <c r="J26" i="6"/>
  <c r="N26" i="6"/>
  <c r="C26" i="6"/>
  <c r="L26" i="5" s="1"/>
  <c r="M26" i="5" s="1"/>
  <c r="H26" i="6"/>
  <c r="M26" i="6"/>
  <c r="E26" i="6"/>
  <c r="K26" i="6"/>
  <c r="S26" i="12" s="1"/>
  <c r="F23" i="6"/>
  <c r="F20" i="6"/>
  <c r="Q18" i="12"/>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Q55" i="12"/>
  <c r="R55" i="12"/>
  <c r="P47" i="12"/>
  <c r="P31" i="12"/>
  <c r="O29" i="6"/>
  <c r="K29" i="6"/>
  <c r="G29" i="6"/>
  <c r="R27" i="12"/>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9" i="12" s="1"/>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S13" i="12"/>
  <c r="Q13" i="12"/>
  <c r="R13" i="12"/>
  <c r="P9" i="12"/>
  <c r="R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9" i="11"/>
  <c r="H189" i="11"/>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D190" i="12"/>
  <c r="H190" i="12"/>
  <c r="B190" i="12"/>
  <c r="F190" i="12"/>
  <c r="J190" i="12"/>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8" i="12"/>
  <c r="F188" i="12"/>
  <c r="D188" i="12"/>
  <c r="B184" i="12"/>
  <c r="F184" i="12"/>
  <c r="N184" i="12"/>
  <c r="D184" i="12"/>
  <c r="B180" i="12"/>
  <c r="F180" i="12"/>
  <c r="D180" i="12"/>
  <c r="B176" i="12"/>
  <c r="F176" i="12"/>
  <c r="N176" i="12"/>
  <c r="D176" i="12"/>
  <c r="M172" i="12"/>
  <c r="E172" i="12"/>
  <c r="E168" i="12"/>
  <c r="E164" i="12"/>
  <c r="C162" i="12"/>
  <c r="G162" i="12"/>
  <c r="D162" i="12"/>
  <c r="L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E190" i="12"/>
  <c r="G188" i="12"/>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O171" i="12"/>
  <c r="G171" i="12"/>
  <c r="O167" i="12"/>
  <c r="G167" i="12"/>
  <c r="G163" i="12"/>
  <c r="L160" i="12"/>
  <c r="D160" i="12"/>
  <c r="G159" i="12"/>
  <c r="D156" i="12"/>
  <c r="O155" i="12"/>
  <c r="G155" i="12"/>
  <c r="D152" i="12"/>
  <c r="G151" i="12"/>
  <c r="F150" i="12"/>
  <c r="B150" i="12"/>
  <c r="D148" i="12"/>
  <c r="G147" i="12"/>
  <c r="F146" i="12"/>
  <c r="B146" i="12"/>
  <c r="P144" i="12"/>
  <c r="L144" i="12"/>
  <c r="D144" i="12"/>
  <c r="R142"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S112" i="12"/>
  <c r="B110" i="12"/>
  <c r="F110" i="12"/>
  <c r="R110" i="12"/>
  <c r="D110" i="12"/>
  <c r="S108" i="12"/>
  <c r="B106" i="12"/>
  <c r="F106" i="12"/>
  <c r="D106" i="12"/>
  <c r="B102" i="12"/>
  <c r="F102" i="12"/>
  <c r="N102" i="12"/>
  <c r="R102" i="12"/>
  <c r="D102" i="12"/>
  <c r="D142" i="12"/>
  <c r="B140" i="12"/>
  <c r="F140" i="12"/>
  <c r="C133" i="12"/>
  <c r="G133" i="12"/>
  <c r="D126" i="12"/>
  <c r="B124" i="12"/>
  <c r="F124" i="12"/>
  <c r="D120" i="12"/>
  <c r="P120" i="12"/>
  <c r="B120" i="12"/>
  <c r="F120" i="12"/>
  <c r="D116" i="12"/>
  <c r="B116" i="12"/>
  <c r="F116" i="12"/>
  <c r="D112" i="12"/>
  <c r="P112" i="12"/>
  <c r="B112" i="12"/>
  <c r="F112" i="12"/>
  <c r="N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L96" i="12"/>
  <c r="B96" i="12"/>
  <c r="F96" i="12"/>
  <c r="N96" i="12"/>
  <c r="R96" i="12"/>
  <c r="G150" i="12"/>
  <c r="G146" i="12"/>
  <c r="S142" i="12"/>
  <c r="N142" i="12"/>
  <c r="C142" i="12"/>
  <c r="C141" i="12"/>
  <c r="G141" i="12"/>
  <c r="D140" i="12"/>
  <c r="D134" i="12"/>
  <c r="P134" i="12"/>
  <c r="D133" i="12"/>
  <c r="B132" i="12"/>
  <c r="F132" i="12"/>
  <c r="S126" i="12"/>
  <c r="C126" i="12"/>
  <c r="C125" i="12"/>
  <c r="G125" i="12"/>
  <c r="D124" i="12"/>
  <c r="E120" i="12"/>
  <c r="E116" i="12"/>
  <c r="M112" i="12"/>
  <c r="E112" i="12"/>
  <c r="M108"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P76" i="12"/>
  <c r="E76" i="12"/>
  <c r="D73" i="12"/>
  <c r="B71" i="12"/>
  <c r="F71" i="12"/>
  <c r="D71" i="12"/>
  <c r="G69" i="12"/>
  <c r="R68" i="12"/>
  <c r="D60" i="12"/>
  <c r="L60" i="12"/>
  <c r="P60" i="12"/>
  <c r="B60" i="12"/>
  <c r="G60" i="12"/>
  <c r="E60" i="12"/>
  <c r="Q52" i="12"/>
  <c r="N51" i="12"/>
  <c r="D77" i="12"/>
  <c r="L77" i="12"/>
  <c r="P77" i="12"/>
  <c r="B75" i="12"/>
  <c r="F75" i="12"/>
  <c r="B66" i="12"/>
  <c r="F66" i="12"/>
  <c r="E66" i="12"/>
  <c r="C66" i="12"/>
  <c r="C51" i="12"/>
  <c r="G51" i="12"/>
  <c r="S51" i="12"/>
  <c r="B51" i="12"/>
  <c r="R51" i="12"/>
  <c r="E51" i="12"/>
  <c r="B50" i="12"/>
  <c r="F50" i="12"/>
  <c r="N50" i="12"/>
  <c r="R50" i="12"/>
  <c r="D50" i="12"/>
  <c r="E50" i="12"/>
  <c r="C50" i="12"/>
  <c r="S50" i="12"/>
  <c r="F98" i="12"/>
  <c r="F94" i="12"/>
  <c r="D92" i="12"/>
  <c r="R90" i="12"/>
  <c r="F90" i="12"/>
  <c r="D88" i="12"/>
  <c r="R86" i="12"/>
  <c r="N86" i="12"/>
  <c r="F86" i="12"/>
  <c r="D84" i="12"/>
  <c r="D81" i="12"/>
  <c r="B79" i="12"/>
  <c r="F79" i="12"/>
  <c r="E77" i="12"/>
  <c r="P75" i="12"/>
  <c r="E75" i="12"/>
  <c r="N68" i="12"/>
  <c r="C67" i="12"/>
  <c r="G67" i="12"/>
  <c r="S67" i="12"/>
  <c r="B67" i="12"/>
  <c r="E67" i="12"/>
  <c r="N59" i="12"/>
  <c r="B58" i="12"/>
  <c r="F58" i="12"/>
  <c r="N58" i="12"/>
  <c r="R58" i="12"/>
  <c r="C58" i="12"/>
  <c r="H58" i="12"/>
  <c r="S58" i="12"/>
  <c r="E58" i="12"/>
  <c r="K58" i="12"/>
  <c r="D52" i="12"/>
  <c r="L52" i="12"/>
  <c r="P52" i="12"/>
  <c r="E52" i="12"/>
  <c r="B52" i="12"/>
  <c r="G52" i="12"/>
  <c r="M52" i="12"/>
  <c r="S92" i="12"/>
  <c r="G92" i="12"/>
  <c r="G88" i="12"/>
  <c r="G84" i="12"/>
  <c r="C77" i="12"/>
  <c r="C76" i="12"/>
  <c r="G76" i="12"/>
  <c r="D75" i="12"/>
  <c r="D69" i="12"/>
  <c r="L69" i="12"/>
  <c r="P69" i="12"/>
  <c r="B69" i="12"/>
  <c r="F69" i="12"/>
  <c r="D68" i="12"/>
  <c r="E68" i="12"/>
  <c r="S68" i="12"/>
  <c r="B68" i="12"/>
  <c r="G68" i="12"/>
  <c r="M68" i="12"/>
  <c r="Q68" i="12"/>
  <c r="G66" i="12"/>
  <c r="C59" i="12"/>
  <c r="G59" i="12"/>
  <c r="O59" i="12"/>
  <c r="S59" i="12"/>
  <c r="E59" i="12"/>
  <c r="B59" i="12"/>
  <c r="R59" i="12"/>
  <c r="Q51" i="12"/>
  <c r="F51" i="12"/>
  <c r="D64" i="12"/>
  <c r="B62" i="12"/>
  <c r="F62" i="12"/>
  <c r="R62" i="12"/>
  <c r="C55" i="12"/>
  <c r="G55" i="12"/>
  <c r="O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L22" i="12"/>
  <c r="P22" i="12"/>
  <c r="B22" i="12"/>
  <c r="F22" i="12"/>
  <c r="N22" i="12"/>
  <c r="R22" i="12"/>
  <c r="G20" i="12"/>
  <c r="D18" i="12"/>
  <c r="B18" i="12"/>
  <c r="F18" i="12"/>
  <c r="G16" i="12"/>
  <c r="D14" i="12"/>
  <c r="B14" i="12"/>
  <c r="F14" i="12"/>
  <c r="G12" i="12"/>
  <c r="D10" i="12"/>
  <c r="B10" i="12"/>
  <c r="F10" i="12"/>
  <c r="G8" i="12"/>
  <c r="C43" i="12"/>
  <c r="G43" i="12"/>
  <c r="S43" i="12"/>
  <c r="D36" i="12"/>
  <c r="L36" i="12"/>
  <c r="P36" i="12"/>
  <c r="E8" i="12"/>
  <c r="B187" i="13"/>
  <c r="F187" i="13"/>
  <c r="D187" i="13"/>
  <c r="B183" i="13"/>
  <c r="F183" i="13"/>
  <c r="D183" i="13"/>
  <c r="B179" i="13"/>
  <c r="F179" i="13"/>
  <c r="D179" i="13"/>
  <c r="G72" i="12"/>
  <c r="C64" i="12"/>
  <c r="C63" i="12"/>
  <c r="G63" i="12"/>
  <c r="O63" i="12"/>
  <c r="D62" i="12"/>
  <c r="D56" i="12"/>
  <c r="N55" i="12"/>
  <c r="D55" i="12"/>
  <c r="B54" i="12"/>
  <c r="F54" i="12"/>
  <c r="N54" i="12"/>
  <c r="R54" i="12"/>
  <c r="C48" i="12"/>
  <c r="C47" i="12"/>
  <c r="G47" i="12"/>
  <c r="O47" i="12"/>
  <c r="D46" i="12"/>
  <c r="R44" i="12"/>
  <c r="G44" i="12"/>
  <c r="E43" i="12"/>
  <c r="D40" i="12"/>
  <c r="P40" i="12"/>
  <c r="D39" i="12"/>
  <c r="B38" i="12"/>
  <c r="F38" i="12"/>
  <c r="O36" i="12"/>
  <c r="E36" i="12"/>
  <c r="E34" i="12"/>
  <c r="M30" i="12"/>
  <c r="E30" i="12"/>
  <c r="M26" i="12"/>
  <c r="E26" i="12"/>
  <c r="E22" i="12"/>
  <c r="M18" i="12"/>
  <c r="E18" i="12"/>
  <c r="E14" i="12"/>
  <c r="S12" i="12"/>
  <c r="E10" i="12"/>
  <c r="G187" i="13"/>
  <c r="D185" i="13"/>
  <c r="B185" i="13"/>
  <c r="F185" i="13"/>
  <c r="G183" i="13"/>
  <c r="D181" i="13"/>
  <c r="B181" i="13"/>
  <c r="F181" i="13"/>
  <c r="G179" i="13"/>
  <c r="C172" i="13"/>
  <c r="G172" i="13"/>
  <c r="B172" i="13"/>
  <c r="D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R16" i="12"/>
  <c r="D16" i="12"/>
  <c r="B12" i="12"/>
  <c r="F12" i="12"/>
  <c r="N12" i="12"/>
  <c r="R12" i="12"/>
  <c r="D12" i="12"/>
  <c r="B8" i="12"/>
  <c r="F8" i="12"/>
  <c r="D8" i="12"/>
  <c r="O35" i="12"/>
  <c r="G35" i="12"/>
  <c r="G31" i="12"/>
  <c r="S27" i="12"/>
  <c r="G27" i="12"/>
  <c r="G23" i="12"/>
  <c r="G19" i="12"/>
  <c r="O15" i="12"/>
  <c r="G15" i="12"/>
  <c r="G11" i="12"/>
  <c r="S7" i="12"/>
  <c r="O7" i="12"/>
  <c r="G7" i="12"/>
  <c r="G186" i="13"/>
  <c r="G182" i="13"/>
  <c r="G178" i="13"/>
  <c r="F177" i="13"/>
  <c r="B177" i="13"/>
  <c r="C173" i="13"/>
  <c r="B171" i="13"/>
  <c r="F171" i="13"/>
  <c r="G169" i="13"/>
  <c r="B169" i="13"/>
  <c r="E167" i="13"/>
  <c r="E161" i="13"/>
  <c r="C160" i="13"/>
  <c r="G160" i="13"/>
  <c r="C157" i="13"/>
  <c r="E156" i="13"/>
  <c r="B155" i="13"/>
  <c r="F155" i="13"/>
  <c r="G153" i="13"/>
  <c r="B153" i="13"/>
  <c r="E151" i="13"/>
  <c r="E145" i="13"/>
  <c r="C144" i="13"/>
  <c r="G144" i="13"/>
  <c r="C141" i="13"/>
  <c r="E140" i="13"/>
  <c r="B139" i="13"/>
  <c r="F139" i="13"/>
  <c r="G137" i="13"/>
  <c r="B137" i="13"/>
  <c r="E135" i="13"/>
  <c r="E129" i="13"/>
  <c r="C128" i="13"/>
  <c r="G128" i="13"/>
  <c r="C125" i="13"/>
  <c r="E124" i="13"/>
  <c r="B123" i="13"/>
  <c r="F123" i="13"/>
  <c r="G121" i="13"/>
  <c r="B121" i="13"/>
  <c r="E119" i="13"/>
  <c r="G115" i="13"/>
  <c r="G111" i="13"/>
  <c r="G107" i="13"/>
  <c r="G103" i="13"/>
  <c r="G99" i="13"/>
  <c r="G95" i="13"/>
  <c r="G91" i="13"/>
  <c r="G87" i="13"/>
  <c r="B82" i="13"/>
  <c r="F82" i="13"/>
  <c r="C82" i="13"/>
  <c r="E82" i="13"/>
  <c r="C79" i="13"/>
  <c r="G79" i="13"/>
  <c r="E79" i="13"/>
  <c r="B79" i="13"/>
  <c r="D68" i="13"/>
  <c r="E68" i="13"/>
  <c r="B68" i="13"/>
  <c r="G68" i="13"/>
  <c r="B175" i="13"/>
  <c r="F175" i="13"/>
  <c r="D167" i="13"/>
  <c r="C164" i="13"/>
  <c r="G164" i="13"/>
  <c r="C161" i="13"/>
  <c r="B159" i="13"/>
  <c r="F159" i="13"/>
  <c r="D156" i="13"/>
  <c r="D151" i="13"/>
  <c r="C148" i="13"/>
  <c r="G148" i="13"/>
  <c r="C145" i="13"/>
  <c r="B143" i="13"/>
  <c r="F143" i="13"/>
  <c r="D140" i="13"/>
  <c r="D135" i="13"/>
  <c r="C132" i="13"/>
  <c r="G132" i="13"/>
  <c r="C129" i="13"/>
  <c r="B127" i="13"/>
  <c r="F127" i="13"/>
  <c r="D124" i="13"/>
  <c r="D119" i="13"/>
  <c r="E115" i="13"/>
  <c r="E111" i="13"/>
  <c r="E107" i="13"/>
  <c r="E103" i="13"/>
  <c r="E99" i="13"/>
  <c r="E95" i="13"/>
  <c r="E91" i="13"/>
  <c r="E87" i="13"/>
  <c r="D84" i="13"/>
  <c r="E84" i="13"/>
  <c r="B84" i="13"/>
  <c r="G84" i="13"/>
  <c r="C71" i="13"/>
  <c r="G71" i="13"/>
  <c r="B71" i="13"/>
  <c r="E71" i="13"/>
  <c r="G66" i="13"/>
  <c r="E175" i="13"/>
  <c r="E169" i="13"/>
  <c r="C168" i="13"/>
  <c r="G168" i="13"/>
  <c r="E164" i="13"/>
  <c r="B163" i="13"/>
  <c r="F163" i="13"/>
  <c r="G161" i="13"/>
  <c r="B161" i="13"/>
  <c r="E159" i="13"/>
  <c r="E153" i="13"/>
  <c r="C152" i="13"/>
  <c r="G152" i="13"/>
  <c r="E148" i="13"/>
  <c r="B147" i="13"/>
  <c r="F147" i="13"/>
  <c r="G145" i="13"/>
  <c r="B145" i="13"/>
  <c r="E143" i="13"/>
  <c r="E137" i="13"/>
  <c r="C136" i="13"/>
  <c r="G136" i="13"/>
  <c r="E132" i="13"/>
  <c r="B131" i="13"/>
  <c r="F131" i="13"/>
  <c r="G129" i="13"/>
  <c r="B129" i="13"/>
  <c r="E127" i="13"/>
  <c r="E121" i="13"/>
  <c r="C120" i="13"/>
  <c r="G120" i="13"/>
  <c r="B117" i="13"/>
  <c r="F117" i="13"/>
  <c r="D117" i="13"/>
  <c r="B113" i="13"/>
  <c r="F113" i="13"/>
  <c r="D113" i="13"/>
  <c r="B109" i="13"/>
  <c r="F109" i="13"/>
  <c r="D109" i="13"/>
  <c r="B105" i="13"/>
  <c r="F105" i="13"/>
  <c r="D105" i="13"/>
  <c r="B101" i="13"/>
  <c r="F101" i="13"/>
  <c r="D101" i="13"/>
  <c r="B97" i="13"/>
  <c r="F97" i="13"/>
  <c r="D97" i="13"/>
  <c r="B93" i="13"/>
  <c r="F93" i="13"/>
  <c r="D93" i="13"/>
  <c r="B89" i="13"/>
  <c r="F89" i="13"/>
  <c r="D89" i="13"/>
  <c r="B85" i="13"/>
  <c r="F85" i="13"/>
  <c r="D85" i="13"/>
  <c r="D76" i="13"/>
  <c r="B76" i="13"/>
  <c r="G76" i="13"/>
  <c r="E76" i="13"/>
  <c r="B74" i="13"/>
  <c r="F74" i="13"/>
  <c r="E74" i="13"/>
  <c r="C74" i="13"/>
  <c r="C63" i="13"/>
  <c r="G63" i="13"/>
  <c r="D63" i="13"/>
  <c r="E63" i="13"/>
  <c r="B63" i="13"/>
  <c r="B167" i="13"/>
  <c r="F167" i="13"/>
  <c r="C156" i="13"/>
  <c r="G156" i="13"/>
  <c r="B151" i="13"/>
  <c r="F151" i="13"/>
  <c r="C140" i="13"/>
  <c r="G140" i="13"/>
  <c r="B135" i="13"/>
  <c r="F135" i="13"/>
  <c r="C124" i="13"/>
  <c r="G124" i="13"/>
  <c r="B119" i="13"/>
  <c r="F119" i="13"/>
  <c r="D115" i="13"/>
  <c r="B115" i="13"/>
  <c r="F115" i="13"/>
  <c r="D111" i="13"/>
  <c r="B111" i="13"/>
  <c r="F111" i="13"/>
  <c r="D107" i="13"/>
  <c r="B107" i="13"/>
  <c r="F107" i="13"/>
  <c r="D103" i="13"/>
  <c r="B103" i="13"/>
  <c r="F103" i="13"/>
  <c r="D99" i="13"/>
  <c r="B99" i="13"/>
  <c r="F99" i="13"/>
  <c r="D95" i="13"/>
  <c r="B95" i="13"/>
  <c r="F95" i="13"/>
  <c r="D91" i="13"/>
  <c r="B91" i="13"/>
  <c r="F91" i="13"/>
  <c r="D87" i="13"/>
  <c r="B87" i="13"/>
  <c r="F87" i="13"/>
  <c r="B66" i="13"/>
  <c r="F66" i="13"/>
  <c r="C66" i="13"/>
  <c r="E66" i="13"/>
  <c r="B58" i="13"/>
  <c r="F58" i="13"/>
  <c r="D58" i="13"/>
  <c r="E58" i="13"/>
  <c r="C58" i="13"/>
  <c r="G116" i="13"/>
  <c r="G112" i="13"/>
  <c r="G108" i="13"/>
  <c r="G104" i="13"/>
  <c r="G100" i="13"/>
  <c r="G96" i="13"/>
  <c r="G92" i="13"/>
  <c r="G88" i="13"/>
  <c r="C75" i="13"/>
  <c r="G75" i="13"/>
  <c r="C72" i="13"/>
  <c r="B70" i="13"/>
  <c r="F70" i="13"/>
  <c r="E60" i="13"/>
  <c r="C59" i="13"/>
  <c r="G59" i="13"/>
  <c r="C56" i="13"/>
  <c r="E55" i="13"/>
  <c r="B54" i="13"/>
  <c r="F54" i="13"/>
  <c r="G52" i="13"/>
  <c r="B52" i="13"/>
  <c r="E50" i="13"/>
  <c r="E44" i="13"/>
  <c r="C43" i="13"/>
  <c r="G43" i="13"/>
  <c r="C40" i="13"/>
  <c r="E39" i="13"/>
  <c r="B38" i="13"/>
  <c r="F38" i="13"/>
  <c r="G36" i="13"/>
  <c r="B36" i="13"/>
  <c r="E34" i="13"/>
  <c r="G30" i="13"/>
  <c r="G26" i="13"/>
  <c r="G22" i="13"/>
  <c r="G18" i="13"/>
  <c r="G14" i="13"/>
  <c r="G10" i="13"/>
  <c r="G6" i="13"/>
  <c r="B184" i="14"/>
  <c r="G184" i="14" s="1"/>
  <c r="F184" i="14"/>
  <c r="D184" i="14"/>
  <c r="C47" i="13"/>
  <c r="G47" i="13"/>
  <c r="B42" i="13"/>
  <c r="F42" i="13"/>
  <c r="B188" i="14"/>
  <c r="F188" i="14"/>
  <c r="D188" i="14"/>
  <c r="D178" i="14"/>
  <c r="B178" i="14"/>
  <c r="F178" i="14"/>
  <c r="D168" i="14"/>
  <c r="C168" i="14"/>
  <c r="E168" i="14"/>
  <c r="B168" i="14"/>
  <c r="C83" i="13"/>
  <c r="G83" i="13"/>
  <c r="B78" i="13"/>
  <c r="F78" i="13"/>
  <c r="C67" i="13"/>
  <c r="G67" i="13"/>
  <c r="B62" i="13"/>
  <c r="F62" i="13"/>
  <c r="G60" i="13"/>
  <c r="B60" i="13"/>
  <c r="E52" i="13"/>
  <c r="C51" i="13"/>
  <c r="G51" i="13"/>
  <c r="E47" i="13"/>
  <c r="B46" i="13"/>
  <c r="F46" i="13"/>
  <c r="G44" i="13"/>
  <c r="B44" i="13"/>
  <c r="E42" i="13"/>
  <c r="E36" i="13"/>
  <c r="C35" i="13"/>
  <c r="G35" i="13"/>
  <c r="D32" i="13"/>
  <c r="B32" i="13"/>
  <c r="F32" i="13"/>
  <c r="D28" i="13"/>
  <c r="B28" i="13"/>
  <c r="F28" i="13"/>
  <c r="D24" i="13"/>
  <c r="B24" i="13"/>
  <c r="F24" i="13"/>
  <c r="D20" i="13"/>
  <c r="B20" i="13"/>
  <c r="F20" i="13"/>
  <c r="D16" i="13"/>
  <c r="B16" i="13"/>
  <c r="F16" i="13"/>
  <c r="D12" i="13"/>
  <c r="B12" i="13"/>
  <c r="F12" i="13"/>
  <c r="D8" i="13"/>
  <c r="B8" i="13"/>
  <c r="F8" i="13"/>
  <c r="D182" i="14"/>
  <c r="B182" i="14"/>
  <c r="G182" i="14" s="1"/>
  <c r="F182" i="14"/>
  <c r="C174" i="14"/>
  <c r="D174" i="14"/>
  <c r="B174" i="14"/>
  <c r="G174" i="14" s="1"/>
  <c r="F174" i="14"/>
  <c r="C55" i="13"/>
  <c r="G55" i="13"/>
  <c r="C52" i="13"/>
  <c r="B50" i="13"/>
  <c r="F50" i="13"/>
  <c r="D47" i="13"/>
  <c r="D42" i="13"/>
  <c r="C39" i="13"/>
  <c r="G39" i="13"/>
  <c r="C36" i="13"/>
  <c r="B34" i="13"/>
  <c r="F34" i="13"/>
  <c r="B30" i="13"/>
  <c r="F30" i="13"/>
  <c r="D30" i="13"/>
  <c r="B26" i="13"/>
  <c r="F26" i="13"/>
  <c r="D26" i="13"/>
  <c r="B22" i="13"/>
  <c r="F22" i="13"/>
  <c r="D22" i="13"/>
  <c r="B18" i="13"/>
  <c r="F18" i="13"/>
  <c r="D18" i="13"/>
  <c r="B14" i="13"/>
  <c r="F14" i="13"/>
  <c r="D14" i="13"/>
  <c r="B10" i="13"/>
  <c r="F10" i="13"/>
  <c r="D10" i="13"/>
  <c r="B6" i="13"/>
  <c r="F6" i="13"/>
  <c r="D6" i="13"/>
  <c r="E188" i="14"/>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G122" i="14" s="1"/>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G143"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G94" i="14" s="1"/>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G22" i="14" s="1"/>
  <c r="F22" i="14"/>
  <c r="B54" i="14"/>
  <c r="F54" i="14"/>
  <c r="D42" i="14"/>
  <c r="B42" i="14"/>
  <c r="F42" i="14"/>
  <c r="E40" i="14"/>
  <c r="G37" i="14"/>
  <c r="B32" i="14"/>
  <c r="G4" i="21" s="1"/>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F4" i="21" s="1"/>
  <c r="B24" i="14"/>
  <c r="F24" i="14"/>
  <c r="D24" i="14"/>
  <c r="D20" i="14"/>
  <c r="F18" i="14"/>
  <c r="B18" i="14"/>
  <c r="G18" i="14" s="1"/>
  <c r="D16" i="14"/>
  <c r="F14" i="14"/>
  <c r="B14" i="14"/>
  <c r="G14" i="14" s="1"/>
  <c r="D12" i="14"/>
  <c r="F10" i="14"/>
  <c r="B10" i="14"/>
  <c r="D8" i="14"/>
  <c r="F20" i="14"/>
  <c r="D18" i="14"/>
  <c r="F16" i="14"/>
  <c r="D14" i="14"/>
  <c r="F12" i="14"/>
  <c r="D10" i="14"/>
  <c r="F8" i="14"/>
  <c r="M126" i="5" l="1"/>
  <c r="H171" i="3"/>
  <c r="P163" i="5"/>
  <c r="H148" i="12"/>
  <c r="J148" i="12"/>
  <c r="E155" i="7"/>
  <c r="R88" i="12"/>
  <c r="Q138" i="12"/>
  <c r="L89" i="12"/>
  <c r="L155" i="7"/>
  <c r="M54" i="7"/>
  <c r="O68" i="7"/>
  <c r="P105" i="12"/>
  <c r="O54" i="7"/>
  <c r="H155" i="7"/>
  <c r="F73" i="7"/>
  <c r="J55" i="2"/>
  <c r="K55" i="2" s="1"/>
  <c r="J67" i="2"/>
  <c r="K67" i="2" s="1"/>
  <c r="J60" i="2"/>
  <c r="K60" i="2" s="1"/>
  <c r="H54" i="7"/>
  <c r="K54" i="7"/>
  <c r="D155" i="7"/>
  <c r="H110" i="3"/>
  <c r="P119" i="5"/>
  <c r="B54" i="7"/>
  <c r="F158" i="7"/>
  <c r="C54" i="7"/>
  <c r="K158" i="7"/>
  <c r="P134" i="5"/>
  <c r="K64" i="3"/>
  <c r="D183" i="7"/>
  <c r="S35" i="12"/>
  <c r="L13" i="12"/>
  <c r="D158" i="7"/>
  <c r="I183" i="12"/>
  <c r="G158" i="7"/>
  <c r="E117" i="3"/>
  <c r="H92" i="3"/>
  <c r="Q66" i="12"/>
  <c r="I158" i="7"/>
  <c r="I158" i="12" s="1"/>
  <c r="J80" i="12"/>
  <c r="C158" i="7"/>
  <c r="J32" i="2"/>
  <c r="K32" i="2" s="1"/>
  <c r="M33" i="5"/>
  <c r="M49" i="5"/>
  <c r="N158" i="7"/>
  <c r="H39" i="3"/>
  <c r="O80" i="7"/>
  <c r="F183" i="7"/>
  <c r="P87" i="5"/>
  <c r="L80" i="7"/>
  <c r="H20" i="3"/>
  <c r="O146" i="7"/>
  <c r="E146" i="7"/>
  <c r="H59" i="3"/>
  <c r="E57" i="3"/>
  <c r="N54" i="7"/>
  <c r="F68" i="7"/>
  <c r="J54" i="7"/>
  <c r="K72" i="12"/>
  <c r="N184" i="2"/>
  <c r="O184" i="2" s="1"/>
  <c r="N50" i="2"/>
  <c r="O50" i="2" s="1"/>
  <c r="H24" i="3"/>
  <c r="F155" i="7"/>
  <c r="P22" i="5"/>
  <c r="Q169" i="12"/>
  <c r="I53" i="7"/>
  <c r="B33" i="7"/>
  <c r="H98" i="7"/>
  <c r="N69" i="7"/>
  <c r="K95" i="12"/>
  <c r="F25" i="7"/>
  <c r="L35" i="7"/>
  <c r="M90" i="7"/>
  <c r="H160" i="7"/>
  <c r="M88" i="5"/>
  <c r="E29" i="5"/>
  <c r="F29" i="5" s="1"/>
  <c r="G29" i="5" s="1"/>
  <c r="N33" i="2"/>
  <c r="O33" i="2" s="1"/>
  <c r="N94" i="2"/>
  <c r="O94" i="2" s="1"/>
  <c r="I98" i="7"/>
  <c r="E80" i="7"/>
  <c r="G117" i="7"/>
  <c r="M164" i="7"/>
  <c r="O13" i="7"/>
  <c r="N68" i="7"/>
  <c r="L183" i="7"/>
  <c r="I13" i="7"/>
  <c r="I13" i="12" s="1"/>
  <c r="K91" i="7"/>
  <c r="J91" i="12" s="1"/>
  <c r="G96" i="14"/>
  <c r="N62" i="12"/>
  <c r="Q27" i="12"/>
  <c r="K98" i="7"/>
  <c r="I35" i="7"/>
  <c r="J53" i="7"/>
  <c r="D35" i="7"/>
  <c r="E90" i="3"/>
  <c r="K122" i="3"/>
  <c r="K156" i="3"/>
  <c r="L25" i="7"/>
  <c r="K25" i="12" s="1"/>
  <c r="K20" i="3"/>
  <c r="K88" i="7"/>
  <c r="J88" i="12" s="1"/>
  <c r="F134" i="7"/>
  <c r="M158" i="7"/>
  <c r="O155" i="7"/>
  <c r="B183" i="7"/>
  <c r="I96" i="7"/>
  <c r="O88" i="7"/>
  <c r="H134" i="7"/>
  <c r="G35" i="7"/>
  <c r="E28" i="3"/>
  <c r="D33" i="7"/>
  <c r="L104" i="12"/>
  <c r="R24" i="12"/>
  <c r="N156" i="12"/>
  <c r="L135" i="12"/>
  <c r="I90" i="7"/>
  <c r="C98" i="7"/>
  <c r="H13" i="7"/>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N104" i="2"/>
  <c r="O104" i="2" s="1"/>
  <c r="N13" i="7"/>
  <c r="O134" i="7"/>
  <c r="H77" i="3"/>
  <c r="F46" i="2"/>
  <c r="J180" i="2"/>
  <c r="K180" i="2" s="1"/>
  <c r="M13" i="7"/>
  <c r="M51" i="7"/>
  <c r="D24" i="7"/>
  <c r="E73" i="7"/>
  <c r="N88" i="7"/>
  <c r="C183" i="7"/>
  <c r="E155" i="3"/>
  <c r="E35" i="7"/>
  <c r="K155" i="7"/>
  <c r="D61" i="7"/>
  <c r="R26" i="12"/>
  <c r="J13" i="7"/>
  <c r="H51" i="7"/>
  <c r="H51" i="12" s="1"/>
  <c r="K50" i="3"/>
  <c r="K78" i="3"/>
  <c r="N145" i="2"/>
  <c r="O145" i="2" s="1"/>
  <c r="J51" i="7"/>
  <c r="K24" i="7"/>
  <c r="F91" i="7"/>
  <c r="N96" i="7"/>
  <c r="G88" i="7"/>
  <c r="I88" i="7"/>
  <c r="F88" i="7"/>
  <c r="G183" i="7"/>
  <c r="J52" i="7"/>
  <c r="M25" i="7"/>
  <c r="J158" i="7"/>
  <c r="C73" i="7"/>
  <c r="B158" i="7"/>
  <c r="G162" i="14"/>
  <c r="G26" i="14"/>
  <c r="M146" i="12"/>
  <c r="M106" i="5"/>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S83" i="12"/>
  <c r="B13" i="7"/>
  <c r="I25" i="7"/>
  <c r="I51" i="7"/>
  <c r="I51" i="12" s="1"/>
  <c r="E90" i="7"/>
  <c r="C134" i="7"/>
  <c r="K90" i="7"/>
  <c r="M53" i="7"/>
  <c r="E98" i="7"/>
  <c r="K158" i="3"/>
  <c r="L6" i="3"/>
  <c r="C53" i="7"/>
  <c r="E96" i="7"/>
  <c r="F96" i="7"/>
  <c r="L88" i="7"/>
  <c r="K88" i="12" s="1"/>
  <c r="D134" i="7"/>
  <c r="I155" i="7"/>
  <c r="O183" i="7"/>
  <c r="K147" i="3"/>
  <c r="M35" i="7"/>
  <c r="H25" i="7"/>
  <c r="I91" i="7"/>
  <c r="B90" i="7"/>
  <c r="N190" i="2"/>
  <c r="O190" i="2" s="1"/>
  <c r="R47" i="12"/>
  <c r="O103" i="12"/>
  <c r="L101" i="12"/>
  <c r="I117" i="7"/>
  <c r="I117" i="12" s="1"/>
  <c r="O25" i="7"/>
  <c r="E53" i="7"/>
  <c r="J90" i="7"/>
  <c r="G90" i="7"/>
  <c r="N25" i="7"/>
  <c r="J98" i="7"/>
  <c r="H180" i="12"/>
  <c r="J157" i="5"/>
  <c r="K95" i="3"/>
  <c r="I6" i="3"/>
  <c r="N113" i="2"/>
  <c r="O113" i="2" s="1"/>
  <c r="K96" i="7"/>
  <c r="J96" i="12" s="1"/>
  <c r="B96" i="7"/>
  <c r="H88" i="7"/>
  <c r="M88" i="7"/>
  <c r="I134" i="7"/>
  <c r="N155" i="7"/>
  <c r="G25" i="7"/>
  <c r="M183" i="7"/>
  <c r="F52" i="2"/>
  <c r="P146" i="12"/>
  <c r="P172" i="12"/>
  <c r="R154" i="12"/>
  <c r="P124" i="12"/>
  <c r="N154" i="12"/>
  <c r="P30" i="12"/>
  <c r="S69" i="12"/>
  <c r="P159" i="5"/>
  <c r="O172" i="12"/>
  <c r="B233" i="2"/>
  <c r="L10" i="7"/>
  <c r="M56" i="5"/>
  <c r="L32" i="12"/>
  <c r="S137" i="12"/>
  <c r="L110" i="12"/>
  <c r="O104" i="12"/>
  <c r="P102" i="12"/>
  <c r="S116" i="12"/>
  <c r="L98" i="12"/>
  <c r="N137" i="12"/>
  <c r="S155" i="12"/>
  <c r="H48" i="3"/>
  <c r="L109" i="12"/>
  <c r="O107" i="12"/>
  <c r="S150" i="12"/>
  <c r="Q124" i="12"/>
  <c r="S162" i="12"/>
  <c r="K111" i="12"/>
  <c r="R145" i="12"/>
  <c r="L108" i="5"/>
  <c r="O105" i="12"/>
  <c r="R100" i="12"/>
  <c r="L107" i="12"/>
  <c r="O153" i="12"/>
  <c r="P157" i="12"/>
  <c r="P123" i="12"/>
  <c r="L100" i="5"/>
  <c r="R131" i="12"/>
  <c r="O121" i="12"/>
  <c r="J111" i="12"/>
  <c r="R148" i="12"/>
  <c r="M173" i="12"/>
  <c r="O151" i="12"/>
  <c r="N160" i="12"/>
  <c r="E117" i="5"/>
  <c r="O135" i="12"/>
  <c r="M122" i="12"/>
  <c r="Q112" i="12"/>
  <c r="O109" i="12"/>
  <c r="L121" i="12"/>
  <c r="S124" i="12"/>
  <c r="L124" i="5"/>
  <c r="M124" i="5" s="1"/>
  <c r="L146" i="5"/>
  <c r="R170" i="12"/>
  <c r="H111" i="12"/>
  <c r="E128" i="5"/>
  <c r="O117" i="12"/>
  <c r="L116" i="5"/>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Q113" i="12"/>
  <c r="L113" i="5"/>
  <c r="M113" i="5" s="1"/>
  <c r="P145" i="12"/>
  <c r="L145" i="5"/>
  <c r="M145" i="5" s="1"/>
  <c r="N120" i="12"/>
  <c r="P139" i="12"/>
  <c r="R165" i="12"/>
  <c r="Q117" i="12"/>
  <c r="S114" i="12"/>
  <c r="L151" i="12"/>
  <c r="E119" i="5"/>
  <c r="S123" i="12"/>
  <c r="P155" i="12"/>
  <c r="L128" i="5"/>
  <c r="L137" i="12"/>
  <c r="S140" i="12"/>
  <c r="L140" i="5"/>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32"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D117" i="7"/>
  <c r="C51" i="7"/>
  <c r="D91" i="7"/>
  <c r="J127" i="7"/>
  <c r="E15" i="7"/>
  <c r="L127" i="7"/>
  <c r="D51" i="7"/>
  <c r="C62" i="7"/>
  <c r="B188" i="7"/>
  <c r="H170" i="7"/>
  <c r="H170" i="12" s="1"/>
  <c r="J49" i="2"/>
  <c r="K49" i="2" s="1"/>
  <c r="F89" i="2"/>
  <c r="N105" i="2"/>
  <c r="O105" i="2" s="1"/>
  <c r="P108" i="5"/>
  <c r="I15" i="7"/>
  <c r="O8" i="7"/>
  <c r="F51" i="7"/>
  <c r="D16" i="7"/>
  <c r="O24" i="7"/>
  <c r="N91" i="7"/>
  <c r="E60" i="7"/>
  <c r="C84" i="7"/>
  <c r="I118" i="7"/>
  <c r="I170" i="7"/>
  <c r="I170" i="12" s="1"/>
  <c r="P36" i="5"/>
  <c r="M16" i="7"/>
  <c r="E52" i="7"/>
  <c r="M38" i="7"/>
  <c r="F38" i="7"/>
  <c r="H65" i="7"/>
  <c r="H65" i="12" s="1"/>
  <c r="C65" i="7"/>
  <c r="I33" i="7"/>
  <c r="C8" i="7"/>
  <c r="N181" i="7"/>
  <c r="J69" i="7"/>
  <c r="J182" i="12"/>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K171" i="12"/>
  <c r="R123" i="12"/>
  <c r="S128" i="12"/>
  <c r="P159" i="12"/>
  <c r="K117" i="7"/>
  <c r="F69" i="7"/>
  <c r="H171" i="12"/>
  <c r="J86" i="5"/>
  <c r="K13" i="3"/>
  <c r="H74" i="3"/>
  <c r="K170" i="7"/>
  <c r="J170" i="12" s="1"/>
  <c r="G61" i="2"/>
  <c r="C24" i="7"/>
  <c r="J43" i="7"/>
  <c r="B91" i="7"/>
  <c r="G187" i="2"/>
  <c r="G123" i="14"/>
  <c r="E38" i="7"/>
  <c r="D52" i="7"/>
  <c r="I60" i="7"/>
  <c r="F62" i="7"/>
  <c r="J118" i="7"/>
  <c r="L52" i="7"/>
  <c r="H86" i="7"/>
  <c r="J169" i="7"/>
  <c r="G33" i="7"/>
  <c r="F127" i="7"/>
  <c r="E117" i="7"/>
  <c r="S34" i="12"/>
  <c r="S152" i="12"/>
  <c r="O118" i="7"/>
  <c r="B69" i="7"/>
  <c r="H181" i="12"/>
  <c r="K78" i="7"/>
  <c r="J78" i="12" s="1"/>
  <c r="H31" i="3"/>
  <c r="E74" i="3"/>
  <c r="G170" i="7"/>
  <c r="E25" i="3"/>
  <c r="F121" i="2"/>
  <c r="G167" i="14"/>
  <c r="P66" i="5"/>
  <c r="G52" i="7"/>
  <c r="K11" i="7"/>
  <c r="N60" i="7"/>
  <c r="K60" i="7"/>
  <c r="J60" i="12" s="1"/>
  <c r="N123" i="7"/>
  <c r="K129" i="3"/>
  <c r="N38" i="7"/>
  <c r="C52" i="7"/>
  <c r="C60" i="7"/>
  <c r="E62" i="7"/>
  <c r="E86" i="7"/>
  <c r="F167" i="7"/>
  <c r="I188" i="7"/>
  <c r="I188" i="12" s="1"/>
  <c r="N136" i="2"/>
  <c r="O136" i="2" s="1"/>
  <c r="F86" i="7"/>
  <c r="M170" i="7"/>
  <c r="M52" i="7"/>
  <c r="K127" i="7"/>
  <c r="E33" i="7"/>
  <c r="L33" i="7"/>
  <c r="Q97" i="12"/>
  <c r="R69" i="12"/>
  <c r="R128" i="12"/>
  <c r="R152" i="12"/>
  <c r="R25" i="12"/>
  <c r="K15" i="7"/>
  <c r="O38" i="7"/>
  <c r="K118" i="7"/>
  <c r="H117" i="7"/>
  <c r="G188" i="7"/>
  <c r="C170" i="7"/>
  <c r="E27" i="3"/>
  <c r="K164" i="3"/>
  <c r="N85" i="2"/>
  <c r="O85" i="2" s="1"/>
  <c r="F106" i="2"/>
  <c r="P84" i="5"/>
  <c r="K52" i="7"/>
  <c r="J52" i="12" s="1"/>
  <c r="C11" i="7"/>
  <c r="G60" i="7"/>
  <c r="N24" i="7"/>
  <c r="J60" i="7"/>
  <c r="D129" i="7"/>
  <c r="K56" i="3"/>
  <c r="E170" i="3"/>
  <c r="M67" i="5"/>
  <c r="I38" i="7"/>
  <c r="L65" i="7"/>
  <c r="K65" i="12" s="1"/>
  <c r="O164" i="7"/>
  <c r="H38" i="7"/>
  <c r="J86" i="7"/>
  <c r="I169" i="7"/>
  <c r="C188" i="7"/>
  <c r="J68" i="2"/>
  <c r="K68" i="2" s="1"/>
  <c r="J177" i="2"/>
  <c r="K177" i="2" s="1"/>
  <c r="K65" i="7"/>
  <c r="M86" i="7"/>
  <c r="E170" i="7"/>
  <c r="F181" i="7"/>
  <c r="N39" i="12"/>
  <c r="M124" i="12"/>
  <c r="Q122" i="12"/>
  <c r="R34" i="12"/>
  <c r="N98" i="12"/>
  <c r="R75" i="12"/>
  <c r="M75" i="12"/>
  <c r="R116" i="12"/>
  <c r="M166" i="12"/>
  <c r="R72" i="12"/>
  <c r="M151" i="5"/>
  <c r="M89" i="12"/>
  <c r="C127" i="7"/>
  <c r="K38" i="7"/>
  <c r="J38" i="12" s="1"/>
  <c r="D62" i="7"/>
  <c r="G118" i="7"/>
  <c r="H69" i="7"/>
  <c r="H69" i="12" s="1"/>
  <c r="M117" i="7"/>
  <c r="O188" i="7"/>
  <c r="J110" i="5"/>
  <c r="L188" i="7"/>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E69" i="7"/>
  <c r="C118" i="7"/>
  <c r="J63" i="12"/>
  <c r="N117" i="7"/>
  <c r="M69" i="7"/>
  <c r="K77" i="3"/>
  <c r="H188" i="7"/>
  <c r="H189" i="12" s="1"/>
  <c r="N170" i="7"/>
  <c r="K188" i="7"/>
  <c r="F61" i="2"/>
  <c r="N169" i="2"/>
  <c r="O169" i="2" s="1"/>
  <c r="G157" i="14"/>
  <c r="F24" i="7"/>
  <c r="E181" i="7"/>
  <c r="M8" i="7"/>
  <c r="D65" i="7"/>
  <c r="E129" i="7"/>
  <c r="O51" i="7"/>
  <c r="D181" i="7"/>
  <c r="H33" i="7"/>
  <c r="D86" i="7"/>
  <c r="O117" i="7"/>
  <c r="D127" i="7"/>
  <c r="R126" i="12"/>
  <c r="R106" i="12"/>
  <c r="N15" i="7"/>
  <c r="D69" i="7"/>
  <c r="N127" i="7"/>
  <c r="N33" i="7"/>
  <c r="C38" i="7"/>
  <c r="N62" i="7"/>
  <c r="K69" i="7"/>
  <c r="G181" i="7"/>
  <c r="J117" i="7"/>
  <c r="G15" i="7"/>
  <c r="H95" i="3"/>
  <c r="D188" i="7"/>
  <c r="J170" i="7"/>
  <c r="E161" i="3"/>
  <c r="J113" i="2"/>
  <c r="K113" i="2" s="1"/>
  <c r="N176" i="2"/>
  <c r="O176" i="2" s="1"/>
  <c r="J75" i="2"/>
  <c r="K75" i="2" s="1"/>
  <c r="J123" i="2"/>
  <c r="K123" i="2" s="1"/>
  <c r="N130" i="2"/>
  <c r="O130" i="2" s="1"/>
  <c r="E233" i="2"/>
  <c r="O65" i="7"/>
  <c r="M11" i="7"/>
  <c r="B24" i="7"/>
  <c r="L60" i="7"/>
  <c r="K60" i="12" s="1"/>
  <c r="J99" i="7"/>
  <c r="J181" i="7"/>
  <c r="P143" i="5"/>
  <c r="I86" i="7"/>
  <c r="I86" i="12" s="1"/>
  <c r="E51" i="7"/>
  <c r="H64" i="3"/>
  <c r="K28" i="3"/>
  <c r="I181" i="7"/>
  <c r="I180" i="12" s="1"/>
  <c r="M33" i="7"/>
  <c r="K129" i="7"/>
  <c r="E91" i="7"/>
  <c r="K33" i="7"/>
  <c r="J33" i="12" s="1"/>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K51" i="7"/>
  <c r="J51" i="12" s="1"/>
  <c r="B99" i="7"/>
  <c r="M143" i="5"/>
  <c r="N86" i="7"/>
  <c r="G51" i="7"/>
  <c r="B181" i="7"/>
  <c r="L38" i="7"/>
  <c r="K38" i="12" s="1"/>
  <c r="G31" i="14"/>
  <c r="O91" i="7"/>
  <c r="M75" i="5"/>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M96" i="7"/>
  <c r="E183" i="3"/>
  <c r="O96" i="7"/>
  <c r="J95" i="12"/>
  <c r="R125" i="12"/>
  <c r="H68" i="3"/>
  <c r="G122" i="2"/>
  <c r="H100" i="7"/>
  <c r="F98" i="7"/>
  <c r="E132" i="7"/>
  <c r="B136" i="7"/>
  <c r="K132" i="7"/>
  <c r="L144" i="7"/>
  <c r="E13" i="7"/>
  <c r="N136" i="7"/>
  <c r="N92" i="2"/>
  <c r="O92" i="2" s="1"/>
  <c r="J100" i="7"/>
  <c r="M188" i="7"/>
  <c r="P69" i="5"/>
  <c r="L96" i="7"/>
  <c r="K100" i="7"/>
  <c r="J100" i="12" s="1"/>
  <c r="D100" i="7"/>
  <c r="K171" i="3"/>
  <c r="L90" i="7"/>
  <c r="K90" i="12" s="1"/>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G78" i="7"/>
  <c r="F89" i="7"/>
  <c r="H178" i="7"/>
  <c r="G137" i="2"/>
  <c r="F134" i="2"/>
  <c r="O16" i="7"/>
  <c r="E43" i="7"/>
  <c r="K55" i="7"/>
  <c r="J55" i="12" s="1"/>
  <c r="E16" i="7"/>
  <c r="C121" i="7"/>
  <c r="C89" i="7"/>
  <c r="E89" i="7"/>
  <c r="F123" i="7"/>
  <c r="M77" i="5"/>
  <c r="H43" i="7"/>
  <c r="G87" i="7"/>
  <c r="D123" i="7"/>
  <c r="C78" i="7"/>
  <c r="B89" i="7"/>
  <c r="N121" i="7"/>
  <c r="D178" i="7"/>
  <c r="K16" i="7"/>
  <c r="J16" i="12" s="1"/>
  <c r="M43" i="7"/>
  <c r="F78" i="7"/>
  <c r="H121" i="7"/>
  <c r="K87" i="7"/>
  <c r="M178" i="7"/>
  <c r="M121" i="7"/>
  <c r="L89" i="7"/>
  <c r="O123" i="7"/>
  <c r="S131" i="12"/>
  <c r="Q93" i="12"/>
  <c r="N122" i="12"/>
  <c r="D43" i="7"/>
  <c r="M87" i="7"/>
  <c r="I126" i="7"/>
  <c r="I126" i="12" s="1"/>
  <c r="N133" i="7"/>
  <c r="J121" i="7"/>
  <c r="O178" i="7"/>
  <c r="E133" i="3"/>
  <c r="K148" i="3"/>
  <c r="J122" i="2"/>
  <c r="K122" i="2" s="1"/>
  <c r="G16" i="7"/>
  <c r="G43" i="7"/>
  <c r="M78" i="7"/>
  <c r="G123" i="7"/>
  <c r="I87" i="7"/>
  <c r="I178" i="7"/>
  <c r="I178" i="12" s="1"/>
  <c r="I43" i="7"/>
  <c r="E123" i="7"/>
  <c r="P97" i="5"/>
  <c r="N66" i="2"/>
  <c r="O66" i="2" s="1"/>
  <c r="C16" i="7"/>
  <c r="B43" i="7"/>
  <c r="B78" i="7"/>
  <c r="M123" i="7"/>
  <c r="N87" i="7"/>
  <c r="E178" i="7"/>
  <c r="F43" i="7"/>
  <c r="M89" i="7"/>
  <c r="B123" i="7"/>
  <c r="H89" i="7"/>
  <c r="G66" i="14"/>
  <c r="R28" i="12"/>
  <c r="L56" i="12"/>
  <c r="L123" i="12"/>
  <c r="H55" i="7"/>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E78" i="7"/>
  <c r="G191" i="2"/>
  <c r="G133" i="7"/>
  <c r="K123" i="7"/>
  <c r="J123" i="12" s="1"/>
  <c r="L55" i="7"/>
  <c r="K55" i="12" s="1"/>
  <c r="N20" i="12"/>
  <c r="P168" i="12"/>
  <c r="Q143" i="12"/>
  <c r="I78" i="7"/>
  <c r="I78" i="12" s="1"/>
  <c r="E133" i="7"/>
  <c r="J55" i="7"/>
  <c r="E87" i="7"/>
  <c r="J128" i="5"/>
  <c r="N178" i="7"/>
  <c r="F16" i="7"/>
  <c r="N55" i="7"/>
  <c r="N170" i="12"/>
  <c r="L168" i="12"/>
  <c r="Q107" i="12"/>
  <c r="N78" i="7"/>
  <c r="D121" i="7"/>
  <c r="K133" i="7"/>
  <c r="O55" i="7"/>
  <c r="J87" i="7"/>
  <c r="H133" i="7"/>
  <c r="J140" i="5"/>
  <c r="J178" i="7"/>
  <c r="F81" i="2"/>
  <c r="B16" i="7"/>
  <c r="C55" i="7"/>
  <c r="K121" i="7"/>
  <c r="S113" i="12"/>
  <c r="R124" i="12"/>
  <c r="L87" i="7"/>
  <c r="I121" i="7"/>
  <c r="O87" i="7"/>
  <c r="M133" i="7"/>
  <c r="F178" i="7"/>
  <c r="J174" i="2"/>
  <c r="K174" i="2" s="1"/>
  <c r="L16" i="7"/>
  <c r="K16" i="12" s="1"/>
  <c r="I55" i="7"/>
  <c r="I55" i="12" s="1"/>
  <c r="C123" i="7"/>
  <c r="L133" i="7"/>
  <c r="K133" i="12" s="1"/>
  <c r="M186" i="7"/>
  <c r="N124" i="12"/>
  <c r="H87" i="7"/>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H49" i="12" s="1"/>
  <c r="G49" i="7"/>
  <c r="O163" i="7"/>
  <c r="O175" i="7"/>
  <c r="P81" i="5"/>
  <c r="G116" i="7"/>
  <c r="P107" i="12"/>
  <c r="L111" i="12"/>
  <c r="O97" i="7"/>
  <c r="C49" i="7"/>
  <c r="K163" i="7"/>
  <c r="E182" i="7"/>
  <c r="L109" i="7"/>
  <c r="J175" i="7"/>
  <c r="F111" i="7"/>
  <c r="P80" i="5"/>
  <c r="G37" i="7"/>
  <c r="I97" i="7"/>
  <c r="D177" i="7"/>
  <c r="G163" i="7"/>
  <c r="I182" i="7"/>
  <c r="I182" i="12" s="1"/>
  <c r="E175" i="7"/>
  <c r="K97" i="7"/>
  <c r="J97" i="12" s="1"/>
  <c r="G175" i="7"/>
  <c r="I116" i="7"/>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J49" i="12" s="1"/>
  <c r="M57" i="7"/>
  <c r="L37" i="7"/>
  <c r="K37" i="12" s="1"/>
  <c r="F175" i="7"/>
  <c r="F154" i="7"/>
  <c r="F116" i="7"/>
  <c r="M171" i="12"/>
  <c r="M39" i="5"/>
  <c r="L57" i="7"/>
  <c r="K57" i="12" s="1"/>
  <c r="E163" i="7"/>
  <c r="I37" i="7"/>
  <c r="G109" i="7"/>
  <c r="L118" i="7"/>
  <c r="K118" i="12" s="1"/>
  <c r="M175" i="7"/>
  <c r="F177" i="7"/>
  <c r="S167" i="12"/>
  <c r="J162" i="5"/>
  <c r="N49" i="2"/>
  <c r="O49" i="2" s="1"/>
  <c r="P104" i="5"/>
  <c r="E57" i="7"/>
  <c r="O49" i="7"/>
  <c r="H175" i="7"/>
  <c r="H175" i="12" s="1"/>
  <c r="M163" i="7"/>
  <c r="D37" i="7"/>
  <c r="I163" i="7"/>
  <c r="O109" i="7"/>
  <c r="K175" i="7"/>
  <c r="B175" i="7"/>
  <c r="C97" i="7"/>
  <c r="L20" i="12"/>
  <c r="J31" i="5"/>
  <c r="F69" i="2"/>
  <c r="K57" i="7"/>
  <c r="J57" i="12" s="1"/>
  <c r="I49" i="7"/>
  <c r="L175" i="7"/>
  <c r="K175" i="12" s="1"/>
  <c r="F163" i="7"/>
  <c r="L163" i="7"/>
  <c r="K163" i="12" s="1"/>
  <c r="C37" i="7"/>
  <c r="L177" i="7"/>
  <c r="E97" i="7"/>
  <c r="D13" i="28"/>
  <c r="D12" i="28"/>
  <c r="G153" i="2"/>
  <c r="E158" i="3"/>
  <c r="F179" i="2"/>
  <c r="K53" i="3"/>
  <c r="E142" i="3"/>
  <c r="F153" i="2"/>
  <c r="S85" i="12"/>
  <c r="J153" i="2"/>
  <c r="K153" i="2" s="1"/>
  <c r="P155" i="5"/>
  <c r="B10" i="28"/>
  <c r="J171" i="2"/>
  <c r="K171" i="2" s="1"/>
  <c r="D10" i="28"/>
  <c r="E234" i="2"/>
  <c r="D11" i="28"/>
  <c r="I171" i="12"/>
  <c r="P151" i="5"/>
  <c r="G74" i="2"/>
  <c r="N75" i="12"/>
  <c r="M158" i="12"/>
  <c r="J66" i="5"/>
  <c r="K170" i="3"/>
  <c r="K172" i="3"/>
  <c r="B82" i="7"/>
  <c r="C179" i="7"/>
  <c r="B10" i="7"/>
  <c r="N26" i="7"/>
  <c r="E10" i="7"/>
  <c r="J58" i="12"/>
  <c r="L90" i="12"/>
  <c r="S141" i="12"/>
  <c r="O161" i="7"/>
  <c r="K26" i="7"/>
  <c r="I179" i="12"/>
  <c r="H131" i="7"/>
  <c r="H131" i="12" s="1"/>
  <c r="J74" i="2"/>
  <c r="K74" i="2" s="1"/>
  <c r="P68" i="5"/>
  <c r="N70" i="7"/>
  <c r="N179" i="7"/>
  <c r="E131" i="7"/>
  <c r="F161" i="7"/>
  <c r="F131" i="7"/>
  <c r="H10" i="7"/>
  <c r="H161" i="7"/>
  <c r="H161" i="12" s="1"/>
  <c r="J10" i="7"/>
  <c r="Q149" i="12"/>
  <c r="G26" i="7"/>
  <c r="M118" i="5"/>
  <c r="D131" i="7"/>
  <c r="I70" i="7"/>
  <c r="I70" i="12" s="1"/>
  <c r="E161" i="7"/>
  <c r="J179" i="7"/>
  <c r="H44" i="3"/>
  <c r="K131" i="7"/>
  <c r="M161" i="7"/>
  <c r="M131" i="7"/>
  <c r="M10" i="7"/>
  <c r="C161" i="7"/>
  <c r="O131" i="7"/>
  <c r="K116" i="7"/>
  <c r="C26" i="7"/>
  <c r="G18" i="2"/>
  <c r="J83" i="2"/>
  <c r="K83" i="2" s="1"/>
  <c r="D70" i="7"/>
  <c r="J161" i="7"/>
  <c r="F179" i="7"/>
  <c r="I26" i="7"/>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J69" i="12"/>
  <c r="I131" i="7"/>
  <c r="I131" i="12" s="1"/>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M95" i="5"/>
  <c r="E185" i="3"/>
  <c r="J48" i="7"/>
  <c r="E76" i="7"/>
  <c r="G172" i="7"/>
  <c r="L130" i="7"/>
  <c r="K130" i="12" s="1"/>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K187" i="12" s="1"/>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N141" i="2"/>
  <c r="O141" i="2" s="1"/>
  <c r="D231" i="2"/>
  <c r="K47" i="7"/>
  <c r="C172" i="7"/>
  <c r="P129" i="5"/>
  <c r="B176" i="7"/>
  <c r="K144" i="3"/>
  <c r="S143" i="12"/>
  <c r="M45" i="5"/>
  <c r="G130" i="7"/>
  <c r="G47" i="7"/>
  <c r="H85" i="7"/>
  <c r="H85" i="12" s="1"/>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N143" i="12"/>
  <c r="M113" i="12"/>
  <c r="C47" i="7"/>
  <c r="J130" i="7"/>
  <c r="H87" i="3"/>
  <c r="J178" i="2"/>
  <c r="K178" i="2" s="1"/>
  <c r="J66" i="2"/>
  <c r="K66" i="2" s="1"/>
  <c r="F130" i="2"/>
  <c r="B59" i="7"/>
  <c r="N155" i="2"/>
  <c r="O155" i="2" s="1"/>
  <c r="E96" i="3"/>
  <c r="P45" i="5"/>
  <c r="P46" i="5"/>
  <c r="J173" i="2"/>
  <c r="K173" i="2" s="1"/>
  <c r="H126" i="12"/>
  <c r="K121" i="3"/>
  <c r="P28" i="5"/>
  <c r="G55" i="14"/>
  <c r="M164" i="5"/>
  <c r="M9" i="5"/>
  <c r="F108" i="2"/>
  <c r="G107" i="14"/>
  <c r="P91" i="5"/>
  <c r="P77" i="5"/>
  <c r="M142" i="5"/>
  <c r="M100" i="5"/>
  <c r="J24" i="12"/>
  <c r="E150" i="3"/>
  <c r="P43" i="5"/>
  <c r="N191" i="2"/>
  <c r="O191" i="2" s="1"/>
  <c r="P94" i="12"/>
  <c r="L94" i="12"/>
  <c r="P170" i="12"/>
  <c r="L170" i="12"/>
  <c r="N162" i="12"/>
  <c r="N146" i="12"/>
  <c r="R146" i="12"/>
  <c r="S146" i="12"/>
  <c r="H28" i="3"/>
  <c r="P87" i="12"/>
  <c r="L87" i="12"/>
  <c r="S160" i="12"/>
  <c r="R160" i="12"/>
  <c r="Q125" i="12"/>
  <c r="M125" i="12"/>
  <c r="L125" i="7"/>
  <c r="K125" i="12" s="1"/>
  <c r="M125" i="7"/>
  <c r="K125" i="7"/>
  <c r="H125" i="7"/>
  <c r="H125" i="12" s="1"/>
  <c r="B125" i="7"/>
  <c r="E125" i="7"/>
  <c r="F125" i="7"/>
  <c r="J125" i="7"/>
  <c r="O125" i="7"/>
  <c r="N125" i="7"/>
  <c r="D125" i="7"/>
  <c r="G125" i="7"/>
  <c r="B122" i="7"/>
  <c r="L122" i="7"/>
  <c r="K122" i="12" s="1"/>
  <c r="O122" i="7"/>
  <c r="M122" i="7"/>
  <c r="H122" i="7"/>
  <c r="J122" i="7"/>
  <c r="N122" i="7"/>
  <c r="E122" i="7"/>
  <c r="I122" i="7"/>
  <c r="F122" i="7"/>
  <c r="G122" i="7"/>
  <c r="B48" i="7"/>
  <c r="H72" i="3"/>
  <c r="D102" i="7"/>
  <c r="I102" i="7"/>
  <c r="I102" i="12" s="1"/>
  <c r="N102" i="7"/>
  <c r="L102" i="7"/>
  <c r="K102" i="12" s="1"/>
  <c r="F102" i="7"/>
  <c r="M102" i="7"/>
  <c r="C102" i="7"/>
  <c r="G102" i="7"/>
  <c r="K102" i="7"/>
  <c r="O102" i="7"/>
  <c r="G137" i="7"/>
  <c r="O137" i="7"/>
  <c r="E137" i="7"/>
  <c r="I157" i="12"/>
  <c r="I137" i="7"/>
  <c r="I137" i="12" s="1"/>
  <c r="K154" i="12"/>
  <c r="D137" i="7"/>
  <c r="H162" i="12"/>
  <c r="M137" i="7"/>
  <c r="K112" i="12"/>
  <c r="H154" i="12"/>
  <c r="C137" i="7"/>
  <c r="H112" i="12"/>
  <c r="H132" i="12"/>
  <c r="H137" i="7"/>
  <c r="H137" i="12" s="1"/>
  <c r="J162" i="12"/>
  <c r="H144" i="12"/>
  <c r="K162" i="12"/>
  <c r="L148" i="12"/>
  <c r="K66" i="3"/>
  <c r="Q42" i="12"/>
  <c r="M42" i="12"/>
  <c r="C153" i="7"/>
  <c r="O153" i="7"/>
  <c r="I153" i="7"/>
  <c r="I153" i="12" s="1"/>
  <c r="B153" i="7"/>
  <c r="F153" i="7"/>
  <c r="J153" i="7"/>
  <c r="M153" i="7"/>
  <c r="H40" i="3"/>
  <c r="E40" i="5"/>
  <c r="F40" i="5" s="1"/>
  <c r="G40" i="5" s="1"/>
  <c r="I141" i="7"/>
  <c r="I141" i="12" s="1"/>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I56" i="7"/>
  <c r="O56" i="7"/>
  <c r="G56" i="7"/>
  <c r="L114" i="12"/>
  <c r="P114" i="12"/>
  <c r="K34" i="7"/>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L17" i="7"/>
  <c r="K17" i="12" s="1"/>
  <c r="K17" i="7"/>
  <c r="J17" i="12" s="1"/>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89" i="12"/>
  <c r="K93" i="12"/>
  <c r="L11" i="12"/>
  <c r="Q151" i="12"/>
  <c r="H50" i="7"/>
  <c r="H50" i="12" s="1"/>
  <c r="I62" i="12"/>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G137" i="14"/>
  <c r="F84" i="7"/>
  <c r="D169" i="7"/>
  <c r="C129" i="7"/>
  <c r="H84" i="7"/>
  <c r="H84" i="12" s="1"/>
  <c r="H160" i="12"/>
  <c r="K31" i="3"/>
  <c r="K150" i="3"/>
  <c r="H81" i="12"/>
  <c r="H92" i="12"/>
  <c r="H90" i="12"/>
  <c r="H94" i="12"/>
  <c r="M116" i="12"/>
  <c r="Q57" i="12"/>
  <c r="S149" i="12"/>
  <c r="K50" i="7"/>
  <c r="J50" i="12" s="1"/>
  <c r="N61" i="7"/>
  <c r="K146" i="7"/>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H96" i="12"/>
  <c r="C50" i="7"/>
  <c r="F61" i="7"/>
  <c r="C146" i="7"/>
  <c r="F129" i="7"/>
  <c r="H146" i="7"/>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I97" i="12"/>
  <c r="K61" i="7"/>
  <c r="J61" i="12" s="1"/>
  <c r="J102" i="5"/>
  <c r="F25" i="2"/>
  <c r="F105" i="2"/>
  <c r="J138" i="2"/>
  <c r="K138" i="2" s="1"/>
  <c r="D50" i="7"/>
  <c r="I80" i="7"/>
  <c r="I80" i="12" s="1"/>
  <c r="H129" i="7"/>
  <c r="H129" i="12" s="1"/>
  <c r="K99" i="7"/>
  <c r="G44" i="2"/>
  <c r="H68" i="7"/>
  <c r="H68" i="12" s="1"/>
  <c r="I167" i="7"/>
  <c r="I166" i="12" s="1"/>
  <c r="C169" i="7"/>
  <c r="N108" i="2"/>
  <c r="O108" i="2" s="1"/>
  <c r="F8" i="7"/>
  <c r="B146" i="7"/>
  <c r="I176" i="7"/>
  <c r="I175" i="12" s="1"/>
  <c r="N84" i="7"/>
  <c r="K173" i="3"/>
  <c r="G100" i="14"/>
  <c r="G132" i="14"/>
  <c r="K63" i="12"/>
  <c r="J62" i="12"/>
  <c r="J67" i="12"/>
  <c r="J94" i="12"/>
  <c r="H77" i="12"/>
  <c r="H60" i="12"/>
  <c r="M89" i="5"/>
  <c r="L181" i="12"/>
  <c r="K87" i="12"/>
  <c r="I106" i="7"/>
  <c r="I106" i="12" s="1"/>
  <c r="H151" i="12"/>
  <c r="H59" i="12"/>
  <c r="G169" i="7"/>
  <c r="K106" i="7"/>
  <c r="J106" i="12" s="1"/>
  <c r="I91" i="12"/>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H87" i="12"/>
  <c r="N106" i="7"/>
  <c r="D73" i="7"/>
  <c r="H93" i="12"/>
  <c r="K169" i="7"/>
  <c r="J169" i="12" s="1"/>
  <c r="J42" i="5"/>
  <c r="G106" i="7"/>
  <c r="I87" i="12"/>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K80" i="12"/>
  <c r="M104" i="12"/>
  <c r="K96"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H88" i="12"/>
  <c r="K100" i="12"/>
  <c r="M61" i="7"/>
  <c r="I67" i="12"/>
  <c r="O73" i="7"/>
  <c r="D126" i="7"/>
  <c r="J43" i="5"/>
  <c r="I92" i="12"/>
  <c r="J73" i="7"/>
  <c r="D176" i="7"/>
  <c r="J126" i="5"/>
  <c r="E11" i="5"/>
  <c r="F11" i="5" s="1"/>
  <c r="G11" i="5" s="1"/>
  <c r="K94" i="3"/>
  <c r="G21" i="14"/>
  <c r="P146" i="5"/>
  <c r="B80" i="7"/>
  <c r="F163" i="2"/>
  <c r="G57" i="14"/>
  <c r="H8" i="7"/>
  <c r="H8" i="12" s="1"/>
  <c r="B68" i="7"/>
  <c r="M126" i="7"/>
  <c r="D17" i="28" s="1"/>
  <c r="K68" i="7"/>
  <c r="J68" i="12" s="1"/>
  <c r="B167" i="7"/>
  <c r="D8" i="7"/>
  <c r="K167" i="7"/>
  <c r="J167" i="12" s="1"/>
  <c r="G103" i="14"/>
  <c r="H147" i="3"/>
  <c r="N24" i="2"/>
  <c r="O24" i="2" s="1"/>
  <c r="F72" i="5"/>
  <c r="G72" i="5" s="1"/>
  <c r="J191" i="2"/>
  <c r="K191" i="2" s="1"/>
  <c r="F84" i="2"/>
  <c r="F60" i="2"/>
  <c r="G29" i="14"/>
  <c r="G148" i="14"/>
  <c r="K88" i="3"/>
  <c r="C232" i="2"/>
  <c r="F142" i="5"/>
  <c r="G142" i="5" s="1"/>
  <c r="F154" i="5"/>
  <c r="G154" i="5" s="1"/>
  <c r="E65" i="5"/>
  <c r="F65" i="5" s="1"/>
  <c r="G65" i="5" s="1"/>
  <c r="N26" i="12"/>
  <c r="H81" i="3"/>
  <c r="H164" i="3"/>
  <c r="K44" i="3"/>
  <c r="G27" i="14"/>
  <c r="L187" i="12"/>
  <c r="L171" i="12"/>
  <c r="L159" i="12"/>
  <c r="L162" i="5"/>
  <c r="M162" i="5" s="1"/>
  <c r="N186" i="12"/>
  <c r="M156" i="5"/>
  <c r="N161" i="12"/>
  <c r="O169" i="12"/>
  <c r="E104" i="3"/>
  <c r="O161" i="12"/>
  <c r="K36" i="3"/>
  <c r="G173" i="2"/>
  <c r="P163" i="12"/>
  <c r="P167" i="12"/>
  <c r="P171" i="12"/>
  <c r="S166" i="12"/>
  <c r="E163" i="5"/>
  <c r="F163" i="5" s="1"/>
  <c r="G163" i="5" s="1"/>
  <c r="O159" i="12"/>
  <c r="N112" i="2"/>
  <c r="O112" i="2" s="1"/>
  <c r="L173" i="12"/>
  <c r="Q165" i="12"/>
  <c r="B232" i="2"/>
  <c r="L179" i="12"/>
  <c r="S170" i="12"/>
  <c r="L161" i="5"/>
  <c r="M161" i="5" s="1"/>
  <c r="J112" i="12"/>
  <c r="P95" i="5"/>
  <c r="F166" i="5"/>
  <c r="G166" i="5" s="1"/>
  <c r="E102" i="5"/>
  <c r="F102" i="5" s="1"/>
  <c r="G102" i="5" s="1"/>
  <c r="M152" i="5"/>
  <c r="M72" i="5"/>
  <c r="J120" i="5"/>
  <c r="E118" i="5"/>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M31" i="5"/>
  <c r="N85" i="7"/>
  <c r="K74" i="12"/>
  <c r="M85" i="7"/>
  <c r="F165" i="5"/>
  <c r="G165" i="5" s="1"/>
  <c r="E181" i="3"/>
  <c r="J76" i="7"/>
  <c r="J120" i="7"/>
  <c r="H120" i="7"/>
  <c r="H120" i="12" s="1"/>
  <c r="G60" i="2"/>
  <c r="M108" i="7"/>
  <c r="C76" i="7"/>
  <c r="N139" i="7"/>
  <c r="J14" i="12"/>
  <c r="H122" i="12"/>
  <c r="H75" i="7"/>
  <c r="J85" i="7"/>
  <c r="F85" i="5"/>
  <c r="G85" i="5" s="1"/>
  <c r="M166" i="5"/>
  <c r="H117" i="3"/>
  <c r="N93" i="2"/>
  <c r="O93" i="2" s="1"/>
  <c r="O76" i="7"/>
  <c r="F120" i="7"/>
  <c r="M120" i="7"/>
  <c r="K76" i="7"/>
  <c r="J76" i="12" s="1"/>
  <c r="J12" i="12"/>
  <c r="J46" i="12"/>
  <c r="K27" i="12"/>
  <c r="R10" i="12"/>
  <c r="L84" i="12"/>
  <c r="L155" i="12"/>
  <c r="D75" i="7"/>
  <c r="F85" i="7"/>
  <c r="J112" i="5"/>
  <c r="E55" i="3"/>
  <c r="E126" i="3"/>
  <c r="D232" i="2"/>
  <c r="B120" i="7"/>
  <c r="N75" i="7"/>
  <c r="C128" i="7"/>
  <c r="K15" i="12"/>
  <c r="K20" i="12"/>
  <c r="N10" i="12"/>
  <c r="P84" i="12"/>
  <c r="P106" i="12"/>
  <c r="M152" i="12"/>
  <c r="M87" i="12"/>
  <c r="M117" i="12"/>
  <c r="N60" i="12"/>
  <c r="D85" i="7"/>
  <c r="B85" i="7"/>
  <c r="J124" i="5"/>
  <c r="J129" i="5"/>
  <c r="F90" i="2"/>
  <c r="D120" i="7"/>
  <c r="K108" i="3"/>
  <c r="J20" i="2"/>
  <c r="K20" i="2" s="1"/>
  <c r="L156" i="7"/>
  <c r="K156" i="12" s="1"/>
  <c r="M156" i="7"/>
  <c r="J20" i="12"/>
  <c r="P14" i="12"/>
  <c r="J26" i="12"/>
  <c r="P99" i="12"/>
  <c r="I85" i="7"/>
  <c r="I85" i="12" s="1"/>
  <c r="H86" i="3"/>
  <c r="B2" i="28"/>
  <c r="J35" i="2"/>
  <c r="K35" i="2" s="1"/>
  <c r="N108" i="7"/>
  <c r="I120" i="7"/>
  <c r="L85" i="7"/>
  <c r="K85" i="12" s="1"/>
  <c r="H16" i="12"/>
  <c r="J8" i="12"/>
  <c r="J86" i="12"/>
  <c r="P140" i="12"/>
  <c r="M85" i="5"/>
  <c r="R107" i="12"/>
  <c r="S161" i="12"/>
  <c r="N63" i="12"/>
  <c r="O85" i="7"/>
  <c r="K86" i="12"/>
  <c r="H85" i="3"/>
  <c r="H70" i="3"/>
  <c r="N53" i="2"/>
  <c r="O53" i="2" s="1"/>
  <c r="P82" i="5"/>
  <c r="I108" i="7"/>
  <c r="I108" i="12" s="1"/>
  <c r="O120" i="7"/>
  <c r="E179" i="3"/>
  <c r="I156" i="7"/>
  <c r="I156" i="12" s="1"/>
  <c r="L120" i="7"/>
  <c r="K120" i="12" s="1"/>
  <c r="K31" i="12"/>
  <c r="H14" i="12"/>
  <c r="J22" i="12"/>
  <c r="H86"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J54" i="12"/>
  <c r="O76" i="12"/>
  <c r="J120" i="12"/>
  <c r="J118" i="12"/>
  <c r="M43" i="5"/>
  <c r="E85" i="7"/>
  <c r="F142" i="2"/>
  <c r="O75" i="7"/>
  <c r="H76" i="7"/>
  <c r="H76" i="12" s="1"/>
  <c r="H108" i="7"/>
  <c r="F156" i="7"/>
  <c r="K108" i="7"/>
  <c r="J108" i="12" s="1"/>
  <c r="C156" i="7"/>
  <c r="B76" i="7"/>
  <c r="G108" i="7"/>
  <c r="G75" i="7"/>
  <c r="O108" i="7"/>
  <c r="K51" i="12"/>
  <c r="R60" i="12"/>
  <c r="S52" i="12"/>
  <c r="K85" i="7"/>
  <c r="J85" i="12" s="1"/>
  <c r="J49" i="5"/>
  <c r="F99" i="5"/>
  <c r="G99" i="5" s="1"/>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3" i="2"/>
  <c r="O164" i="12"/>
  <c r="N171" i="12"/>
  <c r="L176" i="12"/>
  <c r="L185" i="12"/>
  <c r="B231"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3"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I60" i="12"/>
  <c r="L28" i="5"/>
  <c r="M28" i="5" s="1"/>
  <c r="L30" i="5"/>
  <c r="M30" i="5" s="1"/>
  <c r="C231" i="2"/>
  <c r="L45" i="12"/>
  <c r="O86" i="12"/>
  <c r="O91" i="12"/>
  <c r="O102" i="12"/>
  <c r="O110" i="12"/>
  <c r="L137" i="5"/>
  <c r="M137" i="5" s="1"/>
  <c r="L144" i="5"/>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1" i="2"/>
  <c r="O34" i="12"/>
  <c r="O37" i="12"/>
  <c r="P86" i="12"/>
  <c r="L91" i="12"/>
  <c r="L102" i="12"/>
  <c r="N121" i="12"/>
  <c r="N127" i="12"/>
  <c r="Q32" i="12"/>
  <c r="M35" i="12"/>
  <c r="N70" i="12"/>
  <c r="N78" i="12"/>
  <c r="L100" i="12"/>
  <c r="L127" i="12"/>
  <c r="I58" i="12"/>
  <c r="O145" i="12"/>
  <c r="J90" i="12"/>
  <c r="J87" i="12"/>
  <c r="L131" i="5"/>
  <c r="M131" i="5" s="1"/>
  <c r="E45" i="5"/>
  <c r="F45" i="5" s="1"/>
  <c r="G45" i="5" s="1"/>
  <c r="K170" i="12"/>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90" i="12"/>
  <c r="I83" i="12"/>
  <c r="J74" i="12"/>
  <c r="I96"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I88"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4"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O99" i="12"/>
  <c r="M183" i="12"/>
  <c r="I169"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M46"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F141" i="5"/>
  <c r="G141" i="5" s="1"/>
  <c r="E129" i="3"/>
  <c r="G131" i="14"/>
  <c r="E37" i="5"/>
  <c r="F37" i="5" s="1"/>
  <c r="G37" i="5" s="1"/>
  <c r="H37" i="3"/>
  <c r="B142" i="7"/>
  <c r="N142" i="7"/>
  <c r="I142" i="7"/>
  <c r="I149" i="12" s="1"/>
  <c r="D142" i="7"/>
  <c r="L142" i="7"/>
  <c r="K142" i="12" s="1"/>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2" i="12"/>
  <c r="J101" i="12"/>
  <c r="K107" i="12"/>
  <c r="P113" i="12"/>
  <c r="L113" i="12"/>
  <c r="O142" i="7"/>
  <c r="M128" i="5"/>
  <c r="N98" i="2"/>
  <c r="O98" i="2" s="1"/>
  <c r="N100" i="12"/>
  <c r="S100" i="12"/>
  <c r="P115" i="12"/>
  <c r="L115" i="12"/>
  <c r="S136" i="12"/>
  <c r="N136" i="12"/>
  <c r="R136" i="12"/>
  <c r="D44" i="7"/>
  <c r="H104" i="3"/>
  <c r="P74" i="5"/>
  <c r="Q58" i="12"/>
  <c r="R21" i="12"/>
  <c r="Q129" i="12"/>
  <c r="M129" i="12"/>
  <c r="K142" i="7"/>
  <c r="J142" i="12" s="1"/>
  <c r="F50" i="2"/>
  <c r="N9" i="12"/>
  <c r="S9" i="12"/>
  <c r="M116" i="5"/>
  <c r="Q126" i="12"/>
  <c r="M126" i="12"/>
  <c r="N172" i="12"/>
  <c r="S172" i="12"/>
  <c r="R172" i="12"/>
  <c r="R95" i="12"/>
  <c r="N95" i="12"/>
  <c r="Q167" i="12"/>
  <c r="M167" i="12"/>
  <c r="J167" i="2"/>
  <c r="K167" i="2" s="1"/>
  <c r="K3" i="21"/>
  <c r="F167" i="2"/>
  <c r="M139" i="12"/>
  <c r="Q139" i="12"/>
  <c r="R80" i="12"/>
  <c r="N80" i="12"/>
  <c r="R138" i="12"/>
  <c r="S138" i="12"/>
  <c r="B12" i="28"/>
  <c r="I168" i="7"/>
  <c r="I177" i="12" s="1"/>
  <c r="G168" i="7"/>
  <c r="C168" i="7"/>
  <c r="J168" i="7"/>
  <c r="K168" i="7"/>
  <c r="F168" i="7"/>
  <c r="O168" i="7"/>
  <c r="E168" i="7"/>
  <c r="M168" i="7"/>
  <c r="H167" i="12"/>
  <c r="L168" i="7"/>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H141" i="12"/>
  <c r="J105" i="12"/>
  <c r="H105" i="12"/>
  <c r="P114" i="5"/>
  <c r="B104" i="7"/>
  <c r="B168" i="7"/>
  <c r="G82" i="2"/>
  <c r="H179" i="3"/>
  <c r="E134" i="3"/>
  <c r="H128" i="7"/>
  <c r="H128" i="12" s="1"/>
  <c r="K39" i="7"/>
  <c r="J42" i="12" s="1"/>
  <c r="B39" i="7"/>
  <c r="J39" i="7"/>
  <c r="I39" i="7"/>
  <c r="I39" i="12" s="1"/>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I100" i="12"/>
  <c r="J103" i="12"/>
  <c r="J139" i="7"/>
  <c r="G92" i="2"/>
  <c r="F92" i="2"/>
  <c r="F115" i="7"/>
  <c r="L115" i="7"/>
  <c r="G115" i="7"/>
  <c r="E115" i="7"/>
  <c r="M115" i="7"/>
  <c r="O115" i="7"/>
  <c r="B115" i="7"/>
  <c r="N115" i="7"/>
  <c r="J115" i="7"/>
  <c r="I115" i="7"/>
  <c r="I115" i="12" s="1"/>
  <c r="C115" i="7"/>
  <c r="M8" i="12"/>
  <c r="S19" i="12"/>
  <c r="J98" i="12"/>
  <c r="K129" i="12"/>
  <c r="Q39" i="12"/>
  <c r="S119" i="12"/>
  <c r="N147" i="12"/>
  <c r="S147" i="12"/>
  <c r="M150" i="5"/>
  <c r="N168" i="7"/>
  <c r="E80" i="5"/>
  <c r="F80" i="5" s="1"/>
  <c r="G80" i="5" s="1"/>
  <c r="O139" i="7"/>
  <c r="S148" i="12"/>
  <c r="N148" i="12"/>
  <c r="I44" i="7"/>
  <c r="I44" i="12" s="1"/>
  <c r="R99" i="12"/>
  <c r="M61" i="5"/>
  <c r="M140" i="5"/>
  <c r="H107" i="12"/>
  <c r="N126" i="7"/>
  <c r="J20" i="5"/>
  <c r="I145" i="12"/>
  <c r="I159" i="12"/>
  <c r="H163" i="12"/>
  <c r="O126" i="7"/>
  <c r="G174" i="7"/>
  <c r="F95" i="5"/>
  <c r="G95" i="5" s="1"/>
  <c r="K61" i="3"/>
  <c r="H17" i="3"/>
  <c r="H34" i="3"/>
  <c r="K89" i="3"/>
  <c r="N15" i="2"/>
  <c r="O15" i="2" s="1"/>
  <c r="K177" i="3"/>
  <c r="N81" i="2"/>
  <c r="O81" i="2" s="1"/>
  <c r="G149" i="2"/>
  <c r="J161" i="2"/>
  <c r="K161" i="2" s="1"/>
  <c r="F34" i="2"/>
  <c r="F116" i="2"/>
  <c r="N144" i="2"/>
  <c r="O144" i="2" s="1"/>
  <c r="P78" i="5"/>
  <c r="P23" i="5"/>
  <c r="P39" i="5"/>
  <c r="D56" i="7"/>
  <c r="M56" i="7"/>
  <c r="J99" i="12"/>
  <c r="L137" i="7"/>
  <c r="K137" i="12" s="1"/>
  <c r="E24" i="3"/>
  <c r="E56" i="7"/>
  <c r="H127" i="3"/>
  <c r="B126" i="7"/>
  <c r="B18" i="28" s="1"/>
  <c r="L153" i="7"/>
  <c r="K161" i="12" s="1"/>
  <c r="M32" i="5"/>
  <c r="J13" i="5"/>
  <c r="K157" i="12"/>
  <c r="I160" i="12"/>
  <c r="H99" i="12"/>
  <c r="K126" i="7"/>
  <c r="B17" i="28" s="1"/>
  <c r="J157" i="12"/>
  <c r="C174" i="7"/>
  <c r="F119" i="5"/>
  <c r="G119" i="5" s="1"/>
  <c r="F128" i="5"/>
  <c r="G128" i="5" s="1"/>
  <c r="J138" i="5"/>
  <c r="H146" i="3"/>
  <c r="H178" i="3"/>
  <c r="J143" i="12"/>
  <c r="E75" i="3"/>
  <c r="J71" i="2"/>
  <c r="K71" i="2" s="1"/>
  <c r="G66" i="2"/>
  <c r="N74" i="2"/>
  <c r="O74" i="2" s="1"/>
  <c r="J160" i="2"/>
  <c r="K160" i="2" s="1"/>
  <c r="P118" i="5"/>
  <c r="N56" i="7"/>
  <c r="K137" i="7"/>
  <c r="J136" i="12" s="1"/>
  <c r="K139" i="3"/>
  <c r="H150" i="7"/>
  <c r="F126" i="7"/>
  <c r="C15" i="28" s="1"/>
  <c r="G149" i="14"/>
  <c r="M23" i="5"/>
  <c r="O150" i="7"/>
  <c r="H157" i="12"/>
  <c r="J44" i="5"/>
  <c r="K152" i="12"/>
  <c r="H159" i="12"/>
  <c r="G126" i="7"/>
  <c r="D15" i="28" s="1"/>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63" i="12"/>
  <c r="J151" i="12"/>
  <c r="C126" i="7"/>
  <c r="N174" i="7"/>
  <c r="M92" i="5"/>
  <c r="F101" i="5"/>
  <c r="G101" i="5" s="1"/>
  <c r="F134" i="5"/>
  <c r="G134" i="5" s="1"/>
  <c r="H122" i="3"/>
  <c r="H35" i="3"/>
  <c r="E145" i="3"/>
  <c r="N110" i="2"/>
  <c r="O110" i="2" s="1"/>
  <c r="J77" i="2"/>
  <c r="K77" i="2" s="1"/>
  <c r="G130" i="2"/>
  <c r="F56" i="7"/>
  <c r="N28" i="2"/>
  <c r="O28" i="2" s="1"/>
  <c r="G193" i="2"/>
  <c r="C175" i="7"/>
  <c r="N175" i="7"/>
  <c r="G150" i="7"/>
  <c r="J22" i="5"/>
  <c r="I162" i="12"/>
  <c r="I150" i="12"/>
  <c r="I151" i="12"/>
  <c r="N137" i="7"/>
  <c r="H149" i="12"/>
  <c r="J174" i="7"/>
  <c r="J74" i="5"/>
  <c r="M102"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H103" i="12"/>
  <c r="J16" i="5"/>
  <c r="M146" i="5"/>
  <c r="H145" i="12"/>
  <c r="K145" i="12"/>
  <c r="I148" i="12"/>
  <c r="F137" i="7"/>
  <c r="J149" i="12"/>
  <c r="B174" i="7"/>
  <c r="J70" i="5"/>
  <c r="J98" i="5"/>
  <c r="M165" i="5"/>
  <c r="E122" i="3"/>
  <c r="E78" i="3"/>
  <c r="N156" i="2"/>
  <c r="O156" i="2" s="1"/>
  <c r="N61" i="2"/>
  <c r="O61" i="2" s="1"/>
  <c r="N109" i="2"/>
  <c r="O109" i="2" s="1"/>
  <c r="H189" i="3"/>
  <c r="G34" i="2"/>
  <c r="P70" i="5"/>
  <c r="K72" i="3"/>
  <c r="N56" i="2"/>
  <c r="O56" i="2" s="1"/>
  <c r="G159" i="2"/>
  <c r="G169" i="14"/>
  <c r="E150" i="7"/>
  <c r="I105" i="12"/>
  <c r="J24" i="5"/>
  <c r="K144" i="12"/>
  <c r="I143" i="12"/>
  <c r="I144" i="12"/>
  <c r="B137" i="7"/>
  <c r="L174" i="7"/>
  <c r="K173" i="12" s="1"/>
  <c r="M108" i="5"/>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H100" i="12"/>
  <c r="J126" i="7"/>
  <c r="D16" i="28" s="1"/>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J34" i="1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J65" i="12"/>
  <c r="L9" i="7"/>
  <c r="K9" i="12" s="1"/>
  <c r="H147" i="7"/>
  <c r="H155" i="12" s="1"/>
  <c r="F157" i="5"/>
  <c r="G157" i="5" s="1"/>
  <c r="K174" i="3"/>
  <c r="K188" i="12"/>
  <c r="J186" i="7"/>
  <c r="E44" i="5"/>
  <c r="F44" i="5" s="1"/>
  <c r="G44" i="5" s="1"/>
  <c r="K19" i="3"/>
  <c r="E173" i="3"/>
  <c r="N121" i="2"/>
  <c r="O121" i="2" s="1"/>
  <c r="L66" i="7"/>
  <c r="K71" i="12" s="1"/>
  <c r="J147" i="7"/>
  <c r="E147" i="7"/>
  <c r="E12" i="3"/>
  <c r="M147" i="7"/>
  <c r="C186" i="7"/>
  <c r="I186" i="7"/>
  <c r="I186" i="12" s="1"/>
  <c r="L88" i="12"/>
  <c r="N158" i="12"/>
  <c r="H188" i="12"/>
  <c r="M135" i="12"/>
  <c r="G66" i="7"/>
  <c r="I110" i="7"/>
  <c r="I110" i="12" s="1"/>
  <c r="J133" i="12"/>
  <c r="C147" i="7"/>
  <c r="J19" i="5"/>
  <c r="H9" i="7"/>
  <c r="H9" i="12" s="1"/>
  <c r="E66" i="7"/>
  <c r="D147" i="7"/>
  <c r="J106" i="5"/>
  <c r="F186" i="7"/>
  <c r="E105" i="3"/>
  <c r="H163" i="3"/>
  <c r="F66" i="7"/>
  <c r="K147" i="7"/>
  <c r="J155" i="12" s="1"/>
  <c r="E146" i="3"/>
  <c r="N193" i="2"/>
  <c r="O193" i="2" s="1"/>
  <c r="G186" i="7"/>
  <c r="S171" i="12"/>
  <c r="Q29" i="12"/>
  <c r="L141" i="12"/>
  <c r="C66" i="7"/>
  <c r="N110" i="7"/>
  <c r="I147" i="7"/>
  <c r="J189" i="12"/>
  <c r="D9" i="7"/>
  <c r="J66" i="7"/>
  <c r="F143" i="5"/>
  <c r="G143" i="5" s="1"/>
  <c r="B186" i="7"/>
  <c r="I66" i="7"/>
  <c r="I71" i="12" s="1"/>
  <c r="O186" i="7"/>
  <c r="K146" i="12"/>
  <c r="J141" i="12"/>
  <c r="Q28" i="12"/>
  <c r="L139" i="12"/>
  <c r="L65" i="12"/>
  <c r="N87" i="12"/>
  <c r="N147" i="7"/>
  <c r="I109" i="12"/>
  <c r="O9" i="7"/>
  <c r="K178" i="3"/>
  <c r="L186" i="7"/>
  <c r="K186" i="12" s="1"/>
  <c r="G26" i="2"/>
  <c r="P110" i="5"/>
  <c r="H16" i="3"/>
  <c r="I65" i="12"/>
  <c r="N66" i="7"/>
  <c r="H187" i="12"/>
  <c r="G119" i="14"/>
  <c r="P24" i="12"/>
  <c r="Q50" i="12"/>
  <c r="R66" i="12"/>
  <c r="N150" i="12"/>
  <c r="J188" i="12"/>
  <c r="S87" i="12"/>
  <c r="L95" i="12"/>
  <c r="I184" i="12"/>
  <c r="K9" i="7"/>
  <c r="J10" i="12" s="1"/>
  <c r="H186" i="7"/>
  <c r="H186" i="12" s="1"/>
  <c r="E62" i="3"/>
  <c r="G13" i="2"/>
  <c r="D66" i="7"/>
  <c r="M9" i="7"/>
  <c r="H10" i="12"/>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I187" i="12"/>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38" i="5"/>
  <c r="G138" i="5" s="1"/>
  <c r="F162" i="5"/>
  <c r="G162" i="5" s="1"/>
  <c r="E11" i="3"/>
  <c r="F97" i="2"/>
  <c r="N153" i="2"/>
  <c r="O153" i="2" s="1"/>
  <c r="N177" i="2"/>
  <c r="O177" i="2" s="1"/>
  <c r="N145" i="12"/>
  <c r="N113" i="12"/>
  <c r="F92" i="5"/>
  <c r="G92" i="5" s="1"/>
  <c r="J80" i="2"/>
  <c r="K80" i="2" s="1"/>
  <c r="G91" i="14"/>
  <c r="N133" i="12"/>
  <c r="G144" i="14"/>
  <c r="P34" i="12"/>
  <c r="S133" i="12"/>
  <c r="S165" i="12"/>
  <c r="M163" i="12"/>
  <c r="K189" i="12"/>
  <c r="F97" i="5"/>
  <c r="G97" i="5" s="1"/>
  <c r="M144" i="5"/>
  <c r="F158" i="5"/>
  <c r="G158" i="5" s="1"/>
  <c r="G73" i="2"/>
  <c r="G97" i="2"/>
  <c r="G121" i="2"/>
  <c r="F29" i="2"/>
  <c r="O191" i="5"/>
  <c r="O192" i="5" s="1"/>
  <c r="J183" i="2"/>
  <c r="K183" i="2" s="1"/>
  <c r="N68" i="2"/>
  <c r="O68" i="2" s="1"/>
  <c r="M54" i="5"/>
  <c r="P137" i="12"/>
  <c r="M17" i="5"/>
  <c r="F93" i="5"/>
  <c r="G93" i="5" s="1"/>
  <c r="E61" i="3"/>
  <c r="H107" i="3"/>
  <c r="K124" i="3"/>
  <c r="G167" i="2"/>
  <c r="G60" i="14"/>
  <c r="P76" i="5"/>
  <c r="P100" i="5"/>
  <c r="K92" i="3"/>
  <c r="L142" i="12"/>
  <c r="G134" i="14"/>
  <c r="P42" i="12"/>
  <c r="M140" i="12"/>
  <c r="F107" i="5"/>
  <c r="G107" i="5" s="1"/>
  <c r="K103" i="3"/>
  <c r="E62" i="5"/>
  <c r="F62" i="5" s="1"/>
  <c r="E22" i="3"/>
  <c r="E86" i="3"/>
  <c r="E110" i="5"/>
  <c r="F110" i="5" s="1"/>
  <c r="G110" i="5" s="1"/>
  <c r="H148" i="3"/>
  <c r="E245" i="2"/>
  <c r="J14" i="2"/>
  <c r="K14" i="2" s="1"/>
  <c r="N58" i="2"/>
  <c r="O58" i="2" s="1"/>
  <c r="F100" i="2"/>
  <c r="G127" i="14"/>
  <c r="F140" i="5"/>
  <c r="G140" i="5" s="1"/>
  <c r="P18" i="12"/>
  <c r="M120" i="12"/>
  <c r="L82" i="12"/>
  <c r="F103" i="5"/>
  <c r="G103" i="5" s="1"/>
  <c r="F117" i="5"/>
  <c r="G117" i="5" s="1"/>
  <c r="F145" i="5"/>
  <c r="G145" i="5" s="1"/>
  <c r="F150" i="5"/>
  <c r="G150" i="5" s="1"/>
  <c r="J160" i="5"/>
  <c r="G171" i="14"/>
  <c r="P50" i="12"/>
  <c r="M123" i="12"/>
  <c r="L74" i="12"/>
  <c r="R40" i="12"/>
  <c r="F76" i="5"/>
  <c r="G76" i="5" s="1"/>
  <c r="M132" i="5"/>
  <c r="H21" i="3"/>
  <c r="H79" i="3"/>
  <c r="H130" i="3"/>
  <c r="E169" i="3"/>
  <c r="H245" i="2"/>
  <c r="N64" i="2"/>
  <c r="O64" i="2" s="1"/>
  <c r="J36" i="2"/>
  <c r="K36" i="2" s="1"/>
  <c r="N40" i="12"/>
  <c r="F81" i="5"/>
  <c r="G81" i="5" s="1"/>
  <c r="F118" i="5"/>
  <c r="G118" i="5" s="1"/>
  <c r="J156" i="5"/>
  <c r="H10" i="3"/>
  <c r="E114" i="5"/>
  <c r="F114" i="5" s="1"/>
  <c r="G114" i="5" s="1"/>
  <c r="N77" i="12"/>
  <c r="R77" i="12"/>
  <c r="R78" i="12"/>
  <c r="F77" i="5"/>
  <c r="G77" i="5" s="1"/>
  <c r="J82" i="5"/>
  <c r="F132" i="5"/>
  <c r="G132" i="5" s="1"/>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F147" i="5"/>
  <c r="G147" i="5" s="1"/>
  <c r="K71" i="3"/>
  <c r="G166" i="14"/>
  <c r="F88" i="5"/>
  <c r="G88" i="5" s="1"/>
  <c r="F108" i="5"/>
  <c r="G108" i="5" s="1"/>
  <c r="F64" i="5"/>
  <c r="G64" i="5" s="1"/>
  <c r="F116" i="5"/>
  <c r="G116" i="5" s="1"/>
  <c r="F151" i="5"/>
  <c r="G151" i="5" s="1"/>
  <c r="F159" i="5"/>
  <c r="G159" i="5" s="1"/>
  <c r="K39" i="3"/>
  <c r="E82" i="5"/>
  <c r="F82" i="5" s="1"/>
  <c r="G82" i="5" s="1"/>
  <c r="G47" i="14"/>
  <c r="G88" i="14"/>
  <c r="G120" i="14"/>
  <c r="G93" i="14"/>
  <c r="G179" i="2"/>
  <c r="N47" i="2"/>
  <c r="O47" i="2" s="1"/>
  <c r="K189" i="3"/>
  <c r="E189" i="3"/>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K141" i="12" s="1"/>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I125" i="12" s="1"/>
  <c r="B164" i="7"/>
  <c r="G164" i="7"/>
  <c r="I164" i="7"/>
  <c r="I163" i="12" s="1"/>
  <c r="G151" i="14"/>
  <c r="G92" i="14"/>
  <c r="G124" i="14"/>
  <c r="G181" i="14"/>
  <c r="S70" i="12"/>
  <c r="N79" i="2"/>
  <c r="O79" i="2" s="1"/>
  <c r="P154" i="5"/>
  <c r="K100" i="3"/>
  <c r="G171" i="2"/>
  <c r="N183" i="2"/>
  <c r="O183" i="2" s="1"/>
  <c r="G84" i="2"/>
  <c r="D212" i="10"/>
  <c r="S29" i="12"/>
  <c r="S41" i="12"/>
  <c r="P53" i="12"/>
  <c r="N84" i="2"/>
  <c r="O84" i="2" s="1"/>
  <c r="G212" i="10"/>
  <c r="R57" i="12"/>
  <c r="S61" i="12"/>
  <c r="N158" i="2"/>
  <c r="O158" i="2" s="1"/>
  <c r="J108" i="2"/>
  <c r="K108" i="2" s="1"/>
  <c r="E164" i="3"/>
  <c r="H177" i="3"/>
  <c r="G185" i="14"/>
  <c r="G65" i="14"/>
  <c r="G73" i="14"/>
  <c r="K97" i="3"/>
  <c r="G133" i="14"/>
  <c r="H132" i="3"/>
  <c r="K116" i="3"/>
  <c r="G61" i="14"/>
  <c r="G69" i="14"/>
  <c r="G77" i="14"/>
  <c r="G49" i="14"/>
  <c r="H21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12" i="10"/>
  <c r="M212" i="10"/>
  <c r="E21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H94" i="8"/>
  <c r="H95" i="8" s="1"/>
  <c r="G114" i="14"/>
  <c r="G188" i="14"/>
  <c r="K119" i="12"/>
  <c r="K113" i="3"/>
  <c r="E120" i="3"/>
  <c r="H157" i="3"/>
  <c r="E128" i="3"/>
  <c r="E148" i="3"/>
  <c r="H161" i="3"/>
  <c r="G64" i="14"/>
  <c r="G117" i="14"/>
  <c r="G164" i="14"/>
  <c r="G45" i="14"/>
  <c r="G158" i="14"/>
  <c r="G145" i="14"/>
  <c r="E94" i="8"/>
  <c r="E95" i="8" s="1"/>
  <c r="E54" i="5"/>
  <c r="F54" i="5" s="1"/>
  <c r="G54" i="5" s="1"/>
  <c r="E132" i="3"/>
  <c r="E180" i="3"/>
  <c r="G72" i="14"/>
  <c r="G140" i="14"/>
  <c r="G121" i="14"/>
  <c r="G179" i="14"/>
  <c r="P148" i="5"/>
  <c r="P164" i="5"/>
  <c r="G68" i="14"/>
  <c r="G83" i="14"/>
  <c r="M37" i="5"/>
  <c r="G40" i="14"/>
  <c r="G42" i="14"/>
  <c r="G48" i="14"/>
  <c r="G150" i="14"/>
  <c r="G102" i="14"/>
  <c r="G108" i="14"/>
  <c r="G142" i="14"/>
  <c r="G147" i="14"/>
  <c r="G168" i="14"/>
  <c r="K209" i="11"/>
  <c r="K210" i="11" s="1"/>
  <c r="N209" i="11"/>
  <c r="N210" i="11" s="1"/>
  <c r="N212" i="10"/>
  <c r="Q38" i="12"/>
  <c r="P54" i="12"/>
  <c r="R65" i="12"/>
  <c r="R97" i="12"/>
  <c r="F210" i="6"/>
  <c r="Q15" i="12"/>
  <c r="R117" i="12"/>
  <c r="L210" i="6"/>
  <c r="C17" i="28"/>
  <c r="Q114" i="12"/>
  <c r="N210" i="6"/>
  <c r="O210" i="6" s="1"/>
  <c r="B210" i="6"/>
  <c r="K210" i="6"/>
  <c r="N167" i="12"/>
  <c r="N101" i="12"/>
  <c r="L78" i="12"/>
  <c r="N53" i="12"/>
  <c r="N82" i="12"/>
  <c r="N74" i="12"/>
  <c r="M54" i="12"/>
  <c r="M40" i="12"/>
  <c r="M32" i="12"/>
  <c r="P7" i="12"/>
  <c r="L38" i="12"/>
  <c r="L15" i="12"/>
  <c r="M37" i="12"/>
  <c r="C12" i="28"/>
  <c r="S82" i="12"/>
  <c r="I114" i="12"/>
  <c r="I132" i="12"/>
  <c r="K126" i="12"/>
  <c r="J121" i="12"/>
  <c r="J113" i="12"/>
  <c r="J127" i="12"/>
  <c r="J119" i="12"/>
  <c r="H136" i="12"/>
  <c r="H119" i="12"/>
  <c r="H55" i="12"/>
  <c r="K53" i="12"/>
  <c r="H53" i="12"/>
  <c r="K49" i="12"/>
  <c r="H41" i="12"/>
  <c r="I26" i="12"/>
  <c r="I18" i="12"/>
  <c r="I10" i="12"/>
  <c r="H27" i="12"/>
  <c r="H19" i="12"/>
  <c r="H11" i="12"/>
  <c r="K56" i="12"/>
  <c r="H25" i="12"/>
  <c r="K30" i="12"/>
  <c r="K22" i="12"/>
  <c r="K14" i="12"/>
  <c r="I49" i="12"/>
  <c r="I33" i="12"/>
  <c r="I17" i="12"/>
  <c r="K33"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F51" i="5"/>
  <c r="G51" i="5" s="1"/>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5" i="2"/>
  <c r="G150" i="2"/>
  <c r="F150" i="2"/>
  <c r="N166" i="2"/>
  <c r="O166" i="2" s="1"/>
  <c r="J192" i="2"/>
  <c r="K192" i="2" s="1"/>
  <c r="F170" i="2"/>
  <c r="G170" i="2"/>
  <c r="G142" i="2"/>
  <c r="G178" i="14"/>
  <c r="J209" i="11"/>
  <c r="H209" i="11"/>
  <c r="H210" i="11" s="1"/>
  <c r="J212" i="10"/>
  <c r="R19" i="12"/>
  <c r="R41" i="12"/>
  <c r="S57" i="12"/>
  <c r="R23" i="12"/>
  <c r="S49" i="12"/>
  <c r="R93" i="12"/>
  <c r="R109" i="12"/>
  <c r="P80" i="12"/>
  <c r="R45" i="12"/>
  <c r="R121" i="12"/>
  <c r="B16" i="28"/>
  <c r="C16" i="28"/>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K136" i="12"/>
  <c r="J129" i="12"/>
  <c r="I120" i="12"/>
  <c r="I112" i="12"/>
  <c r="K131" i="12"/>
  <c r="H123" i="12"/>
  <c r="H117" i="12"/>
  <c r="K135" i="12"/>
  <c r="I135" i="12"/>
  <c r="I119" i="12"/>
  <c r="K52" i="12"/>
  <c r="H57" i="12"/>
  <c r="K48" i="12"/>
  <c r="J31" i="12"/>
  <c r="J23" i="12"/>
  <c r="J15" i="12"/>
  <c r="J7" i="12"/>
  <c r="H38" i="12"/>
  <c r="J25" i="12"/>
  <c r="J53" i="12"/>
  <c r="J37" i="12"/>
  <c r="H21" i="12"/>
  <c r="J47" i="12"/>
  <c r="J41" i="12"/>
  <c r="H37" i="12"/>
  <c r="I20" i="12"/>
  <c r="I12" i="12"/>
  <c r="I45" i="12"/>
  <c r="I29" i="12"/>
  <c r="I31" i="12"/>
  <c r="I23" i="12"/>
  <c r="I15" i="12"/>
  <c r="P53" i="5"/>
  <c r="N191" i="5"/>
  <c r="G231" i="3"/>
  <c r="G232" i="3" s="1"/>
  <c r="J231" i="3"/>
  <c r="J232" i="3" s="1"/>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5" i="2"/>
  <c r="I225" i="2"/>
  <c r="J11" i="2"/>
  <c r="K11" i="2" s="1"/>
  <c r="H225" i="2"/>
  <c r="B3" i="28"/>
  <c r="F192" i="2"/>
  <c r="G192" i="2"/>
  <c r="G59" i="14"/>
  <c r="G86" i="14"/>
  <c r="G118" i="14"/>
  <c r="G152" i="14"/>
  <c r="D209" i="11"/>
  <c r="E209" i="11"/>
  <c r="E210" i="11" s="1"/>
  <c r="S73" i="12"/>
  <c r="R89" i="12"/>
  <c r="R105" i="12"/>
  <c r="P72" i="12"/>
  <c r="E32" i="7"/>
  <c r="I32" i="7"/>
  <c r="M32" i="7"/>
  <c r="D32" i="7"/>
  <c r="J32" i="7"/>
  <c r="O32" i="7"/>
  <c r="F32" i="7"/>
  <c r="K32" i="7"/>
  <c r="J32" i="12" s="1"/>
  <c r="B32" i="7"/>
  <c r="G32" i="7"/>
  <c r="C4" i="21" s="1"/>
  <c r="L32" i="7"/>
  <c r="C32" i="7"/>
  <c r="H32" i="7"/>
  <c r="H32" i="12" s="1"/>
  <c r="N32" i="7"/>
  <c r="P45" i="12"/>
  <c r="B15" i="28"/>
  <c r="E210" i="6"/>
  <c r="C210" i="6"/>
  <c r="N151" i="12"/>
  <c r="L61" i="12"/>
  <c r="M45" i="12"/>
  <c r="H191" i="5"/>
  <c r="H192" i="5" s="1"/>
  <c r="J37" i="5"/>
  <c r="K138" i="12"/>
  <c r="H135" i="12"/>
  <c r="J117" i="12"/>
  <c r="I122" i="12"/>
  <c r="K134" i="12"/>
  <c r="J48" i="12"/>
  <c r="H54" i="12"/>
  <c r="H45" i="12"/>
  <c r="I56" i="12"/>
  <c r="I47" i="12"/>
  <c r="I38" i="12"/>
  <c r="I30" i="12"/>
  <c r="I22" i="12"/>
  <c r="I14" i="12"/>
  <c r="H31" i="12"/>
  <c r="H23" i="12"/>
  <c r="H15" i="12"/>
  <c r="H7" i="12"/>
  <c r="H33" i="12"/>
  <c r="H17" i="12"/>
  <c r="H46" i="12"/>
  <c r="K18" i="12"/>
  <c r="K10" i="12"/>
  <c r="I57" i="12"/>
  <c r="I41" i="12"/>
  <c r="I25" i="12"/>
  <c r="K29" i="12"/>
  <c r="K21" i="12"/>
  <c r="K13" i="12"/>
  <c r="K7" i="3"/>
  <c r="I231" i="3"/>
  <c r="E9" i="5"/>
  <c r="F9" i="5" s="1"/>
  <c r="G9" i="5" s="1"/>
  <c r="E25" i="5"/>
  <c r="F25" i="5" s="1"/>
  <c r="G25" i="5" s="1"/>
  <c r="E41" i="5"/>
  <c r="F41" i="5" s="1"/>
  <c r="G41" i="5" s="1"/>
  <c r="E57" i="5"/>
  <c r="F57" i="5" s="1"/>
  <c r="G57" i="5" s="1"/>
  <c r="H7" i="3"/>
  <c r="F231" i="3"/>
  <c r="E18" i="3"/>
  <c r="E50" i="3"/>
  <c r="E82" i="3"/>
  <c r="E98" i="3"/>
  <c r="M51" i="5"/>
  <c r="J52" i="5"/>
  <c r="F53" i="5"/>
  <c r="G53" i="5" s="1"/>
  <c r="D191" i="5"/>
  <c r="D192" i="5" s="1"/>
  <c r="M55" i="5"/>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G209" i="11"/>
  <c r="M209" i="11"/>
  <c r="F94" i="8"/>
  <c r="F95" i="8" s="1"/>
  <c r="I94" i="8"/>
  <c r="S33" i="12"/>
  <c r="R85" i="12"/>
  <c r="E40" i="7"/>
  <c r="I40" i="7"/>
  <c r="I40" i="12" s="1"/>
  <c r="M40" i="7"/>
  <c r="B40" i="7"/>
  <c r="G40" i="7"/>
  <c r="L40" i="7"/>
  <c r="C40" i="7"/>
  <c r="H40" i="7"/>
  <c r="H40" i="12" s="1"/>
  <c r="N40" i="7"/>
  <c r="D40" i="7"/>
  <c r="J40" i="7"/>
  <c r="O40" i="7"/>
  <c r="F40" i="7"/>
  <c r="K40" i="7"/>
  <c r="J40" i="12" s="1"/>
  <c r="P37" i="12"/>
  <c r="Q64" i="12"/>
  <c r="D18" i="28"/>
  <c r="I210" i="6"/>
  <c r="H210" i="6"/>
  <c r="L37" i="12"/>
  <c r="R7" i="12"/>
  <c r="E140" i="7"/>
  <c r="I140" i="7"/>
  <c r="I140" i="12" s="1"/>
  <c r="M140" i="7"/>
  <c r="F140" i="7"/>
  <c r="K140" i="7"/>
  <c r="J140" i="12" s="1"/>
  <c r="B140" i="7"/>
  <c r="G140" i="7"/>
  <c r="L140" i="7"/>
  <c r="K140" i="12" s="1"/>
  <c r="D140" i="7"/>
  <c r="J140" i="7"/>
  <c r="O140" i="7"/>
  <c r="C140" i="7"/>
  <c r="H140" i="7"/>
  <c r="H140" i="12" s="1"/>
  <c r="N140" i="7"/>
  <c r="L7" i="5"/>
  <c r="M7" i="5" s="1"/>
  <c r="J135" i="12"/>
  <c r="I118" i="12"/>
  <c r="J138" i="12"/>
  <c r="I134" i="12"/>
  <c r="K127" i="12"/>
  <c r="J122" i="12"/>
  <c r="I116" i="12"/>
  <c r="I138" i="12"/>
  <c r="I129" i="12"/>
  <c r="H121" i="12"/>
  <c r="H113" i="12"/>
  <c r="J131" i="12"/>
  <c r="H127" i="12"/>
  <c r="K114" i="12"/>
  <c r="I127" i="12"/>
  <c r="H47" i="12"/>
  <c r="I113" i="12"/>
  <c r="K46" i="12"/>
  <c r="I54" i="12"/>
  <c r="J45" i="12"/>
  <c r="J27" i="12"/>
  <c r="J19" i="12"/>
  <c r="J11" i="12"/>
  <c r="I42" i="12"/>
  <c r="J29" i="12"/>
  <c r="J21" i="12"/>
  <c r="J13" i="12"/>
  <c r="K41" i="12"/>
  <c r="H29" i="12"/>
  <c r="H13" i="12"/>
  <c r="K45" i="12"/>
  <c r="I24" i="12"/>
  <c r="I16" i="12"/>
  <c r="I8" i="12"/>
  <c r="I53" i="12"/>
  <c r="I37" i="12"/>
  <c r="I21" i="12"/>
  <c r="I35" i="12"/>
  <c r="I27" i="12"/>
  <c r="I19" i="12"/>
  <c r="I11" i="12"/>
  <c r="E58" i="5"/>
  <c r="F58" i="5" s="1"/>
  <c r="K191" i="5"/>
  <c r="K192" i="5" s="1"/>
  <c r="E121" i="5"/>
  <c r="F121" i="5" s="1"/>
  <c r="G121" i="5" s="1"/>
  <c r="E125" i="5"/>
  <c r="F125" i="5" s="1"/>
  <c r="G125" i="5" s="1"/>
  <c r="E129" i="5"/>
  <c r="F129" i="5" s="1"/>
  <c r="G129" i="5" s="1"/>
  <c r="D8" i="28"/>
  <c r="M50" i="5"/>
  <c r="J51" i="5"/>
  <c r="F52" i="5"/>
  <c r="G52" i="5" s="1"/>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K121" i="12" l="1"/>
  <c r="I189"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4" i="2"/>
  <c r="D234" i="2"/>
  <c r="K54" i="12"/>
  <c r="D7" i="28"/>
  <c r="J66" i="12"/>
  <c r="L191" i="5"/>
  <c r="L192" i="5" s="1"/>
  <c r="M192" i="5" s="1"/>
  <c r="H80" i="12"/>
  <c r="H75" i="12"/>
  <c r="O192" i="12"/>
  <c r="O193" i="12" s="1"/>
  <c r="M94" i="5"/>
  <c r="I212" i="10"/>
  <c r="J159" i="12"/>
  <c r="I167" i="12"/>
  <c r="J186" i="12"/>
  <c r="H39" i="12"/>
  <c r="I66" i="12"/>
  <c r="J39" i="12"/>
  <c r="L212" i="10"/>
  <c r="K66" i="12"/>
  <c r="J94" i="8"/>
  <c r="C103" i="8" s="1"/>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12" i="10"/>
  <c r="O212" i="10"/>
  <c r="E216" i="7"/>
  <c r="E217" i="7" s="1"/>
  <c r="B227" i="7" s="1"/>
  <c r="N225" i="2"/>
  <c r="O225" i="2" s="1"/>
  <c r="A103" i="8"/>
  <c r="C216" i="7"/>
  <c r="C217" i="7" s="1"/>
  <c r="M192" i="12"/>
  <c r="M193" i="12" s="1"/>
  <c r="N216" i="7"/>
  <c r="O216" i="7" s="1"/>
  <c r="O217" i="7" s="1"/>
  <c r="I216" i="7"/>
  <c r="I217" i="7" s="1"/>
  <c r="C228" i="7" s="1"/>
  <c r="L192" i="12"/>
  <c r="L193" i="12" s="1"/>
  <c r="F216" i="7"/>
  <c r="F217" i="7" s="1"/>
  <c r="C227" i="7" s="1"/>
  <c r="B216" i="7"/>
  <c r="B217" i="7" s="1"/>
  <c r="G58" i="5"/>
  <c r="F191" i="5"/>
  <c r="C218" i="6"/>
  <c r="J210" i="6"/>
  <c r="L216" i="7"/>
  <c r="D210" i="11"/>
  <c r="F210" i="11" s="1"/>
  <c r="F209" i="11"/>
  <c r="N192" i="5"/>
  <c r="P192" i="5" s="1"/>
  <c r="P191" i="5"/>
  <c r="K216" i="7"/>
  <c r="K217" i="7" s="1"/>
  <c r="B229" i="7" s="1"/>
  <c r="G210" i="6"/>
  <c r="C217" i="6"/>
  <c r="G95" i="8"/>
  <c r="H6" i="6"/>
  <c r="K6" i="6"/>
  <c r="I32" i="12"/>
  <c r="M210" i="11"/>
  <c r="O210" i="11" s="1"/>
  <c r="O209" i="11"/>
  <c r="H231" i="3"/>
  <c r="F232" i="3"/>
  <c r="H232" i="3" s="1"/>
  <c r="B217" i="6"/>
  <c r="G231" i="2"/>
  <c r="H216" i="7"/>
  <c r="H217" i="7" s="1"/>
  <c r="B228" i="7" s="1"/>
  <c r="J225" i="2"/>
  <c r="K225" i="2" s="1"/>
  <c r="D210" i="6" s="1"/>
  <c r="C219" i="6"/>
  <c r="M210" i="6"/>
  <c r="G94" i="8"/>
  <c r="B103" i="8"/>
  <c r="I95" i="8"/>
  <c r="J95" i="8" s="1"/>
  <c r="K231" i="3"/>
  <c r="I232" i="3"/>
  <c r="K232" i="3" s="1"/>
  <c r="J191" i="5"/>
  <c r="I192" i="5"/>
  <c r="J192" i="5" s="1"/>
  <c r="B6" i="8"/>
  <c r="K6" i="7"/>
  <c r="E6" i="7"/>
  <c r="H6" i="7"/>
  <c r="B218" i="6"/>
  <c r="G232" i="2"/>
  <c r="F232" i="2" s="1"/>
  <c r="I209" i="11"/>
  <c r="G210" i="11"/>
  <c r="I210" i="11" s="1"/>
  <c r="N192" i="12"/>
  <c r="N193" i="12" s="1"/>
  <c r="L209" i="11"/>
  <c r="J210" i="11"/>
  <c r="L210" i="11" s="1"/>
  <c r="B219" i="6"/>
  <c r="G233" i="2"/>
  <c r="F233" i="2" s="1"/>
  <c r="M191" i="5" l="1"/>
  <c r="J192" i="12"/>
  <c r="J193" i="12" s="1"/>
  <c r="H192" i="12"/>
  <c r="H193" i="12" s="1"/>
  <c r="K192" i="12"/>
  <c r="K193" i="12" s="1"/>
  <c r="I192" i="12"/>
  <c r="I193" i="12" s="1"/>
  <c r="N217" i="7"/>
  <c r="B230" i="7"/>
  <c r="D216" i="7"/>
  <c r="D217" i="7" s="1"/>
  <c r="G216" i="7"/>
  <c r="G217" i="7" s="1"/>
  <c r="B6" i="10"/>
  <c r="C6" i="8"/>
  <c r="E6" i="8"/>
  <c r="H6" i="8" s="1"/>
  <c r="G234" i="2"/>
  <c r="F231" i="2"/>
  <c r="F234" i="2" s="1"/>
  <c r="D227" i="7"/>
  <c r="J216" i="7"/>
  <c r="J217" i="7" s="1"/>
  <c r="G191" i="5"/>
  <c r="F192" i="5"/>
  <c r="G192" i="5" s="1"/>
  <c r="M216" i="7"/>
  <c r="M217" i="7" s="1"/>
  <c r="L217" i="7"/>
  <c r="C229" i="7" s="1"/>
  <c r="D229" i="7" s="1"/>
  <c r="H233" i="2" s="1"/>
  <c r="D217" i="6"/>
  <c r="H231" i="2" s="1"/>
  <c r="C220" i="6"/>
  <c r="D219" i="6"/>
  <c r="B220" i="6"/>
  <c r="D218" i="6"/>
  <c r="H232" i="2" s="1"/>
  <c r="D228" i="7"/>
  <c r="C230" i="7" l="1"/>
  <c r="D230" i="7" s="1"/>
  <c r="D220" i="6"/>
  <c r="H234"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4" background="1" saveData="1">
    <webPr consecutive="1" xl2000="1" url="https://myfno.com/api/stats?&amp;days=1d&amp;units=shares&amp;data=z,d,9,p,o,v,b,r,l,i,h,j,g,a,5,6,7,8,w,n,s,f,c,u,e,k,1,2,3,4,0,m" htmlFormat="all"/>
  </connection>
  <connection id="2" odcFile="C:\Users\Ambujkumar\Downloads\Expry Roll  (20).iqy" name="Expry Roll  (20)" type="4" refreshedVersion="4" background="1" saveData="1">
    <webPr consecutive="1" xl2000="1" url="https://myfno.com/api/stats?&amp;list=NIFTY_&amp;days=1d&amp;data=z,d,p,o,v,b,r,l,i,h,j,a,5,6,7,8,w,n,s,f,c,u,1,2,3,4,0,m" htmlTables="1" htmlFormat="all"/>
  </connection>
  <connection id="3" odcFile="C:\Users\Ambujkumar\Downloads\fii.iqy" name="fii" type="4" refreshedVersion="4" background="1" saveData="1">
    <webPr consecutive="1" xl2000="1" url="https://myfno.com/api/fii?&amp;days=1d" htmlTables="1" htmlFormat="all"/>
  </connection>
  <connection id="4" odcFile="C:\Users\Ambujkumar\Downloads\stats (2).iqy" name="stats (2)" type="4" refreshedVersion="4"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<sst xmlns="http://schemas.openxmlformats.org/spreadsheetml/2006/main" count="3356" uniqueCount="692">
  <si>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</si>
  <si>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</si>
  <si>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</si>
  <si>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</si>
  <si>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</si>
  <si>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</si>
  <si>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</si>
  <si>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</si>
  <si>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</si>
  <si>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</si>
  <si>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</si>
  <si>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</si>
  <si>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</si>
  <si>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</si>
  <si>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</si>
  <si>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</si>
  <si>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</si>
  <si>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</si>
  <si>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</si>
  <si>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</si>
  <si>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</si>
  <si>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</si>
  <si>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</si>
  <si>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</si>
  <si>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</si>
  <si>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</si>
  <si>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</si>
  <si>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</si>
  <si>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</si>
  <si>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</si>
  <si>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</si>
  <si>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</si>
  <si>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</si>
  <si>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</si>
  <si>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</si>
  <si>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</si>
  <si>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</si>
  <si>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</si>
  <si>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</si>
  <si>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</si>
  <si>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</si>
  <si>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</si>
  <si>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</si>
  <si>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</si>
  <si>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</si>
  <si>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</si>
  <si>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</si>
  <si>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</si>
  <si>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</si>
  <si>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</si>
  <si>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</si>
  <si>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</si>
  <si>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</si>
  <si>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</si>
  <si>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</si>
  <si>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</si>
  <si>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</si>
  <si>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</si>
  <si>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</si>
  <si>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</si>
  <si>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</si>
  <si>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</si>
  <si>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</si>
  <si>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</si>
  <si>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</si>
  <si>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</si>
  <si>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</si>
  <si>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</si>
  <si>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</si>
  <si>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</si>
  <si>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</si>
  <si>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</si>
  <si>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</si>
  <si>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</si>
  <si>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</si>
  <si>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</si>
  <si>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</si>
  <si>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</si>
  <si>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</si>
  <si>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</si>
  <si>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</si>
  <si>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</si>
  <si>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</si>
  <si>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</si>
  <si>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</si>
  <si>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</si>
  <si>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</si>
  <si>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</si>
  <si>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</si>
  <si>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</si>
  <si>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</si>
  <si>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</si>
  <si>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</si>
  <si>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</si>
  <si>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</si>
  <si>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</si>
  <si>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</si>
  <si>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</si>
  <si>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</si>
  <si>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</si>
  <si>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</si>
  <si>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</si>
  <si>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</si>
  <si>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</si>
  <si>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</si>
  <si>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</si>
  <si>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</si>
  <si>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</si>
  <si>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</si>
  <si>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</si>
  <si>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</si>
  <si>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</si>
  <si>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</si>
  <si>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</si>
  <si>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</si>
  <si>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</si>
  <si>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</si>
  <si>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</si>
  <si>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</si>
  <si>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</si>
  <si>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</si>
  <si>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</si>
  <si>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</si>
  <si>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</si>
  <si>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</si>
  <si>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</si>
  <si>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</si>
  <si>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</si>
  <si>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</si>
  <si>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</si>
  <si>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</si>
  <si>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</si>
  <si>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</si>
  <si>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</si>
  <si>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</si>
  <si>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</si>
  <si>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</si>
  <si>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</si>
  <si>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</si>
  <si>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</si>
  <si>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</si>
  <si>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</si>
  <si>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</si>
  <si>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</si>
  <si>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</si>
  <si>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</si>
  <si>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</si>
  <si>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</si>
  <si>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</si>
  <si>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</si>
  <si>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</si>
  <si>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</si>
  <si>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</si>
  <si>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</si>
  <si>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</si>
  <si>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</si>
  <si>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</si>
  <si>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</si>
  <si>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</si>
  <si>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</si>
  <si>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</si>
  <si>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</si>
  <si>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</si>
  <si>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</si>
  <si>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</si>
  <si>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</si>
  <si>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</si>
  <si>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</si>
  <si>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</si>
  <si>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</si>
  <si>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</si>
  <si>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</si>
  <si>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</si>
  <si>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</si>
  <si>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</si>
  <si>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</si>
  <si>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</si>
  <si>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</si>
  <si>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</si>
  <si>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</si>
  <si>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</si>
  <si>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</si>
  <si>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</si>
  <si>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</si>
  <si>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</si>
  <si>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</si>
  <si>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</si>
  <si>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</si>
  <si>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</si>
  <si>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</si>
  <si>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</si>
  <si>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</si>
  <si>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</si>
  <si>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</si>
  <si>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</si>
  <si>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</si>
  <si>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</si>
  <si>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</si>
  <si>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</si>
  <si>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</si>
  <si>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</si>
  <si>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</si>
  <si>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</si>
  <si>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</si>
  <si>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</si>
  <si>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</si>
  <si>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</si>
  <si>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</si>
  <si>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</si>
  <si>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</si>
  <si>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</si>
  <si>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</si>
  <si>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</si>
  <si>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</si>
  <si>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</si>
  <si>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</si>
  <si>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</si>
  <si>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</si>
  <si>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</si>
  <si>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</si>
  <si>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</si>
  <si>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</si>
  <si>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</si>
  <si>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</si>
  <si>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</si>
  <si>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</si>
  <si>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</si>
  <si>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</si>
  <si>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</si>
  <si>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</si>
  <si>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</si>
  <si>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</si>
  <si>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</si>
  <si>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</si>
  <si>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</si>
  <si>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</si>
  <si>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</si>
  <si>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</si>
  <si>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</si>
  <si>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</si>
  <si>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</si>
  <si>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</si>
  <si>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</si>
  <si>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</si>
  <si>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</si>
  <si>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</si>
  <si>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</si>
  <si>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</si>
  <si>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</si>
  <si>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</si>
  <si>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</si>
  <si>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</si>
  <si>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</si>
  <si>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</si>
  <si>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</si>
  <si>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</si>
  <si>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</si>
  <si>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</si>
  <si>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</si>
  <si>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</si>
  <si>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</si>
  <si>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</si>
  <si>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</si>
  <si>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</si>
  <si>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</si>
  <si>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</si>
  <si>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</si>
  <si>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</si>
  <si>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</si>
  <si>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</si>
  <si>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</si>
  <si>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</si>
  <si>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</si>
  <si>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</si>
  <si>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</si>
  <si>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</si>
  <si>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</si>
  <si>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</si>
  <si>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</si>
  <si>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</si>
  <si>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</si>
  <si>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</si>
  <si>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</si>
  <si>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</si>
  <si>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</si>
  <si>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</si>
  <si>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</si>
  <si>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</si>
  <si>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</si>
  <si>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</si>
  <si>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</si>
  <si>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</si>
  <si>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</si>
  <si>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</si>
  <si>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</si>
  <si>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</si>
  <si>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</si>
  <si>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</si>
  <si>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</si>
  <si>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</si>
  <si>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</si>
  <si>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</si>
  <si>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</si>
  <si>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</si>
  <si>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</si>
  <si>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</si>
  <si>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</si>
  <si>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</si>
  <si>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</si>
  <si>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</si>
  <si>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</si>
  <si>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</si>
  <si>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</si>
  <si>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</si>
  <si>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</si>
  <si>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</si>
  <si>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</si>
  <si>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</si>
  <si>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</si>
  <si>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</si>
  <si>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</si>
  <si>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</si>
  <si>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</si>
  <si>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</si>
  <si>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</si>
  <si>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</si>
  <si>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</si>
  <si>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</si>
  <si>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</si>
  <si>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</si>
  <si>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</si>
  <si>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</si>
  <si>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</si>
  <si>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</si>
  <si>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</si>
  <si>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</si>
  <si>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</si>
  <si>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</si>
  <si>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</si>
  <si>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</si>
  <si>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</si>
  <si>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</si>
  <si>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</si>
  <si>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</si>
  <si>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</si>
  <si>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</si>
  <si>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</si>
  <si>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</si>
  <si>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</si>
  <si>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</si>
  <si>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</si>
  <si>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</si>
  <si>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</si>
  <si>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</si>
  <si>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</si>
  <si>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</si>
  <si>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</si>
  <si>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</si>
  <si>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</si>
  <si>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</si>
  <si>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</si>
  <si>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</si>
  <si>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</si>
  <si>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</si>
  <si>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</si>
  <si>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</si>
  <si>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</si>
  <si>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</si>
  <si>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</si>
  <si>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</si>
  <si>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</si>
  <si>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</si>
  <si>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</si>
  <si>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</si>
  <si>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</si>
  <si>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</si>
  <si>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</si>
  <si>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</si>
  <si>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</si>
  <si>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</si>
  <si>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</si>
  <si>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</si>
  <si>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</si>
  <si>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</si>
  <si>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</si>
  <si>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</si>
  <si>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</si>
  <si>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</si>
  <si>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</si>
  <si>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</si>
  <si>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</si>
  <si>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</si>
  <si>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</si>
  <si>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</si>
  <si>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</si>
  <si>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</si>
  <si>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</si>
  <si>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</si>
  <si>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</si>
  <si>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</si>
  <si>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</si>
  <si>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</si>
  <si>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</si>
  <si>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</si>
  <si>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</si>
  <si>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</si>
  <si>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</si>
  <si>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</si>
  <si>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</si>
  <si>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</si>
  <si>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</si>
  <si>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</si>
  <si>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</si>
  <si>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</si>
  <si>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</si>
  <si>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</si>
  <si>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</si>
  <si>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</si>
  <si>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</si>
  <si>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</si>
  <si>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</si>
  <si>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</si>
  <si>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</si>
  <si>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</si>
  <si>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</si>
  <si>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</si>
  <si>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</si>
  <si>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</si>
  <si>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</si>
  <si>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</si>
  <si>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</si>
  <si>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</si>
  <si>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</si>
  <si>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</si>
  <si>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</si>
  <si>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</si>
  <si>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</si>
  <si>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</si>
  <si>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</si>
  <si>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</si>
  <si>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</si>
  <si>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</si>
  <si>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</si>
  <si>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</si>
  <si>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</si>
  <si>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</si>
  <si>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</si>
  <si>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</si>
  <si>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</si>
  <si>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</si>
  <si>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</si>
  <si>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</si>
  <si>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</si>
  <si>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</si>
  <si>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</si>
  <si>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</si>
  <si>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</si>
  <si>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</si>
  <si>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</si>
  <si>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</si>
  <si>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</si>
  <si>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</si>
  <si>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</si>
  <si>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</si>
  <si>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</si>
  <si>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</si>
  <si>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</si>
  <si>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</si>
  <si>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</si>
  <si>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</si>
  <si>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</si>
  <si>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</si>
  <si>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</si>
  <si>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</si>
  <si>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</si>
  <si>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</si>
  <si>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</si>
  <si>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</si>
  <si>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</si>
  <si>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</si>
  <si>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</si>
  <si>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</si>
  <si>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</si>
  <si>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</si>
  <si>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</si>
  <si>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</si>
  <si>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</si>
  <si>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</si>
  <si>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</si>
  <si>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</si>
  <si>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</si>
  <si>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</si>
  <si>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</si>
  <si>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</si>
  <si>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</si>
  <si>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</si>
  <si>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</si>
  <si>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</si>
  <si>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</si>
  <si>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</si>
  <si>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</si>
  <si>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</si>
  <si>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</si>
  <si>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</si>
  <si>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</si>
  <si>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</si>
  <si>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</si>
  <si>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</si>
  <si>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</si>
  <si>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</si>
  <si>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</si>
  <si>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</si>
  <si>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</si>
  <si>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</si>
  <si>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</si>
  <si>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</si>
  <si>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</si>
  <si>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</si>
  <si>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</si>
  <si>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</si>
  <si>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</si>
  <si>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</si>
  <si>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</si>
  <si>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</si>
  <si>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</si>
  <si>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</si>
  <si>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</si>
  <si>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</si>
  <si>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</si>
  <si>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</si>
  <si>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</si>
  <si>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</si>
  <si>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</si>
  <si>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</si>
  <si>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</si>
  <si>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</si>
  <si>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</si>
  <si>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</si>
  <si>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</si>
  <si>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</si>
  <si>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</si>
  <si>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</si>
  <si>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</si>
  <si>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</si>
  <si>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</si>
  <si>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</si>
  <si>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</si>
  <si>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</si>
  <si>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</si>
  <si>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</si>
  <si>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</si>
  <si>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</si>
  <si>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</si>
  <si>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</si>
  <si>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</si>
  <si>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</si>
  <si>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</si>
  <si>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</si>
  <si>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</si>
  <si>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</si>
  <si>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</si>
  <si>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</si>
  <si>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</si>
  <si>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</si>
  <si>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</si>
  <si>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</si>
  <si>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</si>
  <si>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</si>
  <si>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</si>
  <si>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</si>
  <si>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</si>
  <si>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</si>
  <si>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</si>
  <si>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</si>
  <si>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</si>
  <si>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</si>
  <si>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</si>
  <si>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</si>
  <si>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</si>
  <si>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</si>
  <si>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</si>
  <si>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</si>
  <si>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</si>
  <si>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</si>
  <si>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</si>
  <si>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</si>
  <si>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</si>
  <si>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</si>
  <si>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</si>
  <si>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</si>
  <si>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</si>
  <si>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</si>
  <si>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</si>
  <si>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</si>
  <si>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</si>
  <si>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</si>
  <si>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</si>
  <si>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</si>
  <si>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</si>
  <si>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</si>
  <si>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</si>
  <si>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</si>
  <si>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</si>
  <si>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</si>
  <si>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</si>
  <si>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</si>
  <si>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</si>
  <si>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</si>
  <si>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</si>
  <si>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</si>
  <si>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</si>
  <si>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</si>
  <si>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</si>
  <si>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</si>
  <si>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</si>
  <si>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</si>
  <si>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</si>
  <si>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</si>
  <si>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</si>
  <si>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</si>
  <si>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</si>
  <si>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</si>
  <si>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</si>
  <si>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</si>
  <si>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</si>
  <si>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</si>
  <si>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</si>
  <si>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</si>
  <si>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</si>
  <si>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</si>
  <si>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</si>
  <si>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</si>
  <si>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</si>
  <si>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</si>
  <si>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</si>
  <si>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</si>
  <si>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</si>
  <si>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</si>
  <si>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</si>
  <si>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</si>
  <si>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</si>
  <si>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</si>
  <si>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</si>
  <si>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</si>
  <si>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</si>
  <si>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</si>
  <si>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</si>
  <si>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</si>
  <si>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</si>
  <si>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</si>
  <si>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</si>
  <si>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</si>
  <si>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</si>
  <si>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</si>
  <si>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</si>
  <si>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</si>
  <si>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</si>
  <si>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</si>
  <si>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</si>
  <si>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</si>
  <si>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</si>
  <si>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</si>
  <si>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</si>
  <si>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TITAGARH</t>
  </si>
  <si>
    <t>TATATECH</t>
  </si>
  <si>
    <t>IREDA</t>
  </si>
  <si>
    <t>PATANJALI</t>
  </si>
  <si>
    <t>IIFL</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</si>
  <si>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</si>
  <si>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</si>
  <si>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</si>
  <si>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</si>
  <si>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</si>
  <si>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</si>
  <si>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</si>
  <si>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</si>
  <si>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</si>
  <si>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</si>
  <si>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</si>
  <si>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</si>
  <si>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</si>
  <si>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</si>
  <si>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</si>
  <si>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</si>
  <si>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</si>
  <si>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</si>
  <si>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</si>
  <si>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</si>
  <si>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</si>
  <si>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</si>
  <si>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</si>
  <si>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F&amp;O Market Trading Kit for 19 Dec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</si>
</sst>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3" fontId="4" fillId="38" borderId="1" xfId="0" applyNumberFormat="1" applyFont="1" applyFill="1" applyBorder="1" applyAlignment="1" applyProtection="1">
      <alignment horizontal="left" vertical="center"/>
    </xf>
    <xf numFmtId="3" fontId="4" fillId="2"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tabSelected="1" zoomScale="85" zoomScaleNormal="85" workbookViewId="0">
      <pane ySplit="10" topLeftCell="A227" activePane="bottomLeft" state="frozen"/>
      <selection pane="bottomLeft" activeCell="U245" sqref="U245"/>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43" t="s">
        <v>691</v>
      </c>
      <c r="B6" s="244"/>
      <c r="C6" s="244"/>
      <c r="D6" s="244"/>
      <c r="E6" s="244"/>
      <c r="F6" s="244"/>
      <c r="G6" s="244"/>
      <c r="H6" s="244"/>
      <c r="I6" s="244"/>
      <c r="J6" s="244"/>
      <c r="K6" s="244"/>
      <c r="L6" s="244"/>
      <c r="M6" s="244"/>
      <c r="N6" s="244"/>
      <c r="O6" s="244"/>
      <c r="P6" s="244"/>
      <c r="Q6" s="244"/>
      <c r="R6" s="244"/>
      <c r="S6" s="245"/>
    </row>
    <row r="7" spans="1:19" x14ac:dyDescent="0.25">
      <c r="A7" s="246"/>
      <c r="B7" s="247"/>
      <c r="C7" s="247"/>
      <c r="D7" s="247"/>
      <c r="E7" s="247"/>
      <c r="F7" s="247"/>
      <c r="G7" s="247"/>
      <c r="H7" s="247"/>
      <c r="I7" s="247"/>
      <c r="J7" s="247"/>
      <c r="K7" s="247"/>
      <c r="L7" s="247"/>
      <c r="M7" s="247"/>
      <c r="N7" s="247"/>
      <c r="O7" s="247"/>
      <c r="P7" s="247"/>
      <c r="Q7" s="247"/>
      <c r="R7" s="247"/>
      <c r="S7" s="248"/>
    </row>
    <row r="8" spans="1:19" s="64" customFormat="1" ht="15" customHeight="1" x14ac:dyDescent="0.25">
      <c r="A8" s="249"/>
      <c r="B8" s="2"/>
      <c r="C8" s="251" t="s">
        <v>308</v>
      </c>
      <c r="D8" s="252"/>
      <c r="E8" s="252"/>
      <c r="F8" s="252"/>
      <c r="G8" s="253"/>
      <c r="H8" s="251" t="s">
        <v>309</v>
      </c>
      <c r="I8" s="252"/>
      <c r="J8" s="252"/>
      <c r="K8" s="253"/>
      <c r="L8" s="254" t="s">
        <v>310</v>
      </c>
      <c r="M8" s="255"/>
      <c r="N8" s="255"/>
      <c r="O8" s="256"/>
      <c r="P8" s="251" t="s">
        <v>311</v>
      </c>
      <c r="Q8" s="252"/>
      <c r="R8" s="252"/>
      <c r="S8" s="253"/>
    </row>
    <row r="9" spans="1:19" s="64" customFormat="1" x14ac:dyDescent="0.25">
      <c r="A9" s="250"/>
      <c r="B9" s="2"/>
      <c r="C9" s="2" t="s">
        <v>312</v>
      </c>
      <c r="D9" s="251" t="s">
        <v>313</v>
      </c>
      <c r="E9" s="252"/>
      <c r="F9" s="252"/>
      <c r="G9" s="253"/>
      <c r="H9" s="251" t="s">
        <v>314</v>
      </c>
      <c r="I9" s="252"/>
      <c r="J9" s="252"/>
      <c r="K9" s="253"/>
      <c r="L9" s="251" t="s">
        <v>315</v>
      </c>
      <c r="M9" s="252"/>
      <c r="N9" s="252"/>
      <c r="O9" s="253"/>
      <c r="P9" s="251" t="s">
        <v>316</v>
      </c>
      <c r="Q9" s="253"/>
      <c r="R9" s="251" t="s">
        <v>317</v>
      </c>
      <c r="S9" s="253"/>
    </row>
    <row r="10" spans="1:19" s="67" customFormat="1" ht="27" customHeight="1" x14ac:dyDescent="0.25">
      <c r="A10" s="65" t="s">
        <v>318</v>
      </c>
      <c r="B10" s="65" t="s">
        <v>319</v>
      </c>
      <c r="C10" s="66">
        <f>'Data Vlaue (Cr)'!A2</f>
        <v>46009</v>
      </c>
      <c r="D10" s="66">
        <f>'Data Vlaue (Cr)'!A2</f>
        <v>46009</v>
      </c>
      <c r="E10" s="65" t="s">
        <v>322</v>
      </c>
      <c r="F10" s="65" t="s">
        <v>320</v>
      </c>
      <c r="G10" s="65" t="s">
        <v>321</v>
      </c>
      <c r="H10" s="66">
        <f>D10</f>
        <v>46009</v>
      </c>
      <c r="I10" s="65" t="s">
        <v>322</v>
      </c>
      <c r="J10" s="65" t="s">
        <v>323</v>
      </c>
      <c r="K10" s="65" t="s">
        <v>324</v>
      </c>
      <c r="L10" s="66">
        <f>D10</f>
        <v>46009</v>
      </c>
      <c r="M10" s="65" t="s">
        <v>322</v>
      </c>
      <c r="N10" s="65" t="s">
        <v>323</v>
      </c>
      <c r="O10" s="65" t="s">
        <v>324</v>
      </c>
      <c r="P10" s="66">
        <f>D10</f>
        <v>46009</v>
      </c>
      <c r="Q10" s="65" t="s">
        <v>324</v>
      </c>
      <c r="R10" s="66">
        <f>D10</f>
        <v>46009</v>
      </c>
      <c r="S10" s="65" t="s">
        <v>324</v>
      </c>
    </row>
    <row r="11" spans="1:19" x14ac:dyDescent="0.25">
      <c r="A11" s="96" t="str">
        <f>'Data Vlaue (Cr)'!C2</f>
        <v>360ONE</v>
      </c>
      <c r="B11" s="75">
        <f>VLOOKUP($A11,'Data Vlaue (Cr)'!$C:$FB,2)</f>
        <v>500</v>
      </c>
      <c r="C11" s="75">
        <f>VLOOKUP($A11,'Data Vlaue (Cr)'!$C:$FB,8)</f>
        <v>1143.2</v>
      </c>
      <c r="D11" s="75">
        <f>VLOOKUP($A11,'Data Vlaue (Cr)'!$C:$FB,4)</f>
        <v>1144.4000000000001</v>
      </c>
      <c r="E11" s="75">
        <f>VLOOKUP($A11,'Data Vlaue (Cr)'!$C:$FB,5)</f>
        <v>1130.0999999999999</v>
      </c>
      <c r="F11" s="75">
        <f>D11-C11</f>
        <v>1.2000000000000455</v>
      </c>
      <c r="G11" s="75">
        <f>(D11-E11)/D11*100</f>
        <v>1.2495630898287469</v>
      </c>
      <c r="H11" s="75">
        <f>VLOOKUP($A11,'Data Vlaue (Cr)'!$C:$FB,99)</f>
        <v>541</v>
      </c>
      <c r="I11" s="75">
        <f>VLOOKUP($A11,'Data Vlaue (Cr)'!$C:$FB,100)</f>
        <v>542</v>
      </c>
      <c r="J11" s="75">
        <f>H11-I11</f>
        <v>-1</v>
      </c>
      <c r="K11" s="75">
        <f>J11/H11*100</f>
        <v>-0.18484288354898337</v>
      </c>
      <c r="L11" s="75">
        <f>VLOOKUP($A11,'Data Vlaue (Cr)'!$C:$FB,67)</f>
        <v>292</v>
      </c>
      <c r="M11" s="75">
        <f>VLOOKUP($A11,'Data Vlaue (Cr)'!$C:$FB,68)</f>
        <v>2115</v>
      </c>
      <c r="N11" s="75">
        <f>L11-M11</f>
        <v>-1823</v>
      </c>
      <c r="O11" s="75">
        <f>N11/L11*100</f>
        <v>-624.31506849315065</v>
      </c>
      <c r="P11" s="75">
        <f>VLOOKUP($A11,'Data Vlaue (Cr)'!$C:$FB,119)</f>
        <v>0.59</v>
      </c>
      <c r="Q11" s="75">
        <f>VLOOKUP($A11,'Data Vlaue (Cr)'!$C:$FB,122)*100</f>
        <v>-6.35</v>
      </c>
      <c r="R11" s="75">
        <f>VLOOKUP($A11,'Data Vlaue (Cr)'!$C:$FB,125)</f>
        <v>0.2</v>
      </c>
      <c r="S11" s="75">
        <f>VLOOKUP($A11,'Data Vlaue (Cr)'!$C:$FB,128)*100</f>
        <v>-67.210000000000008</v>
      </c>
    </row>
    <row r="12" spans="1:19" x14ac:dyDescent="0.25">
      <c r="A12" s="96" t="str">
        <f>'Data Vlaue (Cr)'!C3</f>
        <v>ABB</v>
      </c>
      <c r="B12" s="75">
        <f>VLOOKUP($A12,'Data Vlaue (Cr)'!$C:$FB,2)</f>
        <v>125</v>
      </c>
      <c r="C12" s="75">
        <f>VLOOKUP($A12,'Data Vlaue (Cr)'!$C:$FB,8)</f>
        <v>5097.5</v>
      </c>
      <c r="D12" s="75">
        <f>VLOOKUP($A12,'Data Vlaue (Cr)'!$C:$FB,4)</f>
        <v>5116.5</v>
      </c>
      <c r="E12" s="75">
        <f>VLOOKUP($A12,'Data Vlaue (Cr)'!$C:$FB,5)</f>
        <v>5190</v>
      </c>
      <c r="F12" s="75">
        <f t="shared" ref="F12:F75" si="0">D12-C12</f>
        <v>19</v>
      </c>
      <c r="G12" s="75">
        <f t="shared" ref="G12:G74" si="1">(D12-E12)/D12*100</f>
        <v>-1.4365288771621225</v>
      </c>
      <c r="H12" s="75">
        <f>VLOOKUP($A12,'Data Vlaue (Cr)'!$C:$FB,99)</f>
        <v>2133</v>
      </c>
      <c r="I12" s="75">
        <f>VLOOKUP($A12,'Data Vlaue (Cr)'!$C:$FB,100)</f>
        <v>2074</v>
      </c>
      <c r="J12" s="75">
        <f t="shared" ref="J12:J75" si="2">H12-I12</f>
        <v>59</v>
      </c>
      <c r="K12" s="75">
        <f t="shared" ref="K12:K75" si="3">J12/H12*100</f>
        <v>2.7660571964369431</v>
      </c>
      <c r="L12" s="75">
        <f>VLOOKUP($A12,'Data Vlaue (Cr)'!$C:$FB,67)</f>
        <v>1107</v>
      </c>
      <c r="M12" s="75">
        <f>VLOOKUP($A12,'Data Vlaue (Cr)'!$C:$FB,68)</f>
        <v>734</v>
      </c>
      <c r="N12" s="75">
        <f t="shared" ref="N12:N75" si="4">L12-M12</f>
        <v>373</v>
      </c>
      <c r="O12" s="75">
        <f t="shared" ref="O12:O75" si="5">N12/L12*100</f>
        <v>33.694670280036135</v>
      </c>
      <c r="P12" s="75">
        <f>VLOOKUP($A12,'Data Vlaue (Cr)'!$C:$FB,119)</f>
        <v>0.76</v>
      </c>
      <c r="Q12" s="75">
        <f>VLOOKUP($A12,'Data Vlaue (Cr)'!$C:$FB,122)*100</f>
        <v>-2.56</v>
      </c>
      <c r="R12" s="75">
        <f>VLOOKUP($A12,'Data Vlaue (Cr)'!$C:$FB,125)</f>
        <v>0.65</v>
      </c>
      <c r="S12" s="75">
        <f>VLOOKUP($A12,'Data Vlaue (Cr)'!$C:$FB,128)*100</f>
        <v>30</v>
      </c>
    </row>
    <row r="13" spans="1:19" x14ac:dyDescent="0.25">
      <c r="A13" s="96" t="str">
        <f>'Data Vlaue (Cr)'!C4</f>
        <v>ABCAPITAL</v>
      </c>
      <c r="B13" s="75">
        <f>VLOOKUP($A13,'Data Vlaue (Cr)'!$C:$FB,2)</f>
        <v>3100</v>
      </c>
      <c r="C13" s="75">
        <f>VLOOKUP($A13,'Data Vlaue (Cr)'!$C:$FB,8)</f>
        <v>344.25</v>
      </c>
      <c r="D13" s="75">
        <f>VLOOKUP($A13,'Data Vlaue (Cr)'!$C:$FB,4)</f>
        <v>345.5</v>
      </c>
      <c r="E13" s="75">
        <f>VLOOKUP($A13,'Data Vlaue (Cr)'!$C:$FB,5)</f>
        <v>347.7</v>
      </c>
      <c r="F13" s="75">
        <f t="shared" si="0"/>
        <v>1.25</v>
      </c>
      <c r="G13" s="75">
        <f t="shared" si="1"/>
        <v>-0.63675832127351339</v>
      </c>
      <c r="H13" s="75">
        <f>VLOOKUP($A13,'Data Vlaue (Cr)'!$C:$FB,99)</f>
        <v>4152</v>
      </c>
      <c r="I13" s="75">
        <f>VLOOKUP($A13,'Data Vlaue (Cr)'!$C:$FB,100)</f>
        <v>4146</v>
      </c>
      <c r="J13" s="75">
        <f t="shared" si="2"/>
        <v>6</v>
      </c>
      <c r="K13" s="75">
        <f t="shared" si="3"/>
        <v>0.1445086705202312</v>
      </c>
      <c r="L13" s="75">
        <f>VLOOKUP($A13,'Data Vlaue (Cr)'!$C:$FB,67)</f>
        <v>1959</v>
      </c>
      <c r="M13" s="75">
        <f>VLOOKUP($A13,'Data Vlaue (Cr)'!$C:$FB,68)</f>
        <v>1888</v>
      </c>
      <c r="N13" s="75">
        <f t="shared" si="4"/>
        <v>71</v>
      </c>
      <c r="O13" s="75">
        <f t="shared" si="5"/>
        <v>3.6242981112812664</v>
      </c>
      <c r="P13" s="75">
        <f>VLOOKUP($A13,'Data Vlaue (Cr)'!$C:$FB,119)</f>
        <v>0.62</v>
      </c>
      <c r="Q13" s="75">
        <f>VLOOKUP($A13,'Data Vlaue (Cr)'!$C:$FB,122)*100</f>
        <v>-4.62</v>
      </c>
      <c r="R13" s="75">
        <f>VLOOKUP($A13,'Data Vlaue (Cr)'!$C:$FB,125)</f>
        <v>0.45</v>
      </c>
      <c r="S13" s="75">
        <f>VLOOKUP($A13,'Data Vlaue (Cr)'!$C:$FB,128)*100</f>
        <v>-18.18</v>
      </c>
    </row>
    <row r="14" spans="1:19" x14ac:dyDescent="0.25">
      <c r="A14" s="96" t="str">
        <f>'Data Vlaue (Cr)'!C5</f>
        <v>ADANIENSOL</v>
      </c>
      <c r="B14" s="75">
        <f>VLOOKUP($A14,'Data Vlaue (Cr)'!$C:$FB,2)</f>
        <v>675</v>
      </c>
      <c r="C14" s="75">
        <f>VLOOKUP($A14,'Data Vlaue (Cr)'!$C:$FB,8)</f>
        <v>976.3</v>
      </c>
      <c r="D14" s="75">
        <f>VLOOKUP($A14,'Data Vlaue (Cr)'!$C:$FB,4)</f>
        <v>977.65</v>
      </c>
      <c r="E14" s="75">
        <f>VLOOKUP($A14,'Data Vlaue (Cr)'!$C:$FB,5)</f>
        <v>981.3</v>
      </c>
      <c r="F14" s="75">
        <f t="shared" si="0"/>
        <v>1.3500000000000227</v>
      </c>
      <c r="G14" s="75">
        <f t="shared" si="1"/>
        <v>-0.37334424385004628</v>
      </c>
      <c r="H14" s="75">
        <f>VLOOKUP($A14,'Data Vlaue (Cr)'!$C:$FB,99)</f>
        <v>2384</v>
      </c>
      <c r="I14" s="75">
        <f>VLOOKUP($A14,'Data Vlaue (Cr)'!$C:$FB,100)</f>
        <v>2386</v>
      </c>
      <c r="J14" s="75">
        <f t="shared" si="2"/>
        <v>-2</v>
      </c>
      <c r="K14" s="75">
        <f t="shared" si="3"/>
        <v>-8.3892617449664433E-2</v>
      </c>
      <c r="L14" s="75">
        <f>VLOOKUP($A14,'Data Vlaue (Cr)'!$C:$FB,67)</f>
        <v>550</v>
      </c>
      <c r="M14" s="75">
        <f>VLOOKUP($A14,'Data Vlaue (Cr)'!$C:$FB,68)</f>
        <v>720</v>
      </c>
      <c r="N14" s="75">
        <f t="shared" si="4"/>
        <v>-170</v>
      </c>
      <c r="O14" s="75">
        <f>N14/L14*100</f>
        <v>-30.909090909090907</v>
      </c>
      <c r="P14" s="75">
        <f>VLOOKUP($A14,'Data Vlaue (Cr)'!$C:$FB,119)</f>
        <v>0.54</v>
      </c>
      <c r="Q14" s="75">
        <f>VLOOKUP($A14,'Data Vlaue (Cr)'!$C:$FB,122)*100</f>
        <v>-3.5700000000000003</v>
      </c>
      <c r="R14" s="75">
        <f>VLOOKUP($A14,'Data Vlaue (Cr)'!$C:$FB,125)</f>
        <v>0.35</v>
      </c>
      <c r="S14" s="75">
        <f>VLOOKUP($A14,'Data Vlaue (Cr)'!$C:$FB,128)*100</f>
        <v>-41.67</v>
      </c>
    </row>
    <row r="15" spans="1:19" x14ac:dyDescent="0.25">
      <c r="A15" s="96" t="str">
        <f>'Data Vlaue (Cr)'!C6</f>
        <v>ADANIENT</v>
      </c>
      <c r="B15" s="75">
        <f>VLOOKUP($A15,'Data Vlaue (Cr)'!$C:$FB,2)</f>
        <v>309</v>
      </c>
      <c r="C15" s="75">
        <f>VLOOKUP($A15,'Data Vlaue (Cr)'!$C:$FB,8)</f>
        <v>2229.3000000000002</v>
      </c>
      <c r="D15" s="75">
        <f>VLOOKUP($A15,'Data Vlaue (Cr)'!$C:$FB,4)</f>
        <v>2236.5</v>
      </c>
      <c r="E15" s="75">
        <f>VLOOKUP($A15,'Data Vlaue (Cr)'!$C:$FB,5)</f>
        <v>2241.8000000000002</v>
      </c>
      <c r="F15" s="75">
        <f t="shared" si="0"/>
        <v>7.1999999999998181</v>
      </c>
      <c r="G15" s="75">
        <f t="shared" si="1"/>
        <v>-0.23697742007601977</v>
      </c>
      <c r="H15" s="75">
        <f>VLOOKUP($A15,'Data Vlaue (Cr)'!$C:$FB,99)</f>
        <v>10244</v>
      </c>
      <c r="I15" s="75">
        <f>VLOOKUP($A15,'Data Vlaue (Cr)'!$C:$FB,100)</f>
        <v>10232</v>
      </c>
      <c r="J15" s="75">
        <f t="shared" si="2"/>
        <v>12</v>
      </c>
      <c r="K15" s="75">
        <f t="shared" si="3"/>
        <v>0.11714174150722373</v>
      </c>
      <c r="L15" s="75">
        <f>VLOOKUP($A15,'Data Vlaue (Cr)'!$C:$FB,67)</f>
        <v>2853</v>
      </c>
      <c r="M15" s="75">
        <f>VLOOKUP($A15,'Data Vlaue (Cr)'!$C:$FB,68)</f>
        <v>3153</v>
      </c>
      <c r="N15" s="75">
        <f t="shared" si="4"/>
        <v>-300</v>
      </c>
      <c r="O15" s="75">
        <f t="shared" si="5"/>
        <v>-10.515247108307046</v>
      </c>
      <c r="P15" s="75">
        <f>VLOOKUP($A15,'Data Vlaue (Cr)'!$C:$FB,119)</f>
        <v>0.62</v>
      </c>
      <c r="Q15" s="75">
        <f>VLOOKUP($A15,'Data Vlaue (Cr)'!$C:$FB,122)*100</f>
        <v>1.6400000000000001</v>
      </c>
      <c r="R15" s="75">
        <f>VLOOKUP($A15,'Data Vlaue (Cr)'!$C:$FB,125)</f>
        <v>0.33</v>
      </c>
      <c r="S15" s="75">
        <f>VLOOKUP($A15,'Data Vlaue (Cr)'!$C:$FB,128)*100</f>
        <v>-29.79</v>
      </c>
    </row>
    <row r="16" spans="1:19" x14ac:dyDescent="0.25">
      <c r="A16" s="96" t="str">
        <f>'Data Vlaue (Cr)'!C7</f>
        <v>ADANIGREEN</v>
      </c>
      <c r="B16" s="75">
        <f>VLOOKUP($A16,'Data Vlaue (Cr)'!$C:$FB,2)</f>
        <v>600</v>
      </c>
      <c r="C16" s="75">
        <f>VLOOKUP($A16,'Data Vlaue (Cr)'!$C:$FB,8)</f>
        <v>1011</v>
      </c>
      <c r="D16" s="75">
        <f>VLOOKUP($A16,'Data Vlaue (Cr)'!$C:$FB,4)</f>
        <v>1013.9</v>
      </c>
      <c r="E16" s="75">
        <f>VLOOKUP($A16,'Data Vlaue (Cr)'!$C:$FB,5)</f>
        <v>1023.6</v>
      </c>
      <c r="F16" s="75">
        <f t="shared" si="0"/>
        <v>2.8999999999999773</v>
      </c>
      <c r="G16" s="75">
        <f t="shared" si="1"/>
        <v>-0.95670184436335393</v>
      </c>
      <c r="H16" s="75">
        <f>VLOOKUP($A16,'Data Vlaue (Cr)'!$C:$FB,99)</f>
        <v>4499</v>
      </c>
      <c r="I16" s="75">
        <f>VLOOKUP($A16,'Data Vlaue (Cr)'!$C:$FB,100)</f>
        <v>4576</v>
      </c>
      <c r="J16" s="75">
        <f t="shared" si="2"/>
        <v>-77</v>
      </c>
      <c r="K16" s="75">
        <f t="shared" si="3"/>
        <v>-1.7114914425427872</v>
      </c>
      <c r="L16" s="75">
        <f>VLOOKUP($A16,'Data Vlaue (Cr)'!$C:$FB,67)</f>
        <v>1863</v>
      </c>
      <c r="M16" s="75">
        <f>VLOOKUP($A16,'Data Vlaue (Cr)'!$C:$FB,68)</f>
        <v>1689</v>
      </c>
      <c r="N16" s="75">
        <f t="shared" si="4"/>
        <v>174</v>
      </c>
      <c r="O16" s="75">
        <f t="shared" si="5"/>
        <v>9.3397745571658621</v>
      </c>
      <c r="P16" s="75">
        <f>VLOOKUP($A16,'Data Vlaue (Cr)'!$C:$FB,119)</f>
        <v>0.54</v>
      </c>
      <c r="Q16" s="75">
        <f>VLOOKUP($A16,'Data Vlaue (Cr)'!$C:$FB,122)*100</f>
        <v>0</v>
      </c>
      <c r="R16" s="75">
        <f>VLOOKUP($A16,'Data Vlaue (Cr)'!$C:$FB,125)</f>
        <v>0.45</v>
      </c>
      <c r="S16" s="75">
        <f>VLOOKUP($A16,'Data Vlaue (Cr)'!$C:$FB,128)*100</f>
        <v>-15.09</v>
      </c>
    </row>
    <row r="17" spans="1:19" x14ac:dyDescent="0.25">
      <c r="A17" s="96" t="str">
        <f>'Data Vlaue (Cr)'!C8</f>
        <v>ADANIPORTS</v>
      </c>
      <c r="B17" s="75">
        <f>VLOOKUP($A17,'Data Vlaue (Cr)'!$C:$FB,2)</f>
        <v>475</v>
      </c>
      <c r="C17" s="75">
        <f>VLOOKUP($A17,'Data Vlaue (Cr)'!$C:$FB,8)</f>
        <v>1495.7</v>
      </c>
      <c r="D17" s="75">
        <f>VLOOKUP($A17,'Data Vlaue (Cr)'!$C:$FB,4)</f>
        <v>1499.4</v>
      </c>
      <c r="E17" s="75">
        <f>VLOOKUP($A17,'Data Vlaue (Cr)'!$C:$FB,5)</f>
        <v>1491.8</v>
      </c>
      <c r="F17" s="75">
        <f t="shared" si="0"/>
        <v>3.7000000000000455</v>
      </c>
      <c r="G17" s="75">
        <f t="shared" si="1"/>
        <v>0.50686941443244871</v>
      </c>
      <c r="H17" s="75">
        <f>VLOOKUP($A17,'Data Vlaue (Cr)'!$C:$FB,99)</f>
        <v>5738</v>
      </c>
      <c r="I17" s="75">
        <f>VLOOKUP($A17,'Data Vlaue (Cr)'!$C:$FB,100)</f>
        <v>5667</v>
      </c>
      <c r="J17" s="75">
        <f t="shared" si="2"/>
        <v>71</v>
      </c>
      <c r="K17" s="75">
        <f t="shared" si="3"/>
        <v>1.237364935517602</v>
      </c>
      <c r="L17" s="75">
        <f>VLOOKUP($A17,'Data Vlaue (Cr)'!$C:$FB,67)</f>
        <v>1979</v>
      </c>
      <c r="M17" s="75">
        <f>VLOOKUP($A17,'Data Vlaue (Cr)'!$C:$FB,68)</f>
        <v>1791</v>
      </c>
      <c r="N17" s="75">
        <f t="shared" si="4"/>
        <v>188</v>
      </c>
      <c r="O17" s="75">
        <f t="shared" si="5"/>
        <v>9.4997473471450231</v>
      </c>
      <c r="P17" s="75">
        <f>VLOOKUP($A17,'Data Vlaue (Cr)'!$C:$FB,119)</f>
        <v>0.5</v>
      </c>
      <c r="Q17" s="75">
        <f>VLOOKUP($A17,'Data Vlaue (Cr)'!$C:$FB,122)*100</f>
        <v>2.04</v>
      </c>
      <c r="R17" s="75">
        <f>VLOOKUP($A17,'Data Vlaue (Cr)'!$C:$FB,125)</f>
        <v>0.38</v>
      </c>
      <c r="S17" s="75">
        <f>VLOOKUP($A17,'Data Vlaue (Cr)'!$C:$FB,128)*100</f>
        <v>-15.559999999999999</v>
      </c>
    </row>
    <row r="18" spans="1:19" x14ac:dyDescent="0.25">
      <c r="A18" s="96" t="str">
        <f>'Data Vlaue (Cr)'!C9</f>
        <v>ALKEM</v>
      </c>
      <c r="B18" s="75">
        <f>VLOOKUP($A18,'Data Vlaue (Cr)'!$C:$FB,2)</f>
        <v>125</v>
      </c>
      <c r="C18" s="75">
        <f>VLOOKUP($A18,'Data Vlaue (Cr)'!$C:$FB,8)</f>
        <v>5521</v>
      </c>
      <c r="D18" s="75">
        <f>VLOOKUP($A18,'Data Vlaue (Cr)'!$C:$FB,4)</f>
        <v>5533</v>
      </c>
      <c r="E18" s="75">
        <f>VLOOKUP($A18,'Data Vlaue (Cr)'!$C:$FB,5)</f>
        <v>5635.5</v>
      </c>
      <c r="F18" s="75">
        <f t="shared" si="0"/>
        <v>12</v>
      </c>
      <c r="G18" s="75">
        <f t="shared" si="1"/>
        <v>-1.8525212362190493</v>
      </c>
      <c r="H18" s="75">
        <f>VLOOKUP($A18,'Data Vlaue (Cr)'!$C:$FB,99)</f>
        <v>1124</v>
      </c>
      <c r="I18" s="75">
        <f>VLOOKUP($A18,'Data Vlaue (Cr)'!$C:$FB,100)</f>
        <v>1113</v>
      </c>
      <c r="J18" s="75">
        <f t="shared" si="2"/>
        <v>11</v>
      </c>
      <c r="K18" s="75">
        <f t="shared" si="3"/>
        <v>0.97864768683274017</v>
      </c>
      <c r="L18" s="75">
        <f>VLOOKUP($A18,'Data Vlaue (Cr)'!$C:$FB,67)</f>
        <v>370</v>
      </c>
      <c r="M18" s="75">
        <f>VLOOKUP($A18,'Data Vlaue (Cr)'!$C:$FB,68)</f>
        <v>361</v>
      </c>
      <c r="N18" s="75">
        <f t="shared" si="4"/>
        <v>9</v>
      </c>
      <c r="O18" s="75">
        <f t="shared" si="5"/>
        <v>2.4324324324324325</v>
      </c>
      <c r="P18" s="75">
        <f>VLOOKUP($A18,'Data Vlaue (Cr)'!$C:$FB,119)</f>
        <v>0.61</v>
      </c>
      <c r="Q18" s="75">
        <f>VLOOKUP($A18,'Data Vlaue (Cr)'!$C:$FB,122)*100</f>
        <v>-6.15</v>
      </c>
      <c r="R18" s="75">
        <f>VLOOKUP($A18,'Data Vlaue (Cr)'!$C:$FB,125)</f>
        <v>0.91</v>
      </c>
      <c r="S18" s="75">
        <f>VLOOKUP($A18,'Data Vlaue (Cr)'!$C:$FB,128)*100</f>
        <v>116.67</v>
      </c>
    </row>
    <row r="19" spans="1:19" x14ac:dyDescent="0.25">
      <c r="A19" s="96" t="str">
        <f>'Data Vlaue (Cr)'!C10</f>
        <v>AMBER</v>
      </c>
      <c r="B19" s="75">
        <f>VLOOKUP($A19,'Data Vlaue (Cr)'!$C:$FB,2)</f>
        <v>100</v>
      </c>
      <c r="C19" s="75">
        <f>VLOOKUP($A19,'Data Vlaue (Cr)'!$C:$FB,8)</f>
        <v>6585.5</v>
      </c>
      <c r="D19" s="75">
        <f>VLOOKUP($A19,'Data Vlaue (Cr)'!$C:$FB,4)</f>
        <v>6595</v>
      </c>
      <c r="E19" s="75">
        <f>VLOOKUP($A19,'Data Vlaue (Cr)'!$C:$FB,5)</f>
        <v>6600</v>
      </c>
      <c r="F19" s="75">
        <f t="shared" si="0"/>
        <v>9.5</v>
      </c>
      <c r="G19" s="75">
        <f t="shared" si="1"/>
        <v>-7.5815011372251703E-2</v>
      </c>
      <c r="H19" s="75">
        <f>VLOOKUP($A19,'Data Vlaue (Cr)'!$C:$FB,99)</f>
        <v>2063</v>
      </c>
      <c r="I19" s="75">
        <f>VLOOKUP($A19,'Data Vlaue (Cr)'!$C:$FB,100)</f>
        <v>2068</v>
      </c>
      <c r="J19" s="75">
        <f t="shared" si="2"/>
        <v>-5</v>
      </c>
      <c r="K19" s="75">
        <f t="shared" si="3"/>
        <v>-0.24236548715462916</v>
      </c>
      <c r="L19" s="75">
        <f>VLOOKUP($A19,'Data Vlaue (Cr)'!$C:$FB,67)</f>
        <v>1147</v>
      </c>
      <c r="M19" s="75">
        <f>VLOOKUP($A19,'Data Vlaue (Cr)'!$C:$FB,68)</f>
        <v>2184</v>
      </c>
      <c r="N19" s="75">
        <f t="shared" si="4"/>
        <v>-1037</v>
      </c>
      <c r="O19" s="75">
        <f t="shared" si="5"/>
        <v>-90.409764603312993</v>
      </c>
      <c r="P19" s="75">
        <f>VLOOKUP($A19,'Data Vlaue (Cr)'!$C:$FB,119)</f>
        <v>0.69</v>
      </c>
      <c r="Q19" s="75">
        <f>VLOOKUP($A19,'Data Vlaue (Cr)'!$C:$FB,122)*100</f>
        <v>4.55</v>
      </c>
      <c r="R19" s="75">
        <f>VLOOKUP($A19,'Data Vlaue (Cr)'!$C:$FB,125)</f>
        <v>0.71</v>
      </c>
      <c r="S19" s="75">
        <f>VLOOKUP($A19,'Data Vlaue (Cr)'!$C:$FB,128)*100</f>
        <v>-11.25</v>
      </c>
    </row>
    <row r="20" spans="1:19" x14ac:dyDescent="0.25">
      <c r="A20" s="96" t="str">
        <f>'Data Vlaue (Cr)'!C11</f>
        <v>AMBUJACEM</v>
      </c>
      <c r="B20" s="75">
        <f>VLOOKUP($A20,'Data Vlaue (Cr)'!$C:$FB,2)</f>
        <v>1050</v>
      </c>
      <c r="C20" s="75">
        <f>VLOOKUP($A20,'Data Vlaue (Cr)'!$C:$FB,8)</f>
        <v>535.79999999999995</v>
      </c>
      <c r="D20" s="75">
        <f>VLOOKUP($A20,'Data Vlaue (Cr)'!$C:$FB,4)</f>
        <v>537.45000000000005</v>
      </c>
      <c r="E20" s="75">
        <f>VLOOKUP($A20,'Data Vlaue (Cr)'!$C:$FB,5)</f>
        <v>541.9</v>
      </c>
      <c r="F20" s="75">
        <f t="shared" si="0"/>
        <v>1.6500000000000909</v>
      </c>
      <c r="G20" s="75">
        <f t="shared" si="1"/>
        <v>-0.82798399851147664</v>
      </c>
      <c r="H20" s="75">
        <f>VLOOKUP($A20,'Data Vlaue (Cr)'!$C:$FB,99)</f>
        <v>3795</v>
      </c>
      <c r="I20" s="75">
        <f>VLOOKUP($A20,'Data Vlaue (Cr)'!$C:$FB,100)</f>
        <v>3738</v>
      </c>
      <c r="J20" s="75">
        <f t="shared" si="2"/>
        <v>57</v>
      </c>
      <c r="K20" s="75">
        <f t="shared" si="3"/>
        <v>1.5019762845849802</v>
      </c>
      <c r="L20" s="75">
        <f>VLOOKUP($A20,'Data Vlaue (Cr)'!$C:$FB,67)</f>
        <v>746</v>
      </c>
      <c r="M20" s="75">
        <f>VLOOKUP($A20,'Data Vlaue (Cr)'!$C:$FB,68)</f>
        <v>544</v>
      </c>
      <c r="N20" s="75">
        <f t="shared" si="4"/>
        <v>202</v>
      </c>
      <c r="O20" s="75">
        <f t="shared" si="5"/>
        <v>27.077747989276141</v>
      </c>
      <c r="P20" s="75">
        <f>VLOOKUP($A20,'Data Vlaue (Cr)'!$C:$FB,119)</f>
        <v>0.76</v>
      </c>
      <c r="Q20" s="75">
        <f>VLOOKUP($A20,'Data Vlaue (Cr)'!$C:$FB,122)*100</f>
        <v>-6.17</v>
      </c>
      <c r="R20" s="75">
        <f>VLOOKUP($A20,'Data Vlaue (Cr)'!$C:$FB,125)</f>
        <v>0.42</v>
      </c>
      <c r="S20" s="75">
        <f>VLOOKUP($A20,'Data Vlaue (Cr)'!$C:$FB,128)*100</f>
        <v>-6.67</v>
      </c>
    </row>
    <row r="21" spans="1:19" x14ac:dyDescent="0.25">
      <c r="A21" s="96" t="str">
        <f>'Data Vlaue (Cr)'!C12</f>
        <v>ANGELONE</v>
      </c>
      <c r="B21" s="75">
        <f>VLOOKUP($A21,'Data Vlaue (Cr)'!$C:$FB,2)</f>
        <v>250</v>
      </c>
      <c r="C21" s="75">
        <f>VLOOKUP($A21,'Data Vlaue (Cr)'!$C:$FB,8)</f>
        <v>2479.1</v>
      </c>
      <c r="D21" s="75">
        <f>VLOOKUP($A21,'Data Vlaue (Cr)'!$C:$FB,4)</f>
        <v>2476.8000000000002</v>
      </c>
      <c r="E21" s="75">
        <f>VLOOKUP($A21,'Data Vlaue (Cr)'!$C:$FB,5)</f>
        <v>2478.9</v>
      </c>
      <c r="F21" s="75">
        <f t="shared" si="0"/>
        <v>-2.2999999999997272</v>
      </c>
      <c r="G21" s="75">
        <f t="shared" si="1"/>
        <v>-8.4786821705422677E-2</v>
      </c>
      <c r="H21" s="75">
        <f>VLOOKUP($A21,'Data Vlaue (Cr)'!$C:$FB,99)</f>
        <v>2954</v>
      </c>
      <c r="I21" s="75">
        <f>VLOOKUP($A21,'Data Vlaue (Cr)'!$C:$FB,100)</f>
        <v>2835</v>
      </c>
      <c r="J21" s="75">
        <f t="shared" si="2"/>
        <v>119</v>
      </c>
      <c r="K21" s="75">
        <f t="shared" si="3"/>
        <v>4.028436018957346</v>
      </c>
      <c r="L21" s="75">
        <f>VLOOKUP($A21,'Data Vlaue (Cr)'!$C:$FB,67)</f>
        <v>2575</v>
      </c>
      <c r="M21" s="75">
        <f>VLOOKUP($A21,'Data Vlaue (Cr)'!$C:$FB,68)</f>
        <v>1583</v>
      </c>
      <c r="N21" s="75">
        <f t="shared" si="4"/>
        <v>992</v>
      </c>
      <c r="O21" s="75">
        <f t="shared" si="5"/>
        <v>38.524271844660198</v>
      </c>
      <c r="P21" s="75">
        <f>VLOOKUP($A21,'Data Vlaue (Cr)'!$C:$FB,119)</f>
        <v>0.39</v>
      </c>
      <c r="Q21" s="75">
        <f>VLOOKUP($A21,'Data Vlaue (Cr)'!$C:$FB,122)*100</f>
        <v>-4.88</v>
      </c>
      <c r="R21" s="75">
        <f>VLOOKUP($A21,'Data Vlaue (Cr)'!$C:$FB,125)</f>
        <v>0.34</v>
      </c>
      <c r="S21" s="75">
        <f>VLOOKUP($A21,'Data Vlaue (Cr)'!$C:$FB,128)*100</f>
        <v>-15</v>
      </c>
    </row>
    <row r="22" spans="1:19" x14ac:dyDescent="0.25">
      <c r="A22" s="96" t="str">
        <f>'Data Vlaue (Cr)'!C13</f>
        <v>APLAPOLLO</v>
      </c>
      <c r="B22" s="75">
        <f>VLOOKUP($A22,'Data Vlaue (Cr)'!$C:$FB,2)</f>
        <v>350</v>
      </c>
      <c r="C22" s="75">
        <f>VLOOKUP($A22,'Data Vlaue (Cr)'!$C:$FB,8)</f>
        <v>1795.7</v>
      </c>
      <c r="D22" s="75">
        <f>VLOOKUP($A22,'Data Vlaue (Cr)'!$C:$FB,4)</f>
        <v>1800.8</v>
      </c>
      <c r="E22" s="75">
        <f>VLOOKUP($A22,'Data Vlaue (Cr)'!$C:$FB,5)</f>
        <v>1769.5</v>
      </c>
      <c r="F22" s="75">
        <f t="shared" si="0"/>
        <v>5.0999999999999091</v>
      </c>
      <c r="G22" s="75">
        <f t="shared" si="1"/>
        <v>1.7381163927143468</v>
      </c>
      <c r="H22" s="75">
        <f>VLOOKUP($A22,'Data Vlaue (Cr)'!$C:$FB,99)</f>
        <v>1738</v>
      </c>
      <c r="I22" s="75">
        <f>VLOOKUP($A22,'Data Vlaue (Cr)'!$C:$FB,100)</f>
        <v>1775</v>
      </c>
      <c r="J22" s="75">
        <f t="shared" si="2"/>
        <v>-37</v>
      </c>
      <c r="K22" s="75">
        <f t="shared" si="3"/>
        <v>-2.1288837744533948</v>
      </c>
      <c r="L22" s="75">
        <f>VLOOKUP($A22,'Data Vlaue (Cr)'!$C:$FB,67)</f>
        <v>1169</v>
      </c>
      <c r="M22" s="75">
        <f>VLOOKUP($A22,'Data Vlaue (Cr)'!$C:$FB,68)</f>
        <v>1653</v>
      </c>
      <c r="N22" s="75">
        <f t="shared" si="4"/>
        <v>-484</v>
      </c>
      <c r="O22" s="75">
        <f t="shared" si="5"/>
        <v>-41.402908468776737</v>
      </c>
      <c r="P22" s="75">
        <f>VLOOKUP($A22,'Data Vlaue (Cr)'!$C:$FB,119)</f>
        <v>0.84</v>
      </c>
      <c r="Q22" s="75">
        <f>VLOOKUP($A22,'Data Vlaue (Cr)'!$C:$FB,122)*100</f>
        <v>12</v>
      </c>
      <c r="R22" s="75">
        <f>VLOOKUP($A22,'Data Vlaue (Cr)'!$C:$FB,125)</f>
        <v>0.39</v>
      </c>
      <c r="S22" s="75">
        <f>VLOOKUP($A22,'Data Vlaue (Cr)'!$C:$FB,128)*100</f>
        <v>21.88</v>
      </c>
    </row>
    <row r="23" spans="1:19" x14ac:dyDescent="0.25">
      <c r="A23" s="96" t="str">
        <f>'Data Vlaue (Cr)'!C14</f>
        <v>APOLLOHOSP</v>
      </c>
      <c r="B23" s="75">
        <f>VLOOKUP($A23,'Data Vlaue (Cr)'!$C:$FB,2)</f>
        <v>125</v>
      </c>
      <c r="C23" s="75">
        <f>VLOOKUP($A23,'Data Vlaue (Cr)'!$C:$FB,8)</f>
        <v>6918.5</v>
      </c>
      <c r="D23" s="75">
        <f>VLOOKUP($A23,'Data Vlaue (Cr)'!$C:$FB,4)</f>
        <v>6933.5</v>
      </c>
      <c r="E23" s="75">
        <f>VLOOKUP($A23,'Data Vlaue (Cr)'!$C:$FB,5)</f>
        <v>6927.5</v>
      </c>
      <c r="F23" s="75">
        <f t="shared" si="0"/>
        <v>15</v>
      </c>
      <c r="G23" s="75">
        <f t="shared" si="1"/>
        <v>8.6536381336987087E-2</v>
      </c>
      <c r="H23" s="75">
        <f>VLOOKUP($A23,'Data Vlaue (Cr)'!$C:$FB,99)</f>
        <v>4841</v>
      </c>
      <c r="I23" s="75">
        <f>VLOOKUP($A23,'Data Vlaue (Cr)'!$C:$FB,100)</f>
        <v>4827</v>
      </c>
      <c r="J23" s="75">
        <f t="shared" si="2"/>
        <v>14</v>
      </c>
      <c r="K23" s="75">
        <f t="shared" si="3"/>
        <v>0.28919644701507952</v>
      </c>
      <c r="L23" s="75">
        <f>VLOOKUP($A23,'Data Vlaue (Cr)'!$C:$FB,67)</f>
        <v>2979</v>
      </c>
      <c r="M23" s="75">
        <f>VLOOKUP($A23,'Data Vlaue (Cr)'!$C:$FB,68)</f>
        <v>3520</v>
      </c>
      <c r="N23" s="75">
        <f t="shared" si="4"/>
        <v>-541</v>
      </c>
      <c r="O23" s="75">
        <f t="shared" si="5"/>
        <v>-18.16045652903659</v>
      </c>
      <c r="P23" s="75">
        <f>VLOOKUP($A23,'Data Vlaue (Cr)'!$C:$FB,119)</f>
        <v>0.48</v>
      </c>
      <c r="Q23" s="75">
        <f>VLOOKUP($A23,'Data Vlaue (Cr)'!$C:$FB,122)*100</f>
        <v>2.13</v>
      </c>
      <c r="R23" s="75">
        <f>VLOOKUP($A23,'Data Vlaue (Cr)'!$C:$FB,125)</f>
        <v>0.41</v>
      </c>
      <c r="S23" s="75">
        <f>VLOOKUP($A23,'Data Vlaue (Cr)'!$C:$FB,128)*100</f>
        <v>-24.07</v>
      </c>
    </row>
    <row r="24" spans="1:19" x14ac:dyDescent="0.25">
      <c r="A24" s="96" t="str">
        <f>'Data Vlaue (Cr)'!C15</f>
        <v>ASHOKLEY</v>
      </c>
      <c r="B24" s="75">
        <f>VLOOKUP($A24,'Data Vlaue (Cr)'!$C:$FB,2)</f>
        <v>5000</v>
      </c>
      <c r="C24" s="75">
        <f>VLOOKUP($A24,'Data Vlaue (Cr)'!$C:$FB,8)</f>
        <v>171.57</v>
      </c>
      <c r="D24" s="75">
        <f>VLOOKUP($A24,'Data Vlaue (Cr)'!$C:$FB,4)</f>
        <v>170.12</v>
      </c>
      <c r="E24" s="75">
        <f>VLOOKUP($A24,'Data Vlaue (Cr)'!$C:$FB,5)</f>
        <v>166.15</v>
      </c>
      <c r="F24" s="75">
        <f t="shared" si="0"/>
        <v>-1.4499999999999886</v>
      </c>
      <c r="G24" s="75">
        <f t="shared" si="1"/>
        <v>2.3336468375264512</v>
      </c>
      <c r="H24" s="75">
        <f>VLOOKUP($A24,'Data Vlaue (Cr)'!$C:$FB,99)</f>
        <v>5399</v>
      </c>
      <c r="I24" s="75">
        <f>VLOOKUP($A24,'Data Vlaue (Cr)'!$C:$FB,100)</f>
        <v>4999</v>
      </c>
      <c r="J24" s="75">
        <f t="shared" si="2"/>
        <v>400</v>
      </c>
      <c r="K24" s="75">
        <f t="shared" si="3"/>
        <v>7.4087794035932575</v>
      </c>
      <c r="L24" s="75">
        <f>VLOOKUP($A24,'Data Vlaue (Cr)'!$C:$FB,67)</f>
        <v>6859</v>
      </c>
      <c r="M24" s="75">
        <f>VLOOKUP($A24,'Data Vlaue (Cr)'!$C:$FB,68)</f>
        <v>2106</v>
      </c>
      <c r="N24" s="75">
        <f t="shared" si="4"/>
        <v>4753</v>
      </c>
      <c r="O24" s="75">
        <f t="shared" si="5"/>
        <v>69.295815716576755</v>
      </c>
      <c r="P24" s="75">
        <f>VLOOKUP($A24,'Data Vlaue (Cr)'!$C:$FB,119)</f>
        <v>1</v>
      </c>
      <c r="Q24" s="75">
        <f>VLOOKUP($A24,'Data Vlaue (Cr)'!$C:$FB,122)*100</f>
        <v>2.04</v>
      </c>
      <c r="R24" s="75">
        <f>VLOOKUP($A24,'Data Vlaue (Cr)'!$C:$FB,125)</f>
        <v>0.48</v>
      </c>
      <c r="S24" s="75">
        <f>VLOOKUP($A24,'Data Vlaue (Cr)'!$C:$FB,128)*100</f>
        <v>-27.27</v>
      </c>
    </row>
    <row r="25" spans="1:19" x14ac:dyDescent="0.25">
      <c r="A25" s="96" t="str">
        <f>'Data Vlaue (Cr)'!C16</f>
        <v>ASIANPAINT</v>
      </c>
      <c r="B25" s="75">
        <f>VLOOKUP($A25,'Data Vlaue (Cr)'!$C:$FB,2)</f>
        <v>250</v>
      </c>
      <c r="C25" s="75">
        <f>VLOOKUP($A25,'Data Vlaue (Cr)'!$C:$FB,8)</f>
        <v>2759.7</v>
      </c>
      <c r="D25" s="75">
        <f>VLOOKUP($A25,'Data Vlaue (Cr)'!$C:$FB,4)</f>
        <v>2764.1</v>
      </c>
      <c r="E25" s="75">
        <f>VLOOKUP($A25,'Data Vlaue (Cr)'!$C:$FB,5)</f>
        <v>2785.6</v>
      </c>
      <c r="F25" s="75">
        <f t="shared" si="0"/>
        <v>4.4000000000000909</v>
      </c>
      <c r="G25" s="75">
        <f t="shared" si="1"/>
        <v>-0.77783003509279702</v>
      </c>
      <c r="H25" s="75">
        <f>VLOOKUP($A25,'Data Vlaue (Cr)'!$C:$FB,99)</f>
        <v>7128</v>
      </c>
      <c r="I25" s="75">
        <f>VLOOKUP($A25,'Data Vlaue (Cr)'!$C:$FB,100)</f>
        <v>7084</v>
      </c>
      <c r="J25" s="75">
        <f t="shared" si="2"/>
        <v>44</v>
      </c>
      <c r="K25" s="75">
        <f t="shared" si="3"/>
        <v>0.61728395061728392</v>
      </c>
      <c r="L25" s="75">
        <f>VLOOKUP($A25,'Data Vlaue (Cr)'!$C:$FB,67)</f>
        <v>3003</v>
      </c>
      <c r="M25" s="75">
        <f>VLOOKUP($A25,'Data Vlaue (Cr)'!$C:$FB,68)</f>
        <v>2817</v>
      </c>
      <c r="N25" s="75">
        <f t="shared" si="4"/>
        <v>186</v>
      </c>
      <c r="O25" s="75">
        <f t="shared" si="5"/>
        <v>6.1938061938061937</v>
      </c>
      <c r="P25" s="75">
        <f>VLOOKUP($A25,'Data Vlaue (Cr)'!$C:$FB,119)</f>
        <v>0.49</v>
      </c>
      <c r="Q25" s="75">
        <f>VLOOKUP($A25,'Data Vlaue (Cr)'!$C:$FB,122)*100</f>
        <v>-3.92</v>
      </c>
      <c r="R25" s="75">
        <f>VLOOKUP($A25,'Data Vlaue (Cr)'!$C:$FB,125)</f>
        <v>0.41</v>
      </c>
      <c r="S25" s="75">
        <f>VLOOKUP($A25,'Data Vlaue (Cr)'!$C:$FB,128)*100</f>
        <v>7.89</v>
      </c>
    </row>
    <row r="26" spans="1:19" x14ac:dyDescent="0.25">
      <c r="A26" s="96" t="str">
        <f>'Data Vlaue (Cr)'!C17</f>
        <v>ASTRAL</v>
      </c>
      <c r="B26" s="75">
        <f>VLOOKUP($A26,'Data Vlaue (Cr)'!$C:$FB,2)</f>
        <v>425</v>
      </c>
      <c r="C26" s="75">
        <f>VLOOKUP($A26,'Data Vlaue (Cr)'!$C:$FB,8)</f>
        <v>1407.9</v>
      </c>
      <c r="D26" s="75">
        <f>VLOOKUP($A26,'Data Vlaue (Cr)'!$C:$FB,4)</f>
        <v>1414</v>
      </c>
      <c r="E26" s="75">
        <f>VLOOKUP($A26,'Data Vlaue (Cr)'!$C:$FB,5)</f>
        <v>1430.9</v>
      </c>
      <c r="F26" s="75">
        <f t="shared" si="0"/>
        <v>6.0999999999999091</v>
      </c>
      <c r="G26" s="75">
        <f t="shared" si="1"/>
        <v>-1.1951909476662015</v>
      </c>
      <c r="H26" s="75">
        <f>VLOOKUP($A26,'Data Vlaue (Cr)'!$C:$FB,99)</f>
        <v>1906</v>
      </c>
      <c r="I26" s="75">
        <f>VLOOKUP($A26,'Data Vlaue (Cr)'!$C:$FB,100)</f>
        <v>1869</v>
      </c>
      <c r="J26" s="75">
        <f t="shared" si="2"/>
        <v>37</v>
      </c>
      <c r="K26" s="75">
        <f t="shared" si="3"/>
        <v>1.9412381951731374</v>
      </c>
      <c r="L26" s="75">
        <f>VLOOKUP($A26,'Data Vlaue (Cr)'!$C:$FB,67)</f>
        <v>730</v>
      </c>
      <c r="M26" s="75">
        <f>VLOOKUP($A26,'Data Vlaue (Cr)'!$C:$FB,68)</f>
        <v>1222</v>
      </c>
      <c r="N26" s="75">
        <f t="shared" si="4"/>
        <v>-492</v>
      </c>
      <c r="O26" s="75">
        <f t="shared" si="5"/>
        <v>-67.397260273972606</v>
      </c>
      <c r="P26" s="75">
        <f>VLOOKUP($A26,'Data Vlaue (Cr)'!$C:$FB,119)</f>
        <v>0.53</v>
      </c>
      <c r="Q26" s="75">
        <f>VLOOKUP($A26,'Data Vlaue (Cr)'!$C:$FB,122)*100</f>
        <v>3.92</v>
      </c>
      <c r="R26" s="75">
        <f>VLOOKUP($A26,'Data Vlaue (Cr)'!$C:$FB,125)</f>
        <v>0.7</v>
      </c>
      <c r="S26" s="75">
        <f>VLOOKUP($A26,'Data Vlaue (Cr)'!$C:$FB,128)*100</f>
        <v>-2.78</v>
      </c>
    </row>
    <row r="27" spans="1:19" x14ac:dyDescent="0.25">
      <c r="A27" s="96" t="str">
        <f>'Data Vlaue (Cr)'!C18</f>
        <v>AUBANK</v>
      </c>
      <c r="B27" s="75">
        <f>VLOOKUP($A27,'Data Vlaue (Cr)'!$C:$FB,2)</f>
        <v>1000</v>
      </c>
      <c r="C27" s="75">
        <f>VLOOKUP($A27,'Data Vlaue (Cr)'!$C:$FB,8)</f>
        <v>987.65</v>
      </c>
      <c r="D27" s="75">
        <f>VLOOKUP($A27,'Data Vlaue (Cr)'!$C:$FB,4)</f>
        <v>987.4</v>
      </c>
      <c r="E27" s="75">
        <f>VLOOKUP($A27,'Data Vlaue (Cr)'!$C:$FB,5)</f>
        <v>988.7</v>
      </c>
      <c r="F27" s="75">
        <f t="shared" si="0"/>
        <v>-0.25</v>
      </c>
      <c r="G27" s="75">
        <f t="shared" si="1"/>
        <v>-0.13165890216731499</v>
      </c>
      <c r="H27" s="75">
        <f>VLOOKUP($A27,'Data Vlaue (Cr)'!$C:$FB,99)</f>
        <v>3741</v>
      </c>
      <c r="I27" s="75">
        <f>VLOOKUP($A27,'Data Vlaue (Cr)'!$C:$FB,100)</f>
        <v>3654</v>
      </c>
      <c r="J27" s="75">
        <f t="shared" si="2"/>
        <v>87</v>
      </c>
      <c r="K27" s="75">
        <f t="shared" si="3"/>
        <v>2.3255813953488373</v>
      </c>
      <c r="L27" s="75">
        <f>VLOOKUP($A27,'Data Vlaue (Cr)'!$C:$FB,67)</f>
        <v>1496</v>
      </c>
      <c r="M27" s="75">
        <f>VLOOKUP($A27,'Data Vlaue (Cr)'!$C:$FB,68)</f>
        <v>3291</v>
      </c>
      <c r="N27" s="75">
        <f t="shared" si="4"/>
        <v>-1795</v>
      </c>
      <c r="O27" s="75">
        <f t="shared" si="5"/>
        <v>-119.98663101604279</v>
      </c>
      <c r="P27" s="75">
        <f>VLOOKUP($A27,'Data Vlaue (Cr)'!$C:$FB,119)</f>
        <v>0.83</v>
      </c>
      <c r="Q27" s="75">
        <f>VLOOKUP($A27,'Data Vlaue (Cr)'!$C:$FB,122)*100</f>
        <v>2.4699999999999998</v>
      </c>
      <c r="R27" s="75">
        <f>VLOOKUP($A27,'Data Vlaue (Cr)'!$C:$FB,125)</f>
        <v>0.66</v>
      </c>
      <c r="S27" s="75">
        <f>VLOOKUP($A27,'Data Vlaue (Cr)'!$C:$FB,128)*100</f>
        <v>60.980000000000004</v>
      </c>
    </row>
    <row r="28" spans="1:19" x14ac:dyDescent="0.25">
      <c r="A28" s="96" t="str">
        <f>'Data Vlaue (Cr)'!C19</f>
        <v>AUROPHARMA</v>
      </c>
      <c r="B28" s="75">
        <f>VLOOKUP($A28,'Data Vlaue (Cr)'!$C:$FB,2)</f>
        <v>550</v>
      </c>
      <c r="C28" s="75">
        <f>VLOOKUP($A28,'Data Vlaue (Cr)'!$C:$FB,8)</f>
        <v>1209.3</v>
      </c>
      <c r="D28" s="75">
        <f>VLOOKUP($A28,'Data Vlaue (Cr)'!$C:$FB,4)</f>
        <v>1210</v>
      </c>
      <c r="E28" s="75">
        <f>VLOOKUP($A28,'Data Vlaue (Cr)'!$C:$FB,5)</f>
        <v>1195.3</v>
      </c>
      <c r="F28" s="75">
        <f t="shared" si="0"/>
        <v>0.70000000000004547</v>
      </c>
      <c r="G28" s="75">
        <f t="shared" si="1"/>
        <v>1.214876033057855</v>
      </c>
      <c r="H28" s="75">
        <f>VLOOKUP($A28,'Data Vlaue (Cr)'!$C:$FB,99)</f>
        <v>3754</v>
      </c>
      <c r="I28" s="75">
        <f>VLOOKUP($A28,'Data Vlaue (Cr)'!$C:$FB,100)</f>
        <v>3757</v>
      </c>
      <c r="J28" s="75">
        <f t="shared" si="2"/>
        <v>-3</v>
      </c>
      <c r="K28" s="75">
        <f t="shared" si="3"/>
        <v>-7.9914757591901961E-2</v>
      </c>
      <c r="L28" s="75">
        <f>VLOOKUP($A28,'Data Vlaue (Cr)'!$C:$FB,67)</f>
        <v>1494</v>
      </c>
      <c r="M28" s="75">
        <f>VLOOKUP($A28,'Data Vlaue (Cr)'!$C:$FB,68)</f>
        <v>718</v>
      </c>
      <c r="N28" s="75">
        <f t="shared" si="4"/>
        <v>776</v>
      </c>
      <c r="O28" s="75">
        <f t="shared" si="5"/>
        <v>51.941097724230254</v>
      </c>
      <c r="P28" s="75">
        <f>VLOOKUP($A28,'Data Vlaue (Cr)'!$C:$FB,119)</f>
        <v>0.49</v>
      </c>
      <c r="Q28" s="75">
        <f>VLOOKUP($A28,'Data Vlaue (Cr)'!$C:$FB,122)*100</f>
        <v>8.89</v>
      </c>
      <c r="R28" s="75">
        <f>VLOOKUP($A28,'Data Vlaue (Cr)'!$C:$FB,125)</f>
        <v>0.59</v>
      </c>
      <c r="S28" s="75">
        <f>VLOOKUP($A28,'Data Vlaue (Cr)'!$C:$FB,128)*100</f>
        <v>63.89</v>
      </c>
    </row>
    <row r="29" spans="1:19" x14ac:dyDescent="0.25">
      <c r="A29" s="96" t="str">
        <f>'Data Vlaue (Cr)'!C20</f>
        <v>AXISBANK</v>
      </c>
      <c r="B29" s="75">
        <f>VLOOKUP($A29,'Data Vlaue (Cr)'!$C:$FB,2)</f>
        <v>625</v>
      </c>
      <c r="C29" s="75">
        <f>VLOOKUP($A29,'Data Vlaue (Cr)'!$C:$FB,8)</f>
        <v>1229.8</v>
      </c>
      <c r="D29" s="75">
        <f>VLOOKUP($A29,'Data Vlaue (Cr)'!$C:$FB,4)</f>
        <v>1233</v>
      </c>
      <c r="E29" s="75">
        <f>VLOOKUP($A29,'Data Vlaue (Cr)'!$C:$FB,5)</f>
        <v>1228.5999999999999</v>
      </c>
      <c r="F29" s="75">
        <f t="shared" si="0"/>
        <v>3.2000000000000455</v>
      </c>
      <c r="G29" s="75">
        <f t="shared" si="1"/>
        <v>0.35685320356853939</v>
      </c>
      <c r="H29" s="75">
        <f>VLOOKUP($A29,'Data Vlaue (Cr)'!$C:$FB,99)</f>
        <v>15486</v>
      </c>
      <c r="I29" s="75">
        <f>VLOOKUP($A29,'Data Vlaue (Cr)'!$C:$FB,100)</f>
        <v>16024</v>
      </c>
      <c r="J29" s="75">
        <f t="shared" si="2"/>
        <v>-538</v>
      </c>
      <c r="K29" s="75">
        <f t="shared" si="3"/>
        <v>-3.4741056438073099</v>
      </c>
      <c r="L29" s="75">
        <f>VLOOKUP($A29,'Data Vlaue (Cr)'!$C:$FB,67)</f>
        <v>7294</v>
      </c>
      <c r="M29" s="75">
        <f>VLOOKUP($A29,'Data Vlaue (Cr)'!$C:$FB,68)</f>
        <v>12289</v>
      </c>
      <c r="N29" s="75">
        <f t="shared" si="4"/>
        <v>-4995</v>
      </c>
      <c r="O29" s="75">
        <f t="shared" si="5"/>
        <v>-68.480943241020015</v>
      </c>
      <c r="P29" s="75">
        <f>VLOOKUP($A29,'Data Vlaue (Cr)'!$C:$FB,119)</f>
        <v>0.46</v>
      </c>
      <c r="Q29" s="75">
        <f>VLOOKUP($A29,'Data Vlaue (Cr)'!$C:$FB,122)*100</f>
        <v>4.55</v>
      </c>
      <c r="R29" s="75">
        <f>VLOOKUP($A29,'Data Vlaue (Cr)'!$C:$FB,125)</f>
        <v>0.54</v>
      </c>
      <c r="S29" s="75">
        <f>VLOOKUP($A29,'Data Vlaue (Cr)'!$C:$FB,128)*100</f>
        <v>-18.18</v>
      </c>
    </row>
    <row r="30" spans="1:19" x14ac:dyDescent="0.25">
      <c r="A30" s="96" t="str">
        <f>'Data Vlaue (Cr)'!C21</f>
        <v>BAJAJ-AUTO</v>
      </c>
      <c r="B30" s="75">
        <f>VLOOKUP($A30,'Data Vlaue (Cr)'!$C:$FB,2)</f>
        <v>75</v>
      </c>
      <c r="C30" s="75">
        <f>VLOOKUP($A30,'Data Vlaue (Cr)'!$C:$FB,8)</f>
        <v>8831</v>
      </c>
      <c r="D30" s="75">
        <f>VLOOKUP($A30,'Data Vlaue (Cr)'!$C:$FB,4)</f>
        <v>8861</v>
      </c>
      <c r="E30" s="75">
        <f>VLOOKUP($A30,'Data Vlaue (Cr)'!$C:$FB,5)</f>
        <v>8924.5</v>
      </c>
      <c r="F30" s="75">
        <f t="shared" si="0"/>
        <v>30</v>
      </c>
      <c r="G30" s="75">
        <f t="shared" si="1"/>
        <v>-0.7166234059361245</v>
      </c>
      <c r="H30" s="75">
        <f>VLOOKUP($A30,'Data Vlaue (Cr)'!$C:$FB,99)</f>
        <v>6219</v>
      </c>
      <c r="I30" s="75">
        <f>VLOOKUP($A30,'Data Vlaue (Cr)'!$C:$FB,100)</f>
        <v>6134</v>
      </c>
      <c r="J30" s="75">
        <f t="shared" si="2"/>
        <v>85</v>
      </c>
      <c r="K30" s="75">
        <f t="shared" si="3"/>
        <v>1.3667792249557806</v>
      </c>
      <c r="L30" s="75">
        <f>VLOOKUP($A30,'Data Vlaue (Cr)'!$C:$FB,67)</f>
        <v>5110</v>
      </c>
      <c r="M30" s="75">
        <f>VLOOKUP($A30,'Data Vlaue (Cr)'!$C:$FB,68)</f>
        <v>3741</v>
      </c>
      <c r="N30" s="75">
        <f t="shared" si="4"/>
        <v>1369</v>
      </c>
      <c r="O30" s="75">
        <f t="shared" si="5"/>
        <v>26.790606653620351</v>
      </c>
      <c r="P30" s="75">
        <f>VLOOKUP($A30,'Data Vlaue (Cr)'!$C:$FB,119)</f>
        <v>0.51</v>
      </c>
      <c r="Q30" s="75">
        <f>VLOOKUP($A30,'Data Vlaue (Cr)'!$C:$FB,122)*100</f>
        <v>-3.7699999999999996</v>
      </c>
      <c r="R30" s="75">
        <f>VLOOKUP($A30,'Data Vlaue (Cr)'!$C:$FB,125)</f>
        <v>0.54</v>
      </c>
      <c r="S30" s="75">
        <f>VLOOKUP($A30,'Data Vlaue (Cr)'!$C:$FB,128)*100</f>
        <v>-26.029999999999998</v>
      </c>
    </row>
    <row r="31" spans="1:19" x14ac:dyDescent="0.25">
      <c r="A31" s="96" t="str">
        <f>'Data Vlaue (Cr)'!C22</f>
        <v>BAJAJFINSV</v>
      </c>
      <c r="B31" s="75">
        <f>VLOOKUP($A31,'Data Vlaue (Cr)'!$C:$FB,2)</f>
        <v>250</v>
      </c>
      <c r="C31" s="75">
        <f>VLOOKUP($A31,'Data Vlaue (Cr)'!$C:$FB,8)</f>
        <v>2026.3</v>
      </c>
      <c r="D31" s="75">
        <f>VLOOKUP($A31,'Data Vlaue (Cr)'!$C:$FB,4)</f>
        <v>2029.1</v>
      </c>
      <c r="E31" s="75">
        <f>VLOOKUP($A31,'Data Vlaue (Cr)'!$C:$FB,5)</f>
        <v>2025.9</v>
      </c>
      <c r="F31" s="75">
        <f t="shared" si="0"/>
        <v>2.7999999999999545</v>
      </c>
      <c r="G31" s="75">
        <f t="shared" si="1"/>
        <v>0.15770538662460296</v>
      </c>
      <c r="H31" s="75">
        <f>VLOOKUP($A31,'Data Vlaue (Cr)'!$C:$FB,99)</f>
        <v>5633</v>
      </c>
      <c r="I31" s="75">
        <f>VLOOKUP($A31,'Data Vlaue (Cr)'!$C:$FB,100)</f>
        <v>5642</v>
      </c>
      <c r="J31" s="75">
        <f t="shared" si="2"/>
        <v>-9</v>
      </c>
      <c r="K31" s="75">
        <f t="shared" si="3"/>
        <v>-0.15977276761938575</v>
      </c>
      <c r="L31" s="75">
        <f>VLOOKUP($A31,'Data Vlaue (Cr)'!$C:$FB,67)</f>
        <v>1445</v>
      </c>
      <c r="M31" s="75">
        <f>VLOOKUP($A31,'Data Vlaue (Cr)'!$C:$FB,68)</f>
        <v>1752</v>
      </c>
      <c r="N31" s="75">
        <f t="shared" si="4"/>
        <v>-307</v>
      </c>
      <c r="O31" s="75">
        <f t="shared" si="5"/>
        <v>-21.245674740484429</v>
      </c>
      <c r="P31" s="75">
        <f>VLOOKUP($A31,'Data Vlaue (Cr)'!$C:$FB,119)</f>
        <v>0.66</v>
      </c>
      <c r="Q31" s="75">
        <f>VLOOKUP($A31,'Data Vlaue (Cr)'!$C:$FB,122)*100</f>
        <v>1.54</v>
      </c>
      <c r="R31" s="75">
        <f>VLOOKUP($A31,'Data Vlaue (Cr)'!$C:$FB,125)</f>
        <v>0.48</v>
      </c>
      <c r="S31" s="75">
        <f>VLOOKUP($A31,'Data Vlaue (Cr)'!$C:$FB,128)*100</f>
        <v>-28.360000000000003</v>
      </c>
    </row>
    <row r="32" spans="1:19" x14ac:dyDescent="0.25">
      <c r="A32" s="96" t="str">
        <f>'Data Vlaue (Cr)'!C23</f>
        <v>BAJFINANCE</v>
      </c>
      <c r="B32" s="75">
        <f>VLOOKUP($A32,'Data Vlaue (Cr)'!$C:$FB,2)</f>
        <v>750</v>
      </c>
      <c r="C32" s="75">
        <f>VLOOKUP($A32,'Data Vlaue (Cr)'!$C:$FB,8)</f>
        <v>1000.3</v>
      </c>
      <c r="D32" s="75">
        <f>VLOOKUP($A32,'Data Vlaue (Cr)'!$C:$FB,4)</f>
        <v>1002.2</v>
      </c>
      <c r="E32" s="75">
        <f>VLOOKUP($A32,'Data Vlaue (Cr)'!$C:$FB,5)</f>
        <v>1003.1</v>
      </c>
      <c r="F32" s="75">
        <f t="shared" si="0"/>
        <v>1.9000000000000909</v>
      </c>
      <c r="G32" s="75">
        <f t="shared" si="1"/>
        <v>-8.9802434643781404E-2</v>
      </c>
      <c r="H32" s="75">
        <f>VLOOKUP($A32,'Data Vlaue (Cr)'!$C:$FB,99)</f>
        <v>13982</v>
      </c>
      <c r="I32" s="75">
        <f>VLOOKUP($A32,'Data Vlaue (Cr)'!$C:$FB,100)</f>
        <v>14013</v>
      </c>
      <c r="J32" s="75">
        <f t="shared" si="2"/>
        <v>-31</v>
      </c>
      <c r="K32" s="75">
        <f t="shared" si="3"/>
        <v>-0.22171363181233014</v>
      </c>
      <c r="L32" s="75">
        <f>VLOOKUP($A32,'Data Vlaue (Cr)'!$C:$FB,67)</f>
        <v>4441</v>
      </c>
      <c r="M32" s="75">
        <f>VLOOKUP($A32,'Data Vlaue (Cr)'!$C:$FB,68)</f>
        <v>4776</v>
      </c>
      <c r="N32" s="75">
        <f t="shared" si="4"/>
        <v>-335</v>
      </c>
      <c r="O32" s="75">
        <f t="shared" si="5"/>
        <v>-7.5433460932222474</v>
      </c>
      <c r="P32" s="75">
        <f>VLOOKUP($A32,'Data Vlaue (Cr)'!$C:$FB,119)</f>
        <v>0.59</v>
      </c>
      <c r="Q32" s="75">
        <f>VLOOKUP($A32,'Data Vlaue (Cr)'!$C:$FB,122)*100</f>
        <v>0</v>
      </c>
      <c r="R32" s="75">
        <f>VLOOKUP($A32,'Data Vlaue (Cr)'!$C:$FB,125)</f>
        <v>0.48</v>
      </c>
      <c r="S32" s="75">
        <f>VLOOKUP($A32,'Data Vlaue (Cr)'!$C:$FB,128)*100</f>
        <v>2.13</v>
      </c>
    </row>
    <row r="33" spans="1:19" x14ac:dyDescent="0.25">
      <c r="A33" s="96" t="str">
        <f>'Data Vlaue (Cr)'!C24</f>
        <v>BANDHANBNK</v>
      </c>
      <c r="B33" s="75">
        <f>VLOOKUP($A33,'Data Vlaue (Cr)'!$C:$FB,2)</f>
        <v>3600</v>
      </c>
      <c r="C33" s="75">
        <f>VLOOKUP($A33,'Data Vlaue (Cr)'!$C:$FB,8)</f>
        <v>145.33000000000001</v>
      </c>
      <c r="D33" s="75">
        <f>VLOOKUP($A33,'Data Vlaue (Cr)'!$C:$FB,4)</f>
        <v>146.09</v>
      </c>
      <c r="E33" s="75">
        <f>VLOOKUP($A33,'Data Vlaue (Cr)'!$C:$FB,5)</f>
        <v>148.63</v>
      </c>
      <c r="F33" s="75">
        <f t="shared" si="0"/>
        <v>0.75999999999999091</v>
      </c>
      <c r="G33" s="75">
        <f t="shared" si="1"/>
        <v>-1.7386542542268408</v>
      </c>
      <c r="H33" s="75">
        <f>VLOOKUP($A33,'Data Vlaue (Cr)'!$C:$FB,99)</f>
        <v>2662</v>
      </c>
      <c r="I33" s="75">
        <f>VLOOKUP($A33,'Data Vlaue (Cr)'!$C:$FB,100)</f>
        <v>2680</v>
      </c>
      <c r="J33" s="75">
        <f t="shared" si="2"/>
        <v>-18</v>
      </c>
      <c r="K33" s="75">
        <f t="shared" si="3"/>
        <v>-0.67618332081141996</v>
      </c>
      <c r="L33" s="75">
        <f>VLOOKUP($A33,'Data Vlaue (Cr)'!$C:$FB,67)</f>
        <v>41</v>
      </c>
      <c r="M33" s="75">
        <f>VLOOKUP($A33,'Data Vlaue (Cr)'!$C:$FB,68)</f>
        <v>34</v>
      </c>
      <c r="N33" s="75">
        <f t="shared" si="4"/>
        <v>7</v>
      </c>
      <c r="O33" s="75">
        <f t="shared" si="5"/>
        <v>17.073170731707318</v>
      </c>
      <c r="P33" s="75">
        <f>VLOOKUP($A33,'Data Vlaue (Cr)'!$C:$FB,119)</f>
        <v>0.69</v>
      </c>
      <c r="Q33" s="75">
        <f>VLOOKUP($A33,'Data Vlaue (Cr)'!$C:$FB,122)*100</f>
        <v>2.9899999999999998</v>
      </c>
      <c r="R33" s="75">
        <f>VLOOKUP($A33,'Data Vlaue (Cr)'!$C:$FB,125)</f>
        <v>0.26</v>
      </c>
      <c r="S33" s="75">
        <f>VLOOKUP($A33,'Data Vlaue (Cr)'!$C:$FB,128)*100</f>
        <v>62.5</v>
      </c>
    </row>
    <row r="34" spans="1:19" x14ac:dyDescent="0.25">
      <c r="A34" s="96" t="str">
        <f>'Data Vlaue (Cr)'!C25</f>
        <v>BANKBARODA</v>
      </c>
      <c r="B34" s="75">
        <f>VLOOKUP($A34,'Data Vlaue (Cr)'!$C:$FB,2)</f>
        <v>2925</v>
      </c>
      <c r="C34" s="75">
        <f>VLOOKUP($A34,'Data Vlaue (Cr)'!$C:$FB,8)</f>
        <v>288.10000000000002</v>
      </c>
      <c r="D34" s="75">
        <f>VLOOKUP($A34,'Data Vlaue (Cr)'!$C:$FB,4)</f>
        <v>288.3</v>
      </c>
      <c r="E34" s="75">
        <f>VLOOKUP($A34,'Data Vlaue (Cr)'!$C:$FB,5)</f>
        <v>288.14999999999998</v>
      </c>
      <c r="F34" s="75">
        <f t="shared" si="0"/>
        <v>0.19999999999998863</v>
      </c>
      <c r="G34" s="75">
        <f t="shared" si="1"/>
        <v>5.2029136316348971E-2</v>
      </c>
      <c r="H34" s="180">
        <f>VLOOKUP($A34,'Data Vlaue (Cr)'!$C:$FB,99)</f>
        <v>5035</v>
      </c>
      <c r="I34" s="180">
        <f>VLOOKUP($A34,'Data Vlaue (Cr)'!$C:$FB,100)</f>
        <v>5142</v>
      </c>
      <c r="J34" s="180">
        <f t="shared" si="2"/>
        <v>-107</v>
      </c>
      <c r="K34" s="180">
        <f t="shared" si="3"/>
        <v>-2.1251241310824232</v>
      </c>
      <c r="L34" s="180">
        <f>VLOOKUP($A34,'Data Vlaue (Cr)'!$C:$FB,67)</f>
        <v>2494</v>
      </c>
      <c r="M34" s="180">
        <f>VLOOKUP($A34,'Data Vlaue (Cr)'!$C:$FB,68)</f>
        <v>3525</v>
      </c>
      <c r="N34" s="180">
        <f t="shared" si="4"/>
        <v>-1031</v>
      </c>
      <c r="O34" s="180">
        <f t="shared" si="5"/>
        <v>-41.339214113873297</v>
      </c>
      <c r="P34" s="180">
        <f>VLOOKUP($A34,'Data Vlaue (Cr)'!$C:$FB,119)</f>
        <v>0.82</v>
      </c>
      <c r="Q34" s="180">
        <f>VLOOKUP($A34,'Data Vlaue (Cr)'!$C:$FB,122)*100</f>
        <v>3.8</v>
      </c>
      <c r="R34" s="180">
        <f>VLOOKUP($A34,'Data Vlaue (Cr)'!$C:$FB,125)</f>
        <v>0.56000000000000005</v>
      </c>
      <c r="S34" s="180">
        <f>VLOOKUP($A34,'Data Vlaue (Cr)'!$C:$FB,128)*100</f>
        <v>7.6899999999999995</v>
      </c>
    </row>
    <row r="35" spans="1:19" x14ac:dyDescent="0.25">
      <c r="A35" s="96" t="str">
        <f>'Data Vlaue (Cr)'!C26</f>
        <v>BANKINDIA</v>
      </c>
      <c r="B35" s="75">
        <f>VLOOKUP($A35,'Data Vlaue (Cr)'!$C:$FB,2)</f>
        <v>5200</v>
      </c>
      <c r="C35" s="75">
        <f>VLOOKUP($A35,'Data Vlaue (Cr)'!$C:$FB,8)</f>
        <v>142.30000000000001</v>
      </c>
      <c r="D35" s="75">
        <f>VLOOKUP($A35,'Data Vlaue (Cr)'!$C:$FB,4)</f>
        <v>142.37</v>
      </c>
      <c r="E35" s="75">
        <f>VLOOKUP($A35,'Data Vlaue (Cr)'!$C:$FB,5)</f>
        <v>142.44</v>
      </c>
      <c r="F35" s="75">
        <f t="shared" si="0"/>
        <v>6.9999999999993179E-2</v>
      </c>
      <c r="G35" s="75">
        <f t="shared" si="1"/>
        <v>-4.9167661726482535E-2</v>
      </c>
      <c r="H35" s="75">
        <f>VLOOKUP($A35,'Data Vlaue (Cr)'!$C:$FB,99)</f>
        <v>1386</v>
      </c>
      <c r="I35" s="75">
        <f>VLOOKUP($A35,'Data Vlaue (Cr)'!$C:$FB,100)</f>
        <v>1391</v>
      </c>
      <c r="J35" s="75">
        <f t="shared" si="2"/>
        <v>-5</v>
      </c>
      <c r="K35" s="75">
        <f t="shared" si="3"/>
        <v>-0.36075036075036077</v>
      </c>
      <c r="L35" s="75">
        <f>VLOOKUP($A35,'Data Vlaue (Cr)'!$C:$FB,67)</f>
        <v>456</v>
      </c>
      <c r="M35" s="75">
        <f>VLOOKUP($A35,'Data Vlaue (Cr)'!$C:$FB,68)</f>
        <v>810</v>
      </c>
      <c r="N35" s="75">
        <f t="shared" si="4"/>
        <v>-354</v>
      </c>
      <c r="O35" s="75">
        <f t="shared" si="5"/>
        <v>-77.631578947368425</v>
      </c>
      <c r="P35" s="75">
        <f>VLOOKUP($A35,'Data Vlaue (Cr)'!$C:$FB,119)</f>
        <v>0.75</v>
      </c>
      <c r="Q35" s="75">
        <f>VLOOKUP($A35,'Data Vlaue (Cr)'!$C:$FB,122)*100</f>
        <v>4.17</v>
      </c>
      <c r="R35" s="75">
        <f>VLOOKUP($A35,'Data Vlaue (Cr)'!$C:$FB,125)</f>
        <v>0.73</v>
      </c>
      <c r="S35" s="75">
        <f>VLOOKUP($A35,'Data Vlaue (Cr)'!$C:$FB,128)*100</f>
        <v>102.78</v>
      </c>
    </row>
    <row r="36" spans="1:19" x14ac:dyDescent="0.25">
      <c r="A36" s="96" t="str">
        <f>'Data Vlaue (Cr)'!C27</f>
        <v>BANKNIFTY</v>
      </c>
      <c r="B36" s="75">
        <f>VLOOKUP($A36,'Data Vlaue (Cr)'!$C:$FB,2)</f>
        <v>35</v>
      </c>
      <c r="C36" s="75">
        <f>VLOOKUP($A36,'Data Vlaue (Cr)'!$C:$FB,8)</f>
        <v>58912.85</v>
      </c>
      <c r="D36" s="75">
        <f>VLOOKUP($A36,'Data Vlaue (Cr)'!$C:$FB,4)</f>
        <v>59074.2</v>
      </c>
      <c r="E36" s="75">
        <f>VLOOKUP($A36,'Data Vlaue (Cr)'!$C:$FB,5)</f>
        <v>59146.8</v>
      </c>
      <c r="F36" s="75">
        <f t="shared" si="0"/>
        <v>161.34999999999854</v>
      </c>
      <c r="G36" s="75">
        <f t="shared" si="1"/>
        <v>-0.12289628975086556</v>
      </c>
      <c r="H36" s="75">
        <f>VLOOKUP($A36,'Data Vlaue (Cr)'!$C:$FB,99)</f>
        <v>254310</v>
      </c>
      <c r="I36" s="75">
        <f>VLOOKUP($A36,'Data Vlaue (Cr)'!$C:$FB,100)</f>
        <v>247205</v>
      </c>
      <c r="J36" s="75">
        <f t="shared" si="2"/>
        <v>7105</v>
      </c>
      <c r="K36" s="75">
        <f t="shared" si="3"/>
        <v>2.7938342967244703</v>
      </c>
      <c r="L36" s="75">
        <f>VLOOKUP($A36,'Data Vlaue (Cr)'!$C:$FB,67)</f>
        <v>699195</v>
      </c>
      <c r="M36" s="75">
        <f>VLOOKUP($A36,'Data Vlaue (Cr)'!$C:$FB,68)</f>
        <v>579947</v>
      </c>
      <c r="N36" s="75">
        <f t="shared" si="4"/>
        <v>119248</v>
      </c>
      <c r="O36" s="75">
        <f t="shared" si="5"/>
        <v>17.055041869578584</v>
      </c>
      <c r="P36" s="75">
        <f>VLOOKUP($A36,'Data Vlaue (Cr)'!$C:$FB,119)</f>
        <v>0.75</v>
      </c>
      <c r="Q36" s="75">
        <f>VLOOKUP($A36,'Data Vlaue (Cr)'!$C:$FB,122)*100</f>
        <v>0</v>
      </c>
      <c r="R36" s="75">
        <f>VLOOKUP($A36,'Data Vlaue (Cr)'!$C:$FB,125)</f>
        <v>0.92</v>
      </c>
      <c r="S36" s="75">
        <f>VLOOKUP($A36,'Data Vlaue (Cr)'!$C:$FB,128)*100</f>
        <v>-4.17</v>
      </c>
    </row>
    <row r="37" spans="1:19" x14ac:dyDescent="0.25">
      <c r="A37" s="96" t="str">
        <f>'Data Vlaue (Cr)'!C28</f>
        <v>BDL</v>
      </c>
      <c r="B37" s="75">
        <f>VLOOKUP($A37,'Data Vlaue (Cr)'!$C:$FB,2)</f>
        <v>325</v>
      </c>
      <c r="C37" s="75">
        <f>VLOOKUP($A37,'Data Vlaue (Cr)'!$C:$FB,8)</f>
        <v>1342.5</v>
      </c>
      <c r="D37" s="75">
        <f>VLOOKUP($A37,'Data Vlaue (Cr)'!$C:$FB,4)</f>
        <v>1343.4</v>
      </c>
      <c r="E37" s="75">
        <f>VLOOKUP($A37,'Data Vlaue (Cr)'!$C:$FB,5)</f>
        <v>1328</v>
      </c>
      <c r="F37" s="75">
        <f t="shared" si="0"/>
        <v>0.90000000000009095</v>
      </c>
      <c r="G37" s="75">
        <f t="shared" si="1"/>
        <v>1.1463450945362581</v>
      </c>
      <c r="H37" s="75">
        <f>VLOOKUP($A37,'Data Vlaue (Cr)'!$C:$FB,99)</f>
        <v>2038</v>
      </c>
      <c r="I37" s="75">
        <f>VLOOKUP($A37,'Data Vlaue (Cr)'!$C:$FB,100)</f>
        <v>2049</v>
      </c>
      <c r="J37" s="75">
        <f t="shared" si="2"/>
        <v>-11</v>
      </c>
      <c r="K37" s="75">
        <f t="shared" si="3"/>
        <v>-0.53974484789008836</v>
      </c>
      <c r="L37" s="75">
        <f>VLOOKUP($A37,'Data Vlaue (Cr)'!$C:$FB,67)</f>
        <v>2346</v>
      </c>
      <c r="M37" s="75">
        <f>VLOOKUP($A37,'Data Vlaue (Cr)'!$C:$FB,68)</f>
        <v>2353</v>
      </c>
      <c r="N37" s="75">
        <f t="shared" si="4"/>
        <v>-7</v>
      </c>
      <c r="O37" s="75">
        <f t="shared" si="5"/>
        <v>-0.29838022165387895</v>
      </c>
      <c r="P37" s="75">
        <f>VLOOKUP($A37,'Data Vlaue (Cr)'!$C:$FB,119)</f>
        <v>0.4</v>
      </c>
      <c r="Q37" s="75">
        <f>VLOOKUP($A37,'Data Vlaue (Cr)'!$C:$FB,122)*100</f>
        <v>0</v>
      </c>
      <c r="R37" s="75">
        <f>VLOOKUP($A37,'Data Vlaue (Cr)'!$C:$FB,125)</f>
        <v>0.49</v>
      </c>
      <c r="S37" s="75">
        <f>VLOOKUP($A37,'Data Vlaue (Cr)'!$C:$FB,128)*100</f>
        <v>-22.220000000000002</v>
      </c>
    </row>
    <row r="38" spans="1:19" x14ac:dyDescent="0.25">
      <c r="A38" s="96" t="str">
        <f>'Data Vlaue (Cr)'!C29</f>
        <v>BEL</v>
      </c>
      <c r="B38" s="75">
        <f>VLOOKUP($A38,'Data Vlaue (Cr)'!$C:$FB,2)</f>
        <v>1425</v>
      </c>
      <c r="C38" s="75">
        <f>VLOOKUP($A38,'Data Vlaue (Cr)'!$C:$FB,8)</f>
        <v>383.45</v>
      </c>
      <c r="D38" s="75">
        <f>VLOOKUP($A38,'Data Vlaue (Cr)'!$C:$FB,4)</f>
        <v>384.35</v>
      </c>
      <c r="E38" s="75">
        <f>VLOOKUP($A38,'Data Vlaue (Cr)'!$C:$FB,5)</f>
        <v>386.85</v>
      </c>
      <c r="F38" s="75">
        <f t="shared" si="0"/>
        <v>0.90000000000003411</v>
      </c>
      <c r="G38" s="75">
        <f t="shared" si="1"/>
        <v>-0.65044880967867824</v>
      </c>
      <c r="H38" s="75">
        <f>VLOOKUP($A38,'Data Vlaue (Cr)'!$C:$FB,99)</f>
        <v>9930</v>
      </c>
      <c r="I38" s="75">
        <f>VLOOKUP($A38,'Data Vlaue (Cr)'!$C:$FB,100)</f>
        <v>9929</v>
      </c>
      <c r="J38" s="75">
        <f t="shared" si="2"/>
        <v>1</v>
      </c>
      <c r="K38" s="75">
        <f t="shared" si="3"/>
        <v>1.0070493454179255E-2</v>
      </c>
      <c r="L38" s="75">
        <f>VLOOKUP($A38,'Data Vlaue (Cr)'!$C:$FB,67)</f>
        <v>5689</v>
      </c>
      <c r="M38" s="75">
        <f>VLOOKUP($A38,'Data Vlaue (Cr)'!$C:$FB,68)</f>
        <v>4051</v>
      </c>
      <c r="N38" s="75">
        <f t="shared" si="4"/>
        <v>1638</v>
      </c>
      <c r="O38" s="75">
        <f t="shared" si="5"/>
        <v>28.792406398312529</v>
      </c>
      <c r="P38" s="75">
        <f>VLOOKUP($A38,'Data Vlaue (Cr)'!$C:$FB,119)</f>
        <v>0.46</v>
      </c>
      <c r="Q38" s="75">
        <f>VLOOKUP($A38,'Data Vlaue (Cr)'!$C:$FB,122)*100</f>
        <v>0</v>
      </c>
      <c r="R38" s="75">
        <f>VLOOKUP($A38,'Data Vlaue (Cr)'!$C:$FB,125)</f>
        <v>0.48</v>
      </c>
      <c r="S38" s="75">
        <f>VLOOKUP($A38,'Data Vlaue (Cr)'!$C:$FB,128)*100</f>
        <v>23.080000000000002</v>
      </c>
    </row>
    <row r="39" spans="1:19" x14ac:dyDescent="0.25">
      <c r="A39" s="96" t="str">
        <f>'Data Vlaue (Cr)'!C30</f>
        <v>BHARATFORG</v>
      </c>
      <c r="B39" s="75">
        <f>VLOOKUP($A39,'Data Vlaue (Cr)'!$C:$FB,2)</f>
        <v>500</v>
      </c>
      <c r="C39" s="75">
        <f>VLOOKUP($A39,'Data Vlaue (Cr)'!$C:$FB,8)</f>
        <v>1407.5</v>
      </c>
      <c r="D39" s="75">
        <f>VLOOKUP($A39,'Data Vlaue (Cr)'!$C:$FB,4)</f>
        <v>1409.8</v>
      </c>
      <c r="E39" s="75">
        <f>VLOOKUP($A39,'Data Vlaue (Cr)'!$C:$FB,5)</f>
        <v>1417.3</v>
      </c>
      <c r="F39" s="75">
        <f t="shared" si="0"/>
        <v>2.2999999999999545</v>
      </c>
      <c r="G39" s="75">
        <f t="shared" si="1"/>
        <v>-0.5319903532415946</v>
      </c>
      <c r="H39" s="75">
        <f>VLOOKUP($A39,'Data Vlaue (Cr)'!$C:$FB,99)</f>
        <v>1950</v>
      </c>
      <c r="I39" s="75">
        <f>VLOOKUP($A39,'Data Vlaue (Cr)'!$C:$FB,100)</f>
        <v>1942</v>
      </c>
      <c r="J39" s="75">
        <f t="shared" si="2"/>
        <v>8</v>
      </c>
      <c r="K39" s="75">
        <f t="shared" si="3"/>
        <v>0.41025641025641024</v>
      </c>
      <c r="L39" s="75">
        <f>VLOOKUP($A39,'Data Vlaue (Cr)'!$C:$FB,67)</f>
        <v>1008</v>
      </c>
      <c r="M39" s="75">
        <f>VLOOKUP($A39,'Data Vlaue (Cr)'!$C:$FB,68)</f>
        <v>939</v>
      </c>
      <c r="N39" s="75">
        <f t="shared" si="4"/>
        <v>69</v>
      </c>
      <c r="O39" s="75">
        <f t="shared" si="5"/>
        <v>6.8452380952380958</v>
      </c>
      <c r="P39" s="75">
        <f>VLOOKUP($A39,'Data Vlaue (Cr)'!$C:$FB,119)</f>
        <v>0.63</v>
      </c>
      <c r="Q39" s="75">
        <f>VLOOKUP($A39,'Data Vlaue (Cr)'!$C:$FB,122)*100</f>
        <v>1.6099999999999999</v>
      </c>
      <c r="R39" s="75">
        <f>VLOOKUP($A39,'Data Vlaue (Cr)'!$C:$FB,125)</f>
        <v>0.74</v>
      </c>
      <c r="S39" s="75">
        <f>VLOOKUP($A39,'Data Vlaue (Cr)'!$C:$FB,128)*100</f>
        <v>68.179999999999993</v>
      </c>
    </row>
    <row r="40" spans="1:19" x14ac:dyDescent="0.25">
      <c r="A40" s="96" t="str">
        <f>'Data Vlaue (Cr)'!C31</f>
        <v>BHARTIARTL</v>
      </c>
      <c r="B40" s="75">
        <f>VLOOKUP($A40,'Data Vlaue (Cr)'!$C:$FB,2)</f>
        <v>475</v>
      </c>
      <c r="C40" s="75">
        <f>VLOOKUP($A40,'Data Vlaue (Cr)'!$C:$FB,8)</f>
        <v>2092</v>
      </c>
      <c r="D40" s="75">
        <f>VLOOKUP($A40,'Data Vlaue (Cr)'!$C:$FB,4)</f>
        <v>2095.1999999999998</v>
      </c>
      <c r="E40" s="75">
        <f>VLOOKUP($A40,'Data Vlaue (Cr)'!$C:$FB,5)</f>
        <v>2109.1</v>
      </c>
      <c r="F40" s="75">
        <f t="shared" si="0"/>
        <v>3.1999999999998181</v>
      </c>
      <c r="G40" s="75">
        <f t="shared" si="1"/>
        <v>-0.6634211531118791</v>
      </c>
      <c r="H40" s="75">
        <f>VLOOKUP($A40,'Data Vlaue (Cr)'!$C:$FB,99)</f>
        <v>15870</v>
      </c>
      <c r="I40" s="75">
        <f>VLOOKUP($A40,'Data Vlaue (Cr)'!$C:$FB,100)</f>
        <v>15802</v>
      </c>
      <c r="J40" s="75">
        <f t="shared" si="2"/>
        <v>68</v>
      </c>
      <c r="K40" s="75">
        <f t="shared" si="3"/>
        <v>0.42848141146817897</v>
      </c>
      <c r="L40" s="75">
        <f>VLOOKUP($A40,'Data Vlaue (Cr)'!$C:$FB,67)</f>
        <v>6503</v>
      </c>
      <c r="M40" s="75">
        <f>VLOOKUP($A40,'Data Vlaue (Cr)'!$C:$FB,68)</f>
        <v>7799</v>
      </c>
      <c r="N40" s="75">
        <f t="shared" si="4"/>
        <v>-1296</v>
      </c>
      <c r="O40" s="75">
        <f t="shared" si="5"/>
        <v>-19.929263416884517</v>
      </c>
      <c r="P40" s="75">
        <f>VLOOKUP($A40,'Data Vlaue (Cr)'!$C:$FB,119)</f>
        <v>0.49</v>
      </c>
      <c r="Q40" s="75">
        <f>VLOOKUP($A40,'Data Vlaue (Cr)'!$C:$FB,122)*100</f>
        <v>-2</v>
      </c>
      <c r="R40" s="75">
        <f>VLOOKUP($A40,'Data Vlaue (Cr)'!$C:$FB,125)</f>
        <v>0.52</v>
      </c>
      <c r="S40" s="75">
        <f>VLOOKUP($A40,'Data Vlaue (Cr)'!$C:$FB,128)*100</f>
        <v>1.96</v>
      </c>
    </row>
    <row r="41" spans="1:19" x14ac:dyDescent="0.25">
      <c r="A41" s="96" t="str">
        <f>'Data Vlaue (Cr)'!C32</f>
        <v>BHEL</v>
      </c>
      <c r="B41" s="75">
        <f>VLOOKUP($A41,'Data Vlaue (Cr)'!$C:$FB,2)</f>
        <v>2625</v>
      </c>
      <c r="C41" s="75">
        <f>VLOOKUP($A41,'Data Vlaue (Cr)'!$C:$FB,8)</f>
        <v>275.05</v>
      </c>
      <c r="D41" s="75">
        <f>VLOOKUP($A41,'Data Vlaue (Cr)'!$C:$FB,4)</f>
        <v>275.5</v>
      </c>
      <c r="E41" s="75">
        <f>VLOOKUP($A41,'Data Vlaue (Cr)'!$C:$FB,5)</f>
        <v>278.75</v>
      </c>
      <c r="F41" s="75">
        <f t="shared" si="0"/>
        <v>0.44999999999998863</v>
      </c>
      <c r="G41" s="75">
        <f t="shared" si="1"/>
        <v>-1.1796733212341199</v>
      </c>
      <c r="H41" s="75">
        <f>VLOOKUP($A41,'Data Vlaue (Cr)'!$C:$FB,99)</f>
        <v>3949</v>
      </c>
      <c r="I41" s="75">
        <f>VLOOKUP($A41,'Data Vlaue (Cr)'!$C:$FB,100)</f>
        <v>3876</v>
      </c>
      <c r="J41" s="75">
        <f t="shared" si="2"/>
        <v>73</v>
      </c>
      <c r="K41" s="75">
        <f t="shared" si="3"/>
        <v>1.8485692580400102</v>
      </c>
      <c r="L41" s="75">
        <f>VLOOKUP($A41,'Data Vlaue (Cr)'!$C:$FB,67)</f>
        <v>2727</v>
      </c>
      <c r="M41" s="75">
        <f>VLOOKUP($A41,'Data Vlaue (Cr)'!$C:$FB,68)</f>
        <v>1672</v>
      </c>
      <c r="N41" s="75">
        <f t="shared" si="4"/>
        <v>1055</v>
      </c>
      <c r="O41" s="75">
        <f t="shared" si="5"/>
        <v>38.687202053538691</v>
      </c>
      <c r="P41" s="75">
        <f>VLOOKUP($A41,'Data Vlaue (Cr)'!$C:$FB,119)</f>
        <v>0.46</v>
      </c>
      <c r="Q41" s="75">
        <f>VLOOKUP($A41,'Data Vlaue (Cr)'!$C:$FB,122)*100</f>
        <v>-4.17</v>
      </c>
      <c r="R41" s="75">
        <f>VLOOKUP($A41,'Data Vlaue (Cr)'!$C:$FB,125)</f>
        <v>0.46</v>
      </c>
      <c r="S41" s="75">
        <f>VLOOKUP($A41,'Data Vlaue (Cr)'!$C:$FB,128)*100</f>
        <v>43.75</v>
      </c>
    </row>
    <row r="42" spans="1:19" x14ac:dyDescent="0.25">
      <c r="A42" s="96" t="str">
        <f>'Data Vlaue (Cr)'!C33</f>
        <v>BIOCON</v>
      </c>
      <c r="B42" s="75">
        <f>VLOOKUP($A42,'Data Vlaue (Cr)'!$C:$FB,2)</f>
        <v>2500</v>
      </c>
      <c r="C42" s="75">
        <f>VLOOKUP($A42,'Data Vlaue (Cr)'!$C:$FB,8)</f>
        <v>392.25</v>
      </c>
      <c r="D42" s="75">
        <f>VLOOKUP($A42,'Data Vlaue (Cr)'!$C:$FB,4)</f>
        <v>393.55</v>
      </c>
      <c r="E42" s="75">
        <f>VLOOKUP($A42,'Data Vlaue (Cr)'!$C:$FB,5)</f>
        <v>386.85</v>
      </c>
      <c r="F42" s="75">
        <f t="shared" si="0"/>
        <v>1.3000000000000114</v>
      </c>
      <c r="G42" s="75">
        <f t="shared" si="1"/>
        <v>1.7024520391309843</v>
      </c>
      <c r="H42" s="75">
        <f>VLOOKUP($A42,'Data Vlaue (Cr)'!$C:$FB,99)</f>
        <v>3741</v>
      </c>
      <c r="I42" s="75">
        <f>VLOOKUP($A42,'Data Vlaue (Cr)'!$C:$FB,100)</f>
        <v>3866</v>
      </c>
      <c r="J42" s="75">
        <f t="shared" si="2"/>
        <v>-125</v>
      </c>
      <c r="K42" s="75">
        <f t="shared" si="3"/>
        <v>-3.3413525795241914</v>
      </c>
      <c r="L42" s="75">
        <f>VLOOKUP($A42,'Data Vlaue (Cr)'!$C:$FB,67)</f>
        <v>2657</v>
      </c>
      <c r="M42" s="75">
        <f>VLOOKUP($A42,'Data Vlaue (Cr)'!$C:$FB,68)</f>
        <v>1116</v>
      </c>
      <c r="N42" s="75">
        <f t="shared" si="4"/>
        <v>1541</v>
      </c>
      <c r="O42" s="75">
        <f t="shared" si="5"/>
        <v>57.997741814076022</v>
      </c>
      <c r="P42" s="75">
        <f>VLOOKUP($A42,'Data Vlaue (Cr)'!$C:$FB,119)</f>
        <v>0.52</v>
      </c>
      <c r="Q42" s="75">
        <f>VLOOKUP($A42,'Data Vlaue (Cr)'!$C:$FB,122)*100</f>
        <v>1.96</v>
      </c>
      <c r="R42" s="75">
        <f>VLOOKUP($A42,'Data Vlaue (Cr)'!$C:$FB,125)</f>
        <v>0.45</v>
      </c>
      <c r="S42" s="75">
        <f>VLOOKUP($A42,'Data Vlaue (Cr)'!$C:$FB,128)*100</f>
        <v>32.35</v>
      </c>
    </row>
    <row r="43" spans="1:19" x14ac:dyDescent="0.25">
      <c r="A43" s="96" t="str">
        <f>'Data Vlaue (Cr)'!C34</f>
        <v>BLUESTARCO</v>
      </c>
      <c r="B43" s="75">
        <f>VLOOKUP($A43,'Data Vlaue (Cr)'!$C:$FB,2)</f>
        <v>325</v>
      </c>
      <c r="C43" s="75">
        <f>VLOOKUP($A43,'Data Vlaue (Cr)'!$C:$FB,8)</f>
        <v>1854.6</v>
      </c>
      <c r="D43" s="75">
        <f>VLOOKUP($A43,'Data Vlaue (Cr)'!$C:$FB,4)</f>
        <v>1855.3</v>
      </c>
      <c r="E43" s="75">
        <f>VLOOKUP($A43,'Data Vlaue (Cr)'!$C:$FB,5)</f>
        <v>1825.9</v>
      </c>
      <c r="F43" s="75">
        <f t="shared" si="0"/>
        <v>0.70000000000004547</v>
      </c>
      <c r="G43" s="75">
        <f t="shared" si="1"/>
        <v>1.5846493828491275</v>
      </c>
      <c r="H43" s="75">
        <f>VLOOKUP($A43,'Data Vlaue (Cr)'!$C:$FB,99)</f>
        <v>679</v>
      </c>
      <c r="I43" s="75">
        <f>VLOOKUP($A43,'Data Vlaue (Cr)'!$C:$FB,100)</f>
        <v>678</v>
      </c>
      <c r="J43" s="75">
        <f t="shared" si="2"/>
        <v>1</v>
      </c>
      <c r="K43" s="75">
        <f t="shared" si="3"/>
        <v>0.14727540500736377</v>
      </c>
      <c r="L43" s="75">
        <f>VLOOKUP($A43,'Data Vlaue (Cr)'!$C:$FB,67)</f>
        <v>629</v>
      </c>
      <c r="M43" s="75">
        <f>VLOOKUP($A43,'Data Vlaue (Cr)'!$C:$FB,68)</f>
        <v>284</v>
      </c>
      <c r="N43" s="75">
        <f t="shared" si="4"/>
        <v>345</v>
      </c>
      <c r="O43" s="75">
        <f t="shared" si="5"/>
        <v>54.848966613672502</v>
      </c>
      <c r="P43" s="75">
        <f>VLOOKUP($A43,'Data Vlaue (Cr)'!$C:$FB,119)</f>
        <v>0.95</v>
      </c>
      <c r="Q43" s="75">
        <f>VLOOKUP($A43,'Data Vlaue (Cr)'!$C:$FB,122)*100</f>
        <v>35.709999999999994</v>
      </c>
      <c r="R43" s="75">
        <f>VLOOKUP($A43,'Data Vlaue (Cr)'!$C:$FB,125)</f>
        <v>0.65</v>
      </c>
      <c r="S43" s="75">
        <f>VLOOKUP($A43,'Data Vlaue (Cr)'!$C:$FB,128)*100</f>
        <v>182.61</v>
      </c>
    </row>
    <row r="44" spans="1:19" x14ac:dyDescent="0.25">
      <c r="A44" s="96" t="str">
        <f>'Data Vlaue (Cr)'!C35</f>
        <v>BOSCHLTD</v>
      </c>
      <c r="B44" s="75">
        <f>VLOOKUP($A44,'Data Vlaue (Cr)'!$C:$FB,2)</f>
        <v>25</v>
      </c>
      <c r="C44" s="75">
        <f>VLOOKUP($A44,'Data Vlaue (Cr)'!$C:$FB,8)</f>
        <v>35720</v>
      </c>
      <c r="D44" s="75">
        <f>VLOOKUP($A44,'Data Vlaue (Cr)'!$C:$FB,4)</f>
        <v>35745</v>
      </c>
      <c r="E44" s="75">
        <f>VLOOKUP($A44,'Data Vlaue (Cr)'!$C:$FB,5)</f>
        <v>36045</v>
      </c>
      <c r="F44" s="75">
        <f t="shared" si="0"/>
        <v>25</v>
      </c>
      <c r="G44" s="75">
        <f t="shared" si="1"/>
        <v>-0.83927822073017211</v>
      </c>
      <c r="H44" s="75">
        <f>VLOOKUP($A44,'Data Vlaue (Cr)'!$C:$FB,99)</f>
        <v>1254</v>
      </c>
      <c r="I44" s="75">
        <f>VLOOKUP($A44,'Data Vlaue (Cr)'!$C:$FB,100)</f>
        <v>1228</v>
      </c>
      <c r="J44" s="75">
        <f t="shared" si="2"/>
        <v>26</v>
      </c>
      <c r="K44" s="75">
        <f t="shared" si="3"/>
        <v>2.073365231259968</v>
      </c>
      <c r="L44" s="75">
        <f>VLOOKUP($A44,'Data Vlaue (Cr)'!$C:$FB,67)</f>
        <v>648</v>
      </c>
      <c r="M44" s="75">
        <f>VLOOKUP($A44,'Data Vlaue (Cr)'!$C:$FB,68)</f>
        <v>652</v>
      </c>
      <c r="N44" s="75">
        <f t="shared" si="4"/>
        <v>-4</v>
      </c>
      <c r="O44" s="75">
        <f t="shared" si="5"/>
        <v>-0.61728395061728392</v>
      </c>
      <c r="P44" s="75">
        <f>VLOOKUP($A44,'Data Vlaue (Cr)'!$C:$FB,119)</f>
        <v>0.43</v>
      </c>
      <c r="Q44" s="75">
        <f>VLOOKUP($A44,'Data Vlaue (Cr)'!$C:$FB,122)*100</f>
        <v>-10.42</v>
      </c>
      <c r="R44" s="75">
        <f>VLOOKUP($A44,'Data Vlaue (Cr)'!$C:$FB,125)</f>
        <v>0.2</v>
      </c>
      <c r="S44" s="75">
        <f>VLOOKUP($A44,'Data Vlaue (Cr)'!$C:$FB,128)*100</f>
        <v>33.33</v>
      </c>
    </row>
    <row r="45" spans="1:19" x14ac:dyDescent="0.25">
      <c r="A45" s="96" t="str">
        <f>'Data Vlaue (Cr)'!C36</f>
        <v>BPCL</v>
      </c>
      <c r="B45" s="75">
        <f>VLOOKUP($A45,'Data Vlaue (Cr)'!$C:$FB,2)</f>
        <v>1975</v>
      </c>
      <c r="C45" s="75">
        <f>VLOOKUP($A45,'Data Vlaue (Cr)'!$C:$FB,8)</f>
        <v>363.35</v>
      </c>
      <c r="D45" s="75">
        <f>VLOOKUP($A45,'Data Vlaue (Cr)'!$C:$FB,4)</f>
        <v>364.65</v>
      </c>
      <c r="E45" s="75">
        <f>VLOOKUP($A45,'Data Vlaue (Cr)'!$C:$FB,5)</f>
        <v>368.65</v>
      </c>
      <c r="F45" s="75">
        <f t="shared" si="0"/>
        <v>1.2999999999999545</v>
      </c>
      <c r="G45" s="75">
        <f t="shared" si="1"/>
        <v>-1.0969422734128618</v>
      </c>
      <c r="H45" s="75">
        <f>VLOOKUP($A45,'Data Vlaue (Cr)'!$C:$FB,99)</f>
        <v>2192</v>
      </c>
      <c r="I45" s="75">
        <f>VLOOKUP($A45,'Data Vlaue (Cr)'!$C:$FB,100)</f>
        <v>2179</v>
      </c>
      <c r="J45" s="75">
        <f t="shared" si="2"/>
        <v>13</v>
      </c>
      <c r="K45" s="75">
        <f t="shared" si="3"/>
        <v>0.59306569343065685</v>
      </c>
      <c r="L45" s="75">
        <f>VLOOKUP($A45,'Data Vlaue (Cr)'!$C:$FB,67)</f>
        <v>1223</v>
      </c>
      <c r="M45" s="75">
        <f>VLOOKUP($A45,'Data Vlaue (Cr)'!$C:$FB,68)</f>
        <v>2472</v>
      </c>
      <c r="N45" s="75">
        <f t="shared" si="4"/>
        <v>-1249</v>
      </c>
      <c r="O45" s="75">
        <f t="shared" si="5"/>
        <v>-102.12591986917417</v>
      </c>
      <c r="P45" s="75">
        <f>VLOOKUP($A45,'Data Vlaue (Cr)'!$C:$FB,119)</f>
        <v>0.56999999999999995</v>
      </c>
      <c r="Q45" s="75">
        <f>VLOOKUP($A45,'Data Vlaue (Cr)'!$C:$FB,122)*100</f>
        <v>0</v>
      </c>
      <c r="R45" s="75">
        <f>VLOOKUP($A45,'Data Vlaue (Cr)'!$C:$FB,125)</f>
        <v>0.42</v>
      </c>
      <c r="S45" s="75">
        <f>VLOOKUP($A45,'Data Vlaue (Cr)'!$C:$FB,128)*100</f>
        <v>55.559999999999995</v>
      </c>
    </row>
    <row r="46" spans="1:19" x14ac:dyDescent="0.25">
      <c r="A46" s="96" t="str">
        <f>'Data Vlaue (Cr)'!C37</f>
        <v>BRITANNIA</v>
      </c>
      <c r="B46" s="75">
        <f>VLOOKUP($A46,'Data Vlaue (Cr)'!$C:$FB,2)</f>
        <v>125</v>
      </c>
      <c r="C46" s="75">
        <f>VLOOKUP($A46,'Data Vlaue (Cr)'!$C:$FB,8)</f>
        <v>6040.5</v>
      </c>
      <c r="D46" s="75">
        <f>VLOOKUP($A46,'Data Vlaue (Cr)'!$C:$FB,4)</f>
        <v>6048.5</v>
      </c>
      <c r="E46" s="75">
        <f>VLOOKUP($A46,'Data Vlaue (Cr)'!$C:$FB,5)</f>
        <v>6100.5</v>
      </c>
      <c r="F46" s="75">
        <f t="shared" si="0"/>
        <v>8</v>
      </c>
      <c r="G46" s="75">
        <f t="shared" si="1"/>
        <v>-0.85971728527734148</v>
      </c>
      <c r="H46" s="75">
        <f>VLOOKUP($A46,'Data Vlaue (Cr)'!$C:$FB,99)</f>
        <v>2957</v>
      </c>
      <c r="I46" s="75">
        <f>VLOOKUP($A46,'Data Vlaue (Cr)'!$C:$FB,100)</f>
        <v>2886</v>
      </c>
      <c r="J46" s="75">
        <f t="shared" si="2"/>
        <v>71</v>
      </c>
      <c r="K46" s="75">
        <f t="shared" si="3"/>
        <v>2.4010821778829894</v>
      </c>
      <c r="L46" s="75">
        <f>VLOOKUP($A46,'Data Vlaue (Cr)'!$C:$FB,67)</f>
        <v>2400</v>
      </c>
      <c r="M46" s="75">
        <f>VLOOKUP($A46,'Data Vlaue (Cr)'!$C:$FB,68)</f>
        <v>1765</v>
      </c>
      <c r="N46" s="75">
        <f t="shared" si="4"/>
        <v>635</v>
      </c>
      <c r="O46" s="75">
        <f t="shared" si="5"/>
        <v>26.458333333333332</v>
      </c>
      <c r="P46" s="75">
        <f>VLOOKUP($A46,'Data Vlaue (Cr)'!$C:$FB,119)</f>
        <v>0.59</v>
      </c>
      <c r="Q46" s="75">
        <f>VLOOKUP($A46,'Data Vlaue (Cr)'!$C:$FB,122)*100</f>
        <v>-7.8100000000000005</v>
      </c>
      <c r="R46" s="75">
        <f>VLOOKUP($A46,'Data Vlaue (Cr)'!$C:$FB,125)</f>
        <v>0.36</v>
      </c>
      <c r="S46" s="75">
        <f>VLOOKUP($A46,'Data Vlaue (Cr)'!$C:$FB,128)*100</f>
        <v>0</v>
      </c>
    </row>
    <row r="47" spans="1:19" x14ac:dyDescent="0.25">
      <c r="A47" s="96" t="str">
        <f>'Data Vlaue (Cr)'!C38</f>
        <v>BSE</v>
      </c>
      <c r="B47" s="75">
        <f>VLOOKUP($A47,'Data Vlaue (Cr)'!$C:$FB,2)</f>
        <v>375</v>
      </c>
      <c r="C47" s="75">
        <f>VLOOKUP($A47,'Data Vlaue (Cr)'!$C:$FB,8)</f>
        <v>2682.9</v>
      </c>
      <c r="D47" s="75">
        <f>VLOOKUP($A47,'Data Vlaue (Cr)'!$C:$FB,4)</f>
        <v>2688.9</v>
      </c>
      <c r="E47" s="75">
        <f>VLOOKUP($A47,'Data Vlaue (Cr)'!$C:$FB,5)</f>
        <v>2633.5</v>
      </c>
      <c r="F47" s="75">
        <f t="shared" si="0"/>
        <v>6</v>
      </c>
      <c r="G47" s="75">
        <f t="shared" si="1"/>
        <v>2.0603220647848595</v>
      </c>
      <c r="H47" s="75">
        <f>VLOOKUP($A47,'Data Vlaue (Cr)'!$C:$FB,99)</f>
        <v>8600</v>
      </c>
      <c r="I47" s="75">
        <f>VLOOKUP($A47,'Data Vlaue (Cr)'!$C:$FB,100)</f>
        <v>9196</v>
      </c>
      <c r="J47" s="75">
        <f t="shared" si="2"/>
        <v>-596</v>
      </c>
      <c r="K47" s="75">
        <f t="shared" si="3"/>
        <v>-6.9302325581395348</v>
      </c>
      <c r="L47" s="75">
        <f>VLOOKUP($A47,'Data Vlaue (Cr)'!$C:$FB,67)</f>
        <v>13611</v>
      </c>
      <c r="M47" s="75">
        <f>VLOOKUP($A47,'Data Vlaue (Cr)'!$C:$FB,68)</f>
        <v>11437</v>
      </c>
      <c r="N47" s="75">
        <f t="shared" si="4"/>
        <v>2174</v>
      </c>
      <c r="O47" s="75">
        <f t="shared" si="5"/>
        <v>15.972375284696202</v>
      </c>
      <c r="P47" s="75">
        <f>VLOOKUP($A47,'Data Vlaue (Cr)'!$C:$FB,119)</f>
        <v>0.55000000000000004</v>
      </c>
      <c r="Q47" s="75">
        <f>VLOOKUP($A47,'Data Vlaue (Cr)'!$C:$FB,122)*100</f>
        <v>10</v>
      </c>
      <c r="R47" s="75">
        <f>VLOOKUP($A47,'Data Vlaue (Cr)'!$C:$FB,125)</f>
        <v>0.48</v>
      </c>
      <c r="S47" s="75">
        <f>VLOOKUP($A47,'Data Vlaue (Cr)'!$C:$FB,128)*100</f>
        <v>-9.43</v>
      </c>
    </row>
    <row r="48" spans="1:19" x14ac:dyDescent="0.25">
      <c r="A48" s="96" t="str">
        <f>'Data Vlaue (Cr)'!C39</f>
        <v>CAMS</v>
      </c>
      <c r="B48" s="75">
        <f>VLOOKUP($A48,'Data Vlaue (Cr)'!$C:$FB,2)</f>
        <v>750</v>
      </c>
      <c r="C48" s="75">
        <f>VLOOKUP($A48,'Data Vlaue (Cr)'!$C:$FB,8)</f>
        <v>752.3</v>
      </c>
      <c r="D48" s="75">
        <f>VLOOKUP($A48,'Data Vlaue (Cr)'!$C:$FB,4)</f>
        <v>754</v>
      </c>
      <c r="E48" s="75">
        <f>VLOOKUP($A48,'Data Vlaue (Cr)'!$C:$FB,5)</f>
        <v>735.2</v>
      </c>
      <c r="F48" s="75">
        <f t="shared" si="0"/>
        <v>1.7000000000000455</v>
      </c>
      <c r="G48" s="75">
        <f t="shared" si="1"/>
        <v>2.493368700265246</v>
      </c>
      <c r="H48" s="75">
        <f>VLOOKUP($A48,'Data Vlaue (Cr)'!$C:$FB,99)</f>
        <v>1459</v>
      </c>
      <c r="I48" s="75">
        <f>VLOOKUP($A48,'Data Vlaue (Cr)'!$C:$FB,100)</f>
        <v>1440</v>
      </c>
      <c r="J48" s="75">
        <f t="shared" si="2"/>
        <v>19</v>
      </c>
      <c r="K48" s="75">
        <f t="shared" si="3"/>
        <v>1.3022618231665526</v>
      </c>
      <c r="L48" s="75">
        <f>VLOOKUP($A48,'Data Vlaue (Cr)'!$C:$FB,67)</f>
        <v>1543</v>
      </c>
      <c r="M48" s="75">
        <f>VLOOKUP($A48,'Data Vlaue (Cr)'!$C:$FB,68)</f>
        <v>637</v>
      </c>
      <c r="N48" s="75">
        <f t="shared" si="4"/>
        <v>906</v>
      </c>
      <c r="O48" s="75">
        <f t="shared" si="5"/>
        <v>58.716785482825664</v>
      </c>
      <c r="P48" s="75">
        <f>VLOOKUP($A48,'Data Vlaue (Cr)'!$C:$FB,119)</f>
        <v>0.64</v>
      </c>
      <c r="Q48" s="75">
        <f>VLOOKUP($A48,'Data Vlaue (Cr)'!$C:$FB,122)*100</f>
        <v>-1.54</v>
      </c>
      <c r="R48" s="75">
        <f>VLOOKUP($A48,'Data Vlaue (Cr)'!$C:$FB,125)</f>
        <v>0.31</v>
      </c>
      <c r="S48" s="75">
        <f>VLOOKUP($A48,'Data Vlaue (Cr)'!$C:$FB,128)*100</f>
        <v>-67.02</v>
      </c>
    </row>
    <row r="49" spans="1:19" x14ac:dyDescent="0.25">
      <c r="A49" s="96" t="str">
        <f>'Data Vlaue (Cr)'!C40</f>
        <v>CANBK</v>
      </c>
      <c r="B49" s="75">
        <f>VLOOKUP($A49,'Data Vlaue (Cr)'!$C:$FB,2)</f>
        <v>6750</v>
      </c>
      <c r="C49" s="75">
        <f>VLOOKUP($A49,'Data Vlaue (Cr)'!$C:$FB,8)</f>
        <v>149.83000000000001</v>
      </c>
      <c r="D49" s="75">
        <f>VLOOKUP($A49,'Data Vlaue (Cr)'!$C:$FB,4)</f>
        <v>149.69999999999999</v>
      </c>
      <c r="E49" s="75">
        <f>VLOOKUP($A49,'Data Vlaue (Cr)'!$C:$FB,5)</f>
        <v>150.35</v>
      </c>
      <c r="F49" s="75">
        <f t="shared" si="0"/>
        <v>-0.13000000000002387</v>
      </c>
      <c r="G49" s="75">
        <f t="shared" si="1"/>
        <v>-0.43420173680695107</v>
      </c>
      <c r="H49" s="75">
        <f>VLOOKUP($A49,'Data Vlaue (Cr)'!$C:$FB,99)</f>
        <v>5199</v>
      </c>
      <c r="I49" s="75">
        <f>VLOOKUP($A49,'Data Vlaue (Cr)'!$C:$FB,100)</f>
        <v>5192</v>
      </c>
      <c r="J49" s="75">
        <f t="shared" si="2"/>
        <v>7</v>
      </c>
      <c r="K49" s="75">
        <f t="shared" si="3"/>
        <v>0.13464127716868629</v>
      </c>
      <c r="L49" s="75">
        <f>VLOOKUP($A49,'Data Vlaue (Cr)'!$C:$FB,67)</f>
        <v>3913</v>
      </c>
      <c r="M49" s="75">
        <f>VLOOKUP($A49,'Data Vlaue (Cr)'!$C:$FB,68)</f>
        <v>5906</v>
      </c>
      <c r="N49" s="75">
        <f t="shared" si="4"/>
        <v>-1993</v>
      </c>
      <c r="O49" s="75">
        <f t="shared" si="5"/>
        <v>-50.932788142090466</v>
      </c>
      <c r="P49" s="75">
        <f>VLOOKUP($A49,'Data Vlaue (Cr)'!$C:$FB,119)</f>
        <v>0.81</v>
      </c>
      <c r="Q49" s="75">
        <f>VLOOKUP($A49,'Data Vlaue (Cr)'!$C:$FB,122)*100</f>
        <v>-1.22</v>
      </c>
      <c r="R49" s="75">
        <f>VLOOKUP($A49,'Data Vlaue (Cr)'!$C:$FB,125)</f>
        <v>0.56999999999999995</v>
      </c>
      <c r="S49" s="75">
        <f>VLOOKUP($A49,'Data Vlaue (Cr)'!$C:$FB,128)*100</f>
        <v>16.329999999999998</v>
      </c>
    </row>
    <row r="50" spans="1:19" x14ac:dyDescent="0.25">
      <c r="A50" s="96" t="str">
        <f>'Data Vlaue (Cr)'!C41</f>
        <v>CDSL</v>
      </c>
      <c r="B50" s="75">
        <f>VLOOKUP($A50,'Data Vlaue (Cr)'!$C:$FB,2)</f>
        <v>475</v>
      </c>
      <c r="C50" s="75">
        <f>VLOOKUP($A50,'Data Vlaue (Cr)'!$C:$FB,8)</f>
        <v>1489.6</v>
      </c>
      <c r="D50" s="75">
        <f>VLOOKUP($A50,'Data Vlaue (Cr)'!$C:$FB,4)</f>
        <v>1490.8</v>
      </c>
      <c r="E50" s="75">
        <f>VLOOKUP($A50,'Data Vlaue (Cr)'!$C:$FB,5)</f>
        <v>1478.4</v>
      </c>
      <c r="F50" s="75">
        <f t="shared" si="0"/>
        <v>1.2000000000000455</v>
      </c>
      <c r="G50" s="75">
        <f t="shared" si="1"/>
        <v>0.83176817815936843</v>
      </c>
      <c r="H50" s="75">
        <f>VLOOKUP($A50,'Data Vlaue (Cr)'!$C:$FB,99)</f>
        <v>3973</v>
      </c>
      <c r="I50" s="75">
        <f>VLOOKUP($A50,'Data Vlaue (Cr)'!$C:$FB,100)</f>
        <v>4008</v>
      </c>
      <c r="J50" s="75">
        <f t="shared" si="2"/>
        <v>-35</v>
      </c>
      <c r="K50" s="75">
        <f t="shared" si="3"/>
        <v>-0.88094638811980863</v>
      </c>
      <c r="L50" s="75">
        <f>VLOOKUP($A50,'Data Vlaue (Cr)'!$C:$FB,67)</f>
        <v>1959</v>
      </c>
      <c r="M50" s="75">
        <f>VLOOKUP($A50,'Data Vlaue (Cr)'!$C:$FB,68)</f>
        <v>1990</v>
      </c>
      <c r="N50" s="75">
        <f t="shared" si="4"/>
        <v>-31</v>
      </c>
      <c r="O50" s="75">
        <f t="shared" si="5"/>
        <v>-1.5824400204185809</v>
      </c>
      <c r="P50" s="75">
        <f>VLOOKUP($A50,'Data Vlaue (Cr)'!$C:$FB,119)</f>
        <v>0.45</v>
      </c>
      <c r="Q50" s="75">
        <f>VLOOKUP($A50,'Data Vlaue (Cr)'!$C:$FB,122)*100</f>
        <v>2.27</v>
      </c>
      <c r="R50" s="75">
        <f>VLOOKUP($A50,'Data Vlaue (Cr)'!$C:$FB,125)</f>
        <v>0.26</v>
      </c>
      <c r="S50" s="75">
        <f>VLOOKUP($A50,'Data Vlaue (Cr)'!$C:$FB,128)*100</f>
        <v>-25.71</v>
      </c>
    </row>
    <row r="51" spans="1:19" x14ac:dyDescent="0.25">
      <c r="A51" s="96" t="str">
        <f>'Data Vlaue (Cr)'!C42</f>
        <v>CGPOWER</v>
      </c>
      <c r="B51" s="75">
        <f>VLOOKUP($A51,'Data Vlaue (Cr)'!$C:$FB,2)</f>
        <v>850</v>
      </c>
      <c r="C51" s="75">
        <f>VLOOKUP($A51,'Data Vlaue (Cr)'!$C:$FB,8)</f>
        <v>661.8</v>
      </c>
      <c r="D51" s="75">
        <f>VLOOKUP($A51,'Data Vlaue (Cr)'!$C:$FB,4)</f>
        <v>662.55</v>
      </c>
      <c r="E51" s="75">
        <f>VLOOKUP($A51,'Data Vlaue (Cr)'!$C:$FB,5)</f>
        <v>670.7</v>
      </c>
      <c r="F51" s="75">
        <f t="shared" si="0"/>
        <v>0.75</v>
      </c>
      <c r="G51" s="75">
        <f t="shared" si="1"/>
        <v>-1.2300958418232724</v>
      </c>
      <c r="H51" s="75">
        <f>VLOOKUP($A51,'Data Vlaue (Cr)'!$C:$FB,99)</f>
        <v>1854</v>
      </c>
      <c r="I51" s="75">
        <f>VLOOKUP($A51,'Data Vlaue (Cr)'!$C:$FB,100)</f>
        <v>1901</v>
      </c>
      <c r="J51" s="75">
        <f t="shared" si="2"/>
        <v>-47</v>
      </c>
      <c r="K51" s="75">
        <f t="shared" si="3"/>
        <v>-2.535059331175836</v>
      </c>
      <c r="L51" s="75">
        <f>VLOOKUP($A51,'Data Vlaue (Cr)'!$C:$FB,67)</f>
        <v>1280</v>
      </c>
      <c r="M51" s="75">
        <f>VLOOKUP($A51,'Data Vlaue (Cr)'!$C:$FB,68)</f>
        <v>3279</v>
      </c>
      <c r="N51" s="75">
        <f t="shared" si="4"/>
        <v>-1999</v>
      </c>
      <c r="O51" s="75">
        <f t="shared" si="5"/>
        <v>-156.171875</v>
      </c>
      <c r="P51" s="75">
        <f>VLOOKUP($A51,'Data Vlaue (Cr)'!$C:$FB,119)</f>
        <v>0.44</v>
      </c>
      <c r="Q51" s="75">
        <f>VLOOKUP($A51,'Data Vlaue (Cr)'!$C:$FB,122)*100</f>
        <v>0</v>
      </c>
      <c r="R51" s="75">
        <f>VLOOKUP($A51,'Data Vlaue (Cr)'!$C:$FB,125)</f>
        <v>0.41</v>
      </c>
      <c r="S51" s="75">
        <f>VLOOKUP($A51,'Data Vlaue (Cr)'!$C:$FB,128)*100</f>
        <v>86.36</v>
      </c>
    </row>
    <row r="52" spans="1:19" x14ac:dyDescent="0.25">
      <c r="A52" s="96" t="str">
        <f>'Data Vlaue (Cr)'!C43</f>
        <v>CHOLAFIN</v>
      </c>
      <c r="B52" s="75">
        <f>VLOOKUP($A52,'Data Vlaue (Cr)'!$C:$FB,2)</f>
        <v>625</v>
      </c>
      <c r="C52" s="75">
        <f>VLOOKUP($A52,'Data Vlaue (Cr)'!$C:$FB,8)</f>
        <v>1679</v>
      </c>
      <c r="D52" s="75">
        <f>VLOOKUP($A52,'Data Vlaue (Cr)'!$C:$FB,4)</f>
        <v>1686</v>
      </c>
      <c r="E52" s="75">
        <f>VLOOKUP($A52,'Data Vlaue (Cr)'!$C:$FB,5)</f>
        <v>1679.2</v>
      </c>
      <c r="F52" s="75">
        <f t="shared" si="0"/>
        <v>7</v>
      </c>
      <c r="G52" s="75">
        <f t="shared" si="1"/>
        <v>0.40332147093712661</v>
      </c>
      <c r="H52" s="75">
        <f>VLOOKUP($A52,'Data Vlaue (Cr)'!$C:$FB,99)</f>
        <v>4370</v>
      </c>
      <c r="I52" s="75">
        <f>VLOOKUP($A52,'Data Vlaue (Cr)'!$C:$FB,100)</f>
        <v>4134</v>
      </c>
      <c r="J52" s="75">
        <f t="shared" si="2"/>
        <v>236</v>
      </c>
      <c r="K52" s="75">
        <f t="shared" si="3"/>
        <v>5.4004576659038896</v>
      </c>
      <c r="L52" s="75">
        <f>VLOOKUP($A52,'Data Vlaue (Cr)'!$C:$FB,67)</f>
        <v>2091</v>
      </c>
      <c r="M52" s="75">
        <f>VLOOKUP($A52,'Data Vlaue (Cr)'!$C:$FB,68)</f>
        <v>4099</v>
      </c>
      <c r="N52" s="75">
        <f t="shared" si="4"/>
        <v>-2008</v>
      </c>
      <c r="O52" s="75">
        <f t="shared" si="5"/>
        <v>-96.030607364897179</v>
      </c>
      <c r="P52" s="75">
        <f>VLOOKUP($A52,'Data Vlaue (Cr)'!$C:$FB,119)</f>
        <v>0.89</v>
      </c>
      <c r="Q52" s="75">
        <f>VLOOKUP($A52,'Data Vlaue (Cr)'!$C:$FB,122)*100</f>
        <v>20.27</v>
      </c>
      <c r="R52" s="75">
        <f>VLOOKUP($A52,'Data Vlaue (Cr)'!$C:$FB,125)</f>
        <v>0.91</v>
      </c>
      <c r="S52" s="75">
        <f>VLOOKUP($A52,'Data Vlaue (Cr)'!$C:$FB,128)*100</f>
        <v>42.19</v>
      </c>
    </row>
    <row r="53" spans="1:19" x14ac:dyDescent="0.25">
      <c r="A53" s="96" t="str">
        <f>'Data Vlaue (Cr)'!C44</f>
        <v>CIPLA</v>
      </c>
      <c r="B53" s="75">
        <f>VLOOKUP($A53,'Data Vlaue (Cr)'!$C:$FB,2)</f>
        <v>375</v>
      </c>
      <c r="C53" s="75">
        <f>VLOOKUP($A53,'Data Vlaue (Cr)'!$C:$FB,8)</f>
        <v>1498.9</v>
      </c>
      <c r="D53" s="75">
        <f>VLOOKUP($A53,'Data Vlaue (Cr)'!$C:$FB,4)</f>
        <v>1502.5</v>
      </c>
      <c r="E53" s="75">
        <f>VLOOKUP($A53,'Data Vlaue (Cr)'!$C:$FB,5)</f>
        <v>1498.5</v>
      </c>
      <c r="F53" s="75">
        <f t="shared" si="0"/>
        <v>3.5999999999999091</v>
      </c>
      <c r="G53" s="75">
        <f t="shared" si="1"/>
        <v>0.26622296173044924</v>
      </c>
      <c r="H53" s="75">
        <f>VLOOKUP($A53,'Data Vlaue (Cr)'!$C:$FB,99)</f>
        <v>3577</v>
      </c>
      <c r="I53" s="75">
        <f>VLOOKUP($A53,'Data Vlaue (Cr)'!$C:$FB,100)</f>
        <v>3589</v>
      </c>
      <c r="J53" s="75">
        <f t="shared" si="2"/>
        <v>-12</v>
      </c>
      <c r="K53" s="75">
        <f t="shared" si="3"/>
        <v>-0.33547665641599106</v>
      </c>
      <c r="L53" s="75">
        <f>VLOOKUP($A53,'Data Vlaue (Cr)'!$C:$FB,67)</f>
        <v>1132</v>
      </c>
      <c r="M53" s="75">
        <f>VLOOKUP($A53,'Data Vlaue (Cr)'!$C:$FB,68)</f>
        <v>953</v>
      </c>
      <c r="N53" s="75">
        <f t="shared" si="4"/>
        <v>179</v>
      </c>
      <c r="O53" s="75">
        <f t="shared" si="5"/>
        <v>15.812720848056539</v>
      </c>
      <c r="P53" s="75">
        <f>VLOOKUP($A53,'Data Vlaue (Cr)'!$C:$FB,119)</f>
        <v>0.66</v>
      </c>
      <c r="Q53" s="75">
        <f>VLOOKUP($A53,'Data Vlaue (Cr)'!$C:$FB,122)*100</f>
        <v>1.54</v>
      </c>
      <c r="R53" s="75">
        <f>VLOOKUP($A53,'Data Vlaue (Cr)'!$C:$FB,125)</f>
        <v>0.4</v>
      </c>
      <c r="S53" s="75">
        <f>VLOOKUP($A53,'Data Vlaue (Cr)'!$C:$FB,128)*100</f>
        <v>5.26</v>
      </c>
    </row>
    <row r="54" spans="1:19" x14ac:dyDescent="0.25">
      <c r="A54" s="96" t="str">
        <f>'Data Vlaue (Cr)'!C45</f>
        <v>COALINDIA</v>
      </c>
      <c r="B54" s="75">
        <f>VLOOKUP($A54,'Data Vlaue (Cr)'!$C:$FB,2)</f>
        <v>1350</v>
      </c>
      <c r="C54" s="75">
        <f>VLOOKUP($A54,'Data Vlaue (Cr)'!$C:$FB,8)</f>
        <v>385.3</v>
      </c>
      <c r="D54" s="75">
        <f>VLOOKUP($A54,'Data Vlaue (Cr)'!$C:$FB,4)</f>
        <v>386.5</v>
      </c>
      <c r="E54" s="75">
        <f>VLOOKUP($A54,'Data Vlaue (Cr)'!$C:$FB,5)</f>
        <v>385.85</v>
      </c>
      <c r="F54" s="75">
        <f t="shared" si="0"/>
        <v>1.1999999999999886</v>
      </c>
      <c r="G54" s="75">
        <f t="shared" si="1"/>
        <v>0.16817593790426322</v>
      </c>
      <c r="H54" s="75">
        <f>VLOOKUP($A54,'Data Vlaue (Cr)'!$C:$FB,99)</f>
        <v>3603</v>
      </c>
      <c r="I54" s="75">
        <f>VLOOKUP($A54,'Data Vlaue (Cr)'!$C:$FB,100)</f>
        <v>3644</v>
      </c>
      <c r="J54" s="75">
        <f t="shared" si="2"/>
        <v>-41</v>
      </c>
      <c r="K54" s="75">
        <f t="shared" si="3"/>
        <v>-1.1379406050513461</v>
      </c>
      <c r="L54" s="75">
        <f>VLOOKUP($A54,'Data Vlaue (Cr)'!$C:$FB,67)</f>
        <v>807</v>
      </c>
      <c r="M54" s="75">
        <f>VLOOKUP($A54,'Data Vlaue (Cr)'!$C:$FB,68)</f>
        <v>900</v>
      </c>
      <c r="N54" s="75">
        <f t="shared" si="4"/>
        <v>-93</v>
      </c>
      <c r="O54" s="75">
        <f t="shared" si="5"/>
        <v>-11.524163568773234</v>
      </c>
      <c r="P54" s="75">
        <f>VLOOKUP($A54,'Data Vlaue (Cr)'!$C:$FB,119)</f>
        <v>0.97</v>
      </c>
      <c r="Q54" s="75">
        <f>VLOOKUP($A54,'Data Vlaue (Cr)'!$C:$FB,122)*100</f>
        <v>2.11</v>
      </c>
      <c r="R54" s="75">
        <f>VLOOKUP($A54,'Data Vlaue (Cr)'!$C:$FB,125)</f>
        <v>0.75</v>
      </c>
      <c r="S54" s="75">
        <f>VLOOKUP($A54,'Data Vlaue (Cr)'!$C:$FB,128)*100</f>
        <v>29.310000000000002</v>
      </c>
    </row>
    <row r="55" spans="1:19" x14ac:dyDescent="0.25">
      <c r="A55" s="96" t="str">
        <f>'Data Vlaue (Cr)'!C46</f>
        <v>COFORGE</v>
      </c>
      <c r="B55" s="75">
        <f>VLOOKUP($A55,'Data Vlaue (Cr)'!$C:$FB,2)</f>
        <v>375</v>
      </c>
      <c r="C55" s="75">
        <f>VLOOKUP($A55,'Data Vlaue (Cr)'!$C:$FB,8)</f>
        <v>1854.8</v>
      </c>
      <c r="D55" s="75">
        <f>VLOOKUP($A55,'Data Vlaue (Cr)'!$C:$FB,4)</f>
        <v>1859.2</v>
      </c>
      <c r="E55" s="75">
        <f>VLOOKUP($A55,'Data Vlaue (Cr)'!$C:$FB,5)</f>
        <v>1851.5</v>
      </c>
      <c r="F55" s="75">
        <f t="shared" si="0"/>
        <v>4.4000000000000909</v>
      </c>
      <c r="G55" s="75">
        <f t="shared" si="1"/>
        <v>0.41415662650602658</v>
      </c>
      <c r="H55" s="75">
        <f>VLOOKUP($A55,'Data Vlaue (Cr)'!$C:$FB,99)</f>
        <v>4445</v>
      </c>
      <c r="I55" s="75">
        <f>VLOOKUP($A55,'Data Vlaue (Cr)'!$C:$FB,100)</f>
        <v>4420</v>
      </c>
      <c r="J55" s="75">
        <f t="shared" si="2"/>
        <v>25</v>
      </c>
      <c r="K55" s="75">
        <f t="shared" si="3"/>
        <v>0.56242969628796402</v>
      </c>
      <c r="L55" s="75">
        <f>VLOOKUP($A55,'Data Vlaue (Cr)'!$C:$FB,67)</f>
        <v>3136</v>
      </c>
      <c r="M55" s="75">
        <f>VLOOKUP($A55,'Data Vlaue (Cr)'!$C:$FB,68)</f>
        <v>2809</v>
      </c>
      <c r="N55" s="75">
        <f t="shared" si="4"/>
        <v>327</v>
      </c>
      <c r="O55" s="75">
        <f t="shared" si="5"/>
        <v>10.427295918367346</v>
      </c>
      <c r="P55" s="75">
        <f>VLOOKUP($A55,'Data Vlaue (Cr)'!$C:$FB,119)</f>
        <v>0.46</v>
      </c>
      <c r="Q55" s="75">
        <f>VLOOKUP($A55,'Data Vlaue (Cr)'!$C:$FB,122)*100</f>
        <v>0</v>
      </c>
      <c r="R55" s="75">
        <f>VLOOKUP($A55,'Data Vlaue (Cr)'!$C:$FB,125)</f>
        <v>0.33</v>
      </c>
      <c r="S55" s="75">
        <f>VLOOKUP($A55,'Data Vlaue (Cr)'!$C:$FB,128)*100</f>
        <v>-19.509999999999998</v>
      </c>
    </row>
    <row r="56" spans="1:19" x14ac:dyDescent="0.25">
      <c r="A56" s="96" t="str">
        <f>'Data Vlaue (Cr)'!C47</f>
        <v>COLPAL</v>
      </c>
      <c r="B56" s="75">
        <f>VLOOKUP($A56,'Data Vlaue (Cr)'!$C:$FB,2)</f>
        <v>225</v>
      </c>
      <c r="C56" s="75">
        <f>VLOOKUP($A56,'Data Vlaue (Cr)'!$C:$FB,8)</f>
        <v>2090</v>
      </c>
      <c r="D56" s="75">
        <f>VLOOKUP($A56,'Data Vlaue (Cr)'!$C:$FB,4)</f>
        <v>2095.8000000000002</v>
      </c>
      <c r="E56" s="75">
        <f>VLOOKUP($A56,'Data Vlaue (Cr)'!$C:$FB,5)</f>
        <v>2089.6999999999998</v>
      </c>
      <c r="F56" s="75">
        <f t="shared" si="0"/>
        <v>5.8000000000001819</v>
      </c>
      <c r="G56" s="75">
        <f t="shared" si="1"/>
        <v>0.29105830709038855</v>
      </c>
      <c r="H56" s="75">
        <f>VLOOKUP($A56,'Data Vlaue (Cr)'!$C:$FB,99)</f>
        <v>2580</v>
      </c>
      <c r="I56" s="75">
        <f>VLOOKUP($A56,'Data Vlaue (Cr)'!$C:$FB,100)</f>
        <v>2562</v>
      </c>
      <c r="J56" s="75">
        <f t="shared" si="2"/>
        <v>18</v>
      </c>
      <c r="K56" s="75">
        <f t="shared" si="3"/>
        <v>0.69767441860465118</v>
      </c>
      <c r="L56" s="75">
        <f>VLOOKUP($A56,'Data Vlaue (Cr)'!$C:$FB,67)</f>
        <v>1157</v>
      </c>
      <c r="M56" s="75">
        <f>VLOOKUP($A56,'Data Vlaue (Cr)'!$C:$FB,68)</f>
        <v>1757</v>
      </c>
      <c r="N56" s="75">
        <f t="shared" si="4"/>
        <v>-600</v>
      </c>
      <c r="O56" s="75">
        <f t="shared" si="5"/>
        <v>-51.858254105445113</v>
      </c>
      <c r="P56" s="75">
        <f>VLOOKUP($A56,'Data Vlaue (Cr)'!$C:$FB,119)</f>
        <v>0.64</v>
      </c>
      <c r="Q56" s="75">
        <f>VLOOKUP($A56,'Data Vlaue (Cr)'!$C:$FB,122)*100</f>
        <v>1.59</v>
      </c>
      <c r="R56" s="75">
        <f>VLOOKUP($A56,'Data Vlaue (Cr)'!$C:$FB,125)</f>
        <v>0.54</v>
      </c>
      <c r="S56" s="75">
        <f>VLOOKUP($A56,'Data Vlaue (Cr)'!$C:$FB,128)*100</f>
        <v>-28.95</v>
      </c>
    </row>
    <row r="57" spans="1:19" x14ac:dyDescent="0.25">
      <c r="A57" s="96" t="str">
        <f>'Data Vlaue (Cr)'!C48</f>
        <v>CONCOR</v>
      </c>
      <c r="B57" s="75">
        <f>VLOOKUP($A57,'Data Vlaue (Cr)'!$C:$FB,2)</f>
        <v>1250</v>
      </c>
      <c r="C57" s="75">
        <f>VLOOKUP($A57,'Data Vlaue (Cr)'!$C:$FB,8)</f>
        <v>498.25</v>
      </c>
      <c r="D57" s="75">
        <f>VLOOKUP($A57,'Data Vlaue (Cr)'!$C:$FB,4)</f>
        <v>498.8</v>
      </c>
      <c r="E57" s="75">
        <f>VLOOKUP($A57,'Data Vlaue (Cr)'!$C:$FB,5)</f>
        <v>496.75</v>
      </c>
      <c r="F57" s="75">
        <f t="shared" si="0"/>
        <v>0.55000000000001137</v>
      </c>
      <c r="G57" s="75">
        <f t="shared" si="1"/>
        <v>0.4109863672814778</v>
      </c>
      <c r="H57" s="75">
        <f>VLOOKUP($A57,'Data Vlaue (Cr)'!$C:$FB,99)</f>
        <v>3188</v>
      </c>
      <c r="I57" s="75">
        <f>VLOOKUP($A57,'Data Vlaue (Cr)'!$C:$FB,100)</f>
        <v>3214</v>
      </c>
      <c r="J57" s="75">
        <f t="shared" si="2"/>
        <v>-26</v>
      </c>
      <c r="K57" s="75">
        <f t="shared" si="3"/>
        <v>-0.81555834378920955</v>
      </c>
      <c r="L57" s="75">
        <f>VLOOKUP($A57,'Data Vlaue (Cr)'!$C:$FB,67)</f>
        <v>663</v>
      </c>
      <c r="M57" s="75">
        <f>VLOOKUP($A57,'Data Vlaue (Cr)'!$C:$FB,68)</f>
        <v>518</v>
      </c>
      <c r="N57" s="75">
        <f t="shared" si="4"/>
        <v>145</v>
      </c>
      <c r="O57" s="75">
        <f t="shared" si="5"/>
        <v>21.87028657616893</v>
      </c>
      <c r="P57" s="75">
        <f>VLOOKUP($A57,'Data Vlaue (Cr)'!$C:$FB,119)</f>
        <v>0.74</v>
      </c>
      <c r="Q57" s="75">
        <f>VLOOKUP($A57,'Data Vlaue (Cr)'!$C:$FB,122)*100</f>
        <v>1.37</v>
      </c>
      <c r="R57" s="75">
        <f>VLOOKUP($A57,'Data Vlaue (Cr)'!$C:$FB,125)</f>
        <v>0.32</v>
      </c>
      <c r="S57" s="75">
        <f>VLOOKUP($A57,'Data Vlaue (Cr)'!$C:$FB,128)*100</f>
        <v>-27.27</v>
      </c>
    </row>
    <row r="58" spans="1:19" x14ac:dyDescent="0.25">
      <c r="A58" s="96" t="str">
        <f>'Data Vlaue (Cr)'!C49</f>
        <v>CROMPTON</v>
      </c>
      <c r="B58" s="75">
        <f>VLOOKUP($A58,'Data Vlaue (Cr)'!$C:$FB,2)</f>
        <v>1800</v>
      </c>
      <c r="C58" s="75">
        <f>VLOOKUP($A58,'Data Vlaue (Cr)'!$C:$FB,8)</f>
        <v>255.65</v>
      </c>
      <c r="D58" s="75">
        <f>VLOOKUP($A58,'Data Vlaue (Cr)'!$C:$FB,4)</f>
        <v>256.35000000000002</v>
      </c>
      <c r="E58" s="75">
        <f>VLOOKUP($A58,'Data Vlaue (Cr)'!$C:$FB,5)</f>
        <v>249.5</v>
      </c>
      <c r="F58" s="75">
        <f t="shared" si="0"/>
        <v>0.70000000000001705</v>
      </c>
      <c r="G58" s="75">
        <f t="shared" si="1"/>
        <v>2.6721279500682744</v>
      </c>
      <c r="H58" s="75">
        <f>VLOOKUP($A58,'Data Vlaue (Cr)'!$C:$FB,99)</f>
        <v>2554</v>
      </c>
      <c r="I58" s="75">
        <f>VLOOKUP($A58,'Data Vlaue (Cr)'!$C:$FB,100)</f>
        <v>2394</v>
      </c>
      <c r="J58" s="75">
        <f t="shared" si="2"/>
        <v>160</v>
      </c>
      <c r="K58" s="75">
        <f t="shared" si="3"/>
        <v>6.2646828504306971</v>
      </c>
      <c r="L58" s="75">
        <f>VLOOKUP($A58,'Data Vlaue (Cr)'!$C:$FB,67)</f>
        <v>4091</v>
      </c>
      <c r="M58" s="75">
        <f>VLOOKUP($A58,'Data Vlaue (Cr)'!$C:$FB,68)</f>
        <v>545</v>
      </c>
      <c r="N58" s="75">
        <f t="shared" si="4"/>
        <v>3546</v>
      </c>
      <c r="O58" s="75">
        <f t="shared" si="5"/>
        <v>86.678073820581773</v>
      </c>
      <c r="P58" s="75">
        <f>VLOOKUP($A58,'Data Vlaue (Cr)'!$C:$FB,119)</f>
        <v>0.48</v>
      </c>
      <c r="Q58" s="75">
        <f>VLOOKUP($A58,'Data Vlaue (Cr)'!$C:$FB,122)*100</f>
        <v>-2.04</v>
      </c>
      <c r="R58" s="75">
        <f>VLOOKUP($A58,'Data Vlaue (Cr)'!$C:$FB,125)</f>
        <v>0.35</v>
      </c>
      <c r="S58" s="75">
        <f>VLOOKUP($A58,'Data Vlaue (Cr)'!$C:$FB,128)*100</f>
        <v>20.69</v>
      </c>
    </row>
    <row r="59" spans="1:19" x14ac:dyDescent="0.25">
      <c r="A59" s="96" t="str">
        <f>'Data Vlaue (Cr)'!C50</f>
        <v>CUMMINSIND</v>
      </c>
      <c r="B59" s="75">
        <f>VLOOKUP($A59,'Data Vlaue (Cr)'!$C:$FB,2)</f>
        <v>200</v>
      </c>
      <c r="C59" s="75">
        <f>VLOOKUP($A59,'Data Vlaue (Cr)'!$C:$FB,8)</f>
        <v>4385.3999999999996</v>
      </c>
      <c r="D59" s="75">
        <f>VLOOKUP($A59,'Data Vlaue (Cr)'!$C:$FB,4)</f>
        <v>4389.8</v>
      </c>
      <c r="E59" s="75">
        <f>VLOOKUP($A59,'Data Vlaue (Cr)'!$C:$FB,5)</f>
        <v>4521.1000000000004</v>
      </c>
      <c r="F59" s="75">
        <f t="shared" si="0"/>
        <v>4.4000000000005457</v>
      </c>
      <c r="G59" s="75">
        <f t="shared" si="1"/>
        <v>-2.9910246480477509</v>
      </c>
      <c r="H59" s="75">
        <f>VLOOKUP($A59,'Data Vlaue (Cr)'!$C:$FB,99)</f>
        <v>2231</v>
      </c>
      <c r="I59" s="75">
        <f>VLOOKUP($A59,'Data Vlaue (Cr)'!$C:$FB,100)</f>
        <v>2097</v>
      </c>
      <c r="J59" s="75">
        <f t="shared" si="2"/>
        <v>134</v>
      </c>
      <c r="K59" s="75">
        <f t="shared" si="3"/>
        <v>6.00627521290901</v>
      </c>
      <c r="L59" s="75">
        <f>VLOOKUP($A59,'Data Vlaue (Cr)'!$C:$FB,67)</f>
        <v>3608</v>
      </c>
      <c r="M59" s="75">
        <f>VLOOKUP($A59,'Data Vlaue (Cr)'!$C:$FB,68)</f>
        <v>1157</v>
      </c>
      <c r="N59" s="75">
        <f t="shared" si="4"/>
        <v>2451</v>
      </c>
      <c r="O59" s="75">
        <f t="shared" si="5"/>
        <v>67.932372505543242</v>
      </c>
      <c r="P59" s="75">
        <f>VLOOKUP($A59,'Data Vlaue (Cr)'!$C:$FB,119)</f>
        <v>0.62</v>
      </c>
      <c r="Q59" s="75">
        <f>VLOOKUP($A59,'Data Vlaue (Cr)'!$C:$FB,122)*100</f>
        <v>-17.330000000000002</v>
      </c>
      <c r="R59" s="75">
        <f>VLOOKUP($A59,'Data Vlaue (Cr)'!$C:$FB,125)</f>
        <v>0.8</v>
      </c>
      <c r="S59" s="75">
        <f>VLOOKUP($A59,'Data Vlaue (Cr)'!$C:$FB,128)*100</f>
        <v>142.41999999999999</v>
      </c>
    </row>
    <row r="60" spans="1:19" x14ac:dyDescent="0.25">
      <c r="A60" s="96" t="str">
        <f>'Data Vlaue (Cr)'!C51</f>
        <v>CYIENT</v>
      </c>
      <c r="B60" s="75">
        <f>VLOOKUP($A60,'Data Vlaue (Cr)'!$C:$FB,2)</f>
        <v>425</v>
      </c>
      <c r="C60" s="75">
        <f>VLOOKUP($A60,'Data Vlaue (Cr)'!$C:$FB,8)</f>
        <v>1141.3</v>
      </c>
      <c r="D60" s="75">
        <f>VLOOKUP($A60,'Data Vlaue (Cr)'!$C:$FB,4)</f>
        <v>1144.0999999999999</v>
      </c>
      <c r="E60" s="75">
        <f>VLOOKUP($A60,'Data Vlaue (Cr)'!$C:$FB,5)</f>
        <v>1142.3</v>
      </c>
      <c r="F60" s="75">
        <f t="shared" si="0"/>
        <v>2.7999999999999545</v>
      </c>
      <c r="G60" s="75">
        <f t="shared" si="1"/>
        <v>0.15732890481600861</v>
      </c>
      <c r="H60" s="75">
        <f>VLOOKUP($A60,'Data Vlaue (Cr)'!$C:$FB,99)</f>
        <v>650</v>
      </c>
      <c r="I60" s="75">
        <f>VLOOKUP($A60,'Data Vlaue (Cr)'!$C:$FB,100)</f>
        <v>643</v>
      </c>
      <c r="J60" s="75">
        <f t="shared" si="2"/>
        <v>7</v>
      </c>
      <c r="K60" s="75">
        <f t="shared" si="3"/>
        <v>1.0769230769230769</v>
      </c>
      <c r="L60" s="75">
        <f>VLOOKUP($A60,'Data Vlaue (Cr)'!$C:$FB,67)</f>
        <v>403</v>
      </c>
      <c r="M60" s="75">
        <f>VLOOKUP($A60,'Data Vlaue (Cr)'!$C:$FB,68)</f>
        <v>1731</v>
      </c>
      <c r="N60" s="75">
        <f t="shared" si="4"/>
        <v>-1328</v>
      </c>
      <c r="O60" s="75">
        <f t="shared" si="5"/>
        <v>-329.52853598014889</v>
      </c>
      <c r="P60" s="75">
        <f>VLOOKUP($A60,'Data Vlaue (Cr)'!$C:$FB,119)</f>
        <v>0.64</v>
      </c>
      <c r="Q60" s="75">
        <f>VLOOKUP($A60,'Data Vlaue (Cr)'!$C:$FB,122)*100</f>
        <v>-5.88</v>
      </c>
      <c r="R60" s="75">
        <f>VLOOKUP($A60,'Data Vlaue (Cr)'!$C:$FB,125)</f>
        <v>0.19</v>
      </c>
      <c r="S60" s="75">
        <f>VLOOKUP($A60,'Data Vlaue (Cr)'!$C:$FB,128)*100</f>
        <v>-74.67</v>
      </c>
    </row>
    <row r="61" spans="1:19" x14ac:dyDescent="0.25">
      <c r="A61" s="96" t="str">
        <f>'Data Vlaue (Cr)'!C52</f>
        <v>DABUR</v>
      </c>
      <c r="B61" s="75">
        <f>VLOOKUP($A61,'Data Vlaue (Cr)'!$C:$FB,2)</f>
        <v>1250</v>
      </c>
      <c r="C61" s="75">
        <f>VLOOKUP($A61,'Data Vlaue (Cr)'!$C:$FB,8)</f>
        <v>492.55</v>
      </c>
      <c r="D61" s="75">
        <f>VLOOKUP($A61,'Data Vlaue (Cr)'!$C:$FB,4)</f>
        <v>493.6</v>
      </c>
      <c r="E61" s="75">
        <f>VLOOKUP($A61,'Data Vlaue (Cr)'!$C:$FB,5)</f>
        <v>494.5</v>
      </c>
      <c r="F61" s="75">
        <f t="shared" si="0"/>
        <v>1.0500000000000114</v>
      </c>
      <c r="G61" s="75">
        <f t="shared" si="1"/>
        <v>-0.18233387358184303</v>
      </c>
      <c r="H61" s="75">
        <f>VLOOKUP($A61,'Data Vlaue (Cr)'!$C:$FB,99)</f>
        <v>2173</v>
      </c>
      <c r="I61" s="75">
        <f>VLOOKUP($A61,'Data Vlaue (Cr)'!$C:$FB,100)</f>
        <v>2130</v>
      </c>
      <c r="J61" s="75">
        <f t="shared" si="2"/>
        <v>43</v>
      </c>
      <c r="K61" s="75">
        <f t="shared" si="3"/>
        <v>1.9788311090658077</v>
      </c>
      <c r="L61" s="75">
        <f>VLOOKUP($A61,'Data Vlaue (Cr)'!$C:$FB,67)</f>
        <v>681</v>
      </c>
      <c r="M61" s="75">
        <f>VLOOKUP($A61,'Data Vlaue (Cr)'!$C:$FB,68)</f>
        <v>591</v>
      </c>
      <c r="N61" s="75">
        <f t="shared" si="4"/>
        <v>90</v>
      </c>
      <c r="O61" s="75">
        <f t="shared" si="5"/>
        <v>13.215859030837004</v>
      </c>
      <c r="P61" s="75">
        <f>VLOOKUP($A61,'Data Vlaue (Cr)'!$C:$FB,119)</f>
        <v>0.56000000000000005</v>
      </c>
      <c r="Q61" s="75">
        <f>VLOOKUP($A61,'Data Vlaue (Cr)'!$C:$FB,122)*100</f>
        <v>3.6999999999999997</v>
      </c>
      <c r="R61" s="75">
        <f>VLOOKUP($A61,'Data Vlaue (Cr)'!$C:$FB,125)</f>
        <v>0.36</v>
      </c>
      <c r="S61" s="75">
        <f>VLOOKUP($A61,'Data Vlaue (Cr)'!$C:$FB,128)*100</f>
        <v>0</v>
      </c>
    </row>
    <row r="62" spans="1:19" x14ac:dyDescent="0.25">
      <c r="A62" s="96" t="str">
        <f>'Data Vlaue (Cr)'!C53</f>
        <v>DALBHARAT</v>
      </c>
      <c r="B62" s="75">
        <f>VLOOKUP($A62,'Data Vlaue (Cr)'!$C:$FB,2)</f>
        <v>325</v>
      </c>
      <c r="C62" s="75">
        <f>VLOOKUP($A62,'Data Vlaue (Cr)'!$C:$FB,8)</f>
        <v>2024.4</v>
      </c>
      <c r="D62" s="75">
        <f>VLOOKUP($A62,'Data Vlaue (Cr)'!$C:$FB,4)</f>
        <v>2028.1</v>
      </c>
      <c r="E62" s="75">
        <f>VLOOKUP($A62,'Data Vlaue (Cr)'!$C:$FB,5)</f>
        <v>2077.6</v>
      </c>
      <c r="F62" s="75">
        <f t="shared" si="0"/>
        <v>3.6999999999998181</v>
      </c>
      <c r="G62" s="75">
        <f t="shared" si="1"/>
        <v>-2.4407080518712094</v>
      </c>
      <c r="H62" s="75">
        <f>VLOOKUP($A62,'Data Vlaue (Cr)'!$C:$FB,99)</f>
        <v>999</v>
      </c>
      <c r="I62" s="75">
        <f>VLOOKUP($A62,'Data Vlaue (Cr)'!$C:$FB,100)</f>
        <v>968</v>
      </c>
      <c r="J62" s="75">
        <f t="shared" si="2"/>
        <v>31</v>
      </c>
      <c r="K62" s="75">
        <f t="shared" si="3"/>
        <v>3.1031031031031033</v>
      </c>
      <c r="L62" s="75">
        <f>VLOOKUP($A62,'Data Vlaue (Cr)'!$C:$FB,67)</f>
        <v>661</v>
      </c>
      <c r="M62" s="75">
        <f>VLOOKUP($A62,'Data Vlaue (Cr)'!$C:$FB,68)</f>
        <v>464</v>
      </c>
      <c r="N62" s="75">
        <f t="shared" si="4"/>
        <v>197</v>
      </c>
      <c r="O62" s="75">
        <f t="shared" si="5"/>
        <v>29.80332829046899</v>
      </c>
      <c r="P62" s="75">
        <f>VLOOKUP($A62,'Data Vlaue (Cr)'!$C:$FB,119)</f>
        <v>0.66</v>
      </c>
      <c r="Q62" s="75">
        <f>VLOOKUP($A62,'Data Vlaue (Cr)'!$C:$FB,122)*100</f>
        <v>-13.16</v>
      </c>
      <c r="R62" s="75">
        <f>VLOOKUP($A62,'Data Vlaue (Cr)'!$C:$FB,125)</f>
        <v>0.84</v>
      </c>
      <c r="S62" s="75">
        <f>VLOOKUP($A62,'Data Vlaue (Cr)'!$C:$FB,128)*100</f>
        <v>110.00000000000001</v>
      </c>
    </row>
    <row r="63" spans="1:19" x14ac:dyDescent="0.25">
      <c r="A63" s="96" t="str">
        <f>'Data Vlaue (Cr)'!C54</f>
        <v>DELHIVERY</v>
      </c>
      <c r="B63" s="75">
        <f>VLOOKUP($A63,'Data Vlaue (Cr)'!$C:$FB,2)</f>
        <v>2075</v>
      </c>
      <c r="C63" s="75">
        <f>VLOOKUP($A63,'Data Vlaue (Cr)'!$C:$FB,8)</f>
        <v>402.35</v>
      </c>
      <c r="D63" s="75">
        <f>VLOOKUP($A63,'Data Vlaue (Cr)'!$C:$FB,4)</f>
        <v>402.6</v>
      </c>
      <c r="E63" s="75">
        <f>VLOOKUP($A63,'Data Vlaue (Cr)'!$C:$FB,5)</f>
        <v>400.3</v>
      </c>
      <c r="F63" s="75">
        <f t="shared" si="0"/>
        <v>0.25</v>
      </c>
      <c r="G63" s="75">
        <f t="shared" si="1"/>
        <v>0.57128663686041015</v>
      </c>
      <c r="H63" s="75">
        <f>VLOOKUP($A63,'Data Vlaue (Cr)'!$C:$FB,99)</f>
        <v>1554</v>
      </c>
      <c r="I63" s="75">
        <f>VLOOKUP($A63,'Data Vlaue (Cr)'!$C:$FB,100)</f>
        <v>1579</v>
      </c>
      <c r="J63" s="75">
        <f t="shared" si="2"/>
        <v>-25</v>
      </c>
      <c r="K63" s="75">
        <f t="shared" si="3"/>
        <v>-1.6087516087516087</v>
      </c>
      <c r="L63" s="75">
        <f>VLOOKUP($A63,'Data Vlaue (Cr)'!$C:$FB,67)</f>
        <v>590</v>
      </c>
      <c r="M63" s="75">
        <f>VLOOKUP($A63,'Data Vlaue (Cr)'!$C:$FB,68)</f>
        <v>532</v>
      </c>
      <c r="N63" s="75">
        <f t="shared" si="4"/>
        <v>58</v>
      </c>
      <c r="O63" s="75">
        <f t="shared" si="5"/>
        <v>9.8305084745762716</v>
      </c>
      <c r="P63" s="75">
        <f>VLOOKUP($A63,'Data Vlaue (Cr)'!$C:$FB,119)</f>
        <v>0.67</v>
      </c>
      <c r="Q63" s="75">
        <f>VLOOKUP($A63,'Data Vlaue (Cr)'!$C:$FB,122)*100</f>
        <v>3.08</v>
      </c>
      <c r="R63" s="75">
        <f>VLOOKUP($A63,'Data Vlaue (Cr)'!$C:$FB,125)</f>
        <v>0.7</v>
      </c>
      <c r="S63" s="75">
        <f>VLOOKUP($A63,'Data Vlaue (Cr)'!$C:$FB,128)*100</f>
        <v>40</v>
      </c>
    </row>
    <row r="64" spans="1:19" x14ac:dyDescent="0.25">
      <c r="A64" s="96" t="str">
        <f>'Data Vlaue (Cr)'!C55</f>
        <v>DIVISLAB</v>
      </c>
      <c r="B64" s="75">
        <f>VLOOKUP($A64,'Data Vlaue (Cr)'!$C:$FB,2)</f>
        <v>100</v>
      </c>
      <c r="C64" s="75">
        <f>VLOOKUP($A64,'Data Vlaue (Cr)'!$C:$FB,8)</f>
        <v>6380</v>
      </c>
      <c r="D64" s="75">
        <f>VLOOKUP($A64,'Data Vlaue (Cr)'!$C:$FB,4)</f>
        <v>6390.5</v>
      </c>
      <c r="E64" s="75">
        <f>VLOOKUP($A64,'Data Vlaue (Cr)'!$C:$FB,5)</f>
        <v>6299.5</v>
      </c>
      <c r="F64" s="75">
        <f t="shared" si="0"/>
        <v>10.5</v>
      </c>
      <c r="G64" s="75">
        <f t="shared" si="1"/>
        <v>1.4239887332759564</v>
      </c>
      <c r="H64" s="75">
        <f>VLOOKUP($A64,'Data Vlaue (Cr)'!$C:$FB,99)</f>
        <v>3025</v>
      </c>
      <c r="I64" s="75">
        <f>VLOOKUP($A64,'Data Vlaue (Cr)'!$C:$FB,100)</f>
        <v>2977</v>
      </c>
      <c r="J64" s="75">
        <f t="shared" si="2"/>
        <v>48</v>
      </c>
      <c r="K64" s="75">
        <f t="shared" si="3"/>
        <v>1.5867768595041323</v>
      </c>
      <c r="L64" s="75">
        <f>VLOOKUP($A64,'Data Vlaue (Cr)'!$C:$FB,67)</f>
        <v>1852</v>
      </c>
      <c r="M64" s="75">
        <f>VLOOKUP($A64,'Data Vlaue (Cr)'!$C:$FB,68)</f>
        <v>599</v>
      </c>
      <c r="N64" s="75">
        <f t="shared" si="4"/>
        <v>1253</v>
      </c>
      <c r="O64" s="75">
        <f t="shared" si="5"/>
        <v>67.656587473002162</v>
      </c>
      <c r="P64" s="75">
        <f>VLOOKUP($A64,'Data Vlaue (Cr)'!$C:$FB,119)</f>
        <v>0.71</v>
      </c>
      <c r="Q64" s="75">
        <f>VLOOKUP($A64,'Data Vlaue (Cr)'!$C:$FB,122)*100</f>
        <v>1.43</v>
      </c>
      <c r="R64" s="75">
        <f>VLOOKUP($A64,'Data Vlaue (Cr)'!$C:$FB,125)</f>
        <v>0.31</v>
      </c>
      <c r="S64" s="75">
        <f>VLOOKUP($A64,'Data Vlaue (Cr)'!$C:$FB,128)*100</f>
        <v>-31.11</v>
      </c>
    </row>
    <row r="65" spans="1:19" x14ac:dyDescent="0.25">
      <c r="A65" s="96" t="str">
        <f>'Data Vlaue (Cr)'!C56</f>
        <v>DIXON</v>
      </c>
      <c r="B65" s="75">
        <f>VLOOKUP($A65,'Data Vlaue (Cr)'!$C:$FB,2)</f>
        <v>50</v>
      </c>
      <c r="C65" s="75">
        <f>VLOOKUP($A65,'Data Vlaue (Cr)'!$C:$FB,8)</f>
        <v>13299</v>
      </c>
      <c r="D65" s="75">
        <f>VLOOKUP($A65,'Data Vlaue (Cr)'!$C:$FB,4)</f>
        <v>13326</v>
      </c>
      <c r="E65" s="75">
        <f>VLOOKUP($A65,'Data Vlaue (Cr)'!$C:$FB,5)</f>
        <v>13263</v>
      </c>
      <c r="F65" s="75">
        <f t="shared" si="0"/>
        <v>27</v>
      </c>
      <c r="G65" s="75">
        <f t="shared" si="1"/>
        <v>0.47276001800990547</v>
      </c>
      <c r="H65" s="75">
        <f>VLOOKUP($A65,'Data Vlaue (Cr)'!$C:$FB,99)</f>
        <v>10274</v>
      </c>
      <c r="I65" s="75">
        <f>VLOOKUP($A65,'Data Vlaue (Cr)'!$C:$FB,100)</f>
        <v>10277</v>
      </c>
      <c r="J65" s="75">
        <f t="shared" si="2"/>
        <v>-3</v>
      </c>
      <c r="K65" s="75">
        <f t="shared" si="3"/>
        <v>-2.9199922133540977E-2</v>
      </c>
      <c r="L65" s="75">
        <f>VLOOKUP($A65,'Data Vlaue (Cr)'!$C:$FB,67)</f>
        <v>18267</v>
      </c>
      <c r="M65" s="75">
        <f>VLOOKUP($A65,'Data Vlaue (Cr)'!$C:$FB,68)</f>
        <v>16772</v>
      </c>
      <c r="N65" s="75">
        <f t="shared" si="4"/>
        <v>1495</v>
      </c>
      <c r="O65" s="75">
        <f t="shared" si="5"/>
        <v>8.1841572234083326</v>
      </c>
      <c r="P65" s="75">
        <f>VLOOKUP($A65,'Data Vlaue (Cr)'!$C:$FB,119)</f>
        <v>0.53</v>
      </c>
      <c r="Q65" s="75">
        <f>VLOOKUP($A65,'Data Vlaue (Cr)'!$C:$FB,122)*100</f>
        <v>1.92</v>
      </c>
      <c r="R65" s="75">
        <f>VLOOKUP($A65,'Data Vlaue (Cr)'!$C:$FB,125)</f>
        <v>0.79</v>
      </c>
      <c r="S65" s="75">
        <f>VLOOKUP($A65,'Data Vlaue (Cr)'!$C:$FB,128)*100</f>
        <v>-27.52</v>
      </c>
    </row>
    <row r="66" spans="1:19" x14ac:dyDescent="0.25">
      <c r="A66" s="96" t="str">
        <f>'Data Vlaue (Cr)'!C57</f>
        <v>DLF</v>
      </c>
      <c r="B66" s="75">
        <f>VLOOKUP($A66,'Data Vlaue (Cr)'!$C:$FB,2)</f>
        <v>825</v>
      </c>
      <c r="C66" s="75">
        <f>VLOOKUP($A66,'Data Vlaue (Cr)'!$C:$FB,8)</f>
        <v>679.05</v>
      </c>
      <c r="D66" s="75">
        <f>VLOOKUP($A66,'Data Vlaue (Cr)'!$C:$FB,4)</f>
        <v>680</v>
      </c>
      <c r="E66" s="75">
        <f>VLOOKUP($A66,'Data Vlaue (Cr)'!$C:$FB,5)</f>
        <v>683.8</v>
      </c>
      <c r="F66" s="75">
        <f t="shared" si="0"/>
        <v>0.95000000000004547</v>
      </c>
      <c r="G66" s="75">
        <f t="shared" si="1"/>
        <v>-0.55882352941175806</v>
      </c>
      <c r="H66" s="75">
        <f>VLOOKUP($A66,'Data Vlaue (Cr)'!$C:$FB,99)</f>
        <v>6100</v>
      </c>
      <c r="I66" s="75">
        <f>VLOOKUP($A66,'Data Vlaue (Cr)'!$C:$FB,100)</f>
        <v>5997</v>
      </c>
      <c r="J66" s="75">
        <f t="shared" si="2"/>
        <v>103</v>
      </c>
      <c r="K66" s="75">
        <f t="shared" si="3"/>
        <v>1.6885245901639343</v>
      </c>
      <c r="L66" s="75">
        <f>VLOOKUP($A66,'Data Vlaue (Cr)'!$C:$FB,67)</f>
        <v>3409</v>
      </c>
      <c r="M66" s="75">
        <f>VLOOKUP($A66,'Data Vlaue (Cr)'!$C:$FB,68)</f>
        <v>2023</v>
      </c>
      <c r="N66" s="75">
        <f t="shared" si="4"/>
        <v>1386</v>
      </c>
      <c r="O66" s="75">
        <f t="shared" si="5"/>
        <v>40.657084188911703</v>
      </c>
      <c r="P66" s="75">
        <f>VLOOKUP($A66,'Data Vlaue (Cr)'!$C:$FB,119)</f>
        <v>0.66</v>
      </c>
      <c r="Q66" s="75">
        <f>VLOOKUP($A66,'Data Vlaue (Cr)'!$C:$FB,122)*100</f>
        <v>6.45</v>
      </c>
      <c r="R66" s="75">
        <f>VLOOKUP($A66,'Data Vlaue (Cr)'!$C:$FB,125)</f>
        <v>0.73</v>
      </c>
      <c r="S66" s="75">
        <f>VLOOKUP($A66,'Data Vlaue (Cr)'!$C:$FB,128)*100</f>
        <v>87.18</v>
      </c>
    </row>
    <row r="67" spans="1:19" x14ac:dyDescent="0.25">
      <c r="A67" s="96" t="str">
        <f>'Data Vlaue (Cr)'!C58</f>
        <v>DMART</v>
      </c>
      <c r="B67" s="75">
        <f>VLOOKUP($A67,'Data Vlaue (Cr)'!$C:$FB,2)</f>
        <v>150</v>
      </c>
      <c r="C67" s="75">
        <f>VLOOKUP($A67,'Data Vlaue (Cr)'!$C:$FB,8)</f>
        <v>3757.2</v>
      </c>
      <c r="D67" s="75">
        <f>VLOOKUP($A67,'Data Vlaue (Cr)'!$C:$FB,4)</f>
        <v>3769.6</v>
      </c>
      <c r="E67" s="75">
        <f>VLOOKUP($A67,'Data Vlaue (Cr)'!$C:$FB,5)</f>
        <v>3825.1</v>
      </c>
      <c r="F67" s="75">
        <f t="shared" si="0"/>
        <v>12.400000000000091</v>
      </c>
      <c r="G67" s="75">
        <f t="shared" si="1"/>
        <v>-1.472304753820034</v>
      </c>
      <c r="H67" s="75">
        <f>VLOOKUP($A67,'Data Vlaue (Cr)'!$C:$FB,99)</f>
        <v>3744</v>
      </c>
      <c r="I67" s="75">
        <f>VLOOKUP($A67,'Data Vlaue (Cr)'!$C:$FB,100)</f>
        <v>3557</v>
      </c>
      <c r="J67" s="75">
        <f t="shared" si="2"/>
        <v>187</v>
      </c>
      <c r="K67" s="75">
        <f t="shared" si="3"/>
        <v>4.9946581196581201</v>
      </c>
      <c r="L67" s="75">
        <f>VLOOKUP($A67,'Data Vlaue (Cr)'!$C:$FB,67)</f>
        <v>1944</v>
      </c>
      <c r="M67" s="75">
        <f>VLOOKUP($A67,'Data Vlaue (Cr)'!$C:$FB,68)</f>
        <v>1251</v>
      </c>
      <c r="N67" s="75">
        <f t="shared" si="4"/>
        <v>693</v>
      </c>
      <c r="O67" s="75">
        <f t="shared" si="5"/>
        <v>35.648148148148145</v>
      </c>
      <c r="P67" s="75">
        <f>VLOOKUP($A67,'Data Vlaue (Cr)'!$C:$FB,119)</f>
        <v>0.44</v>
      </c>
      <c r="Q67" s="75">
        <f>VLOOKUP($A67,'Data Vlaue (Cr)'!$C:$FB,122)*100</f>
        <v>-8.33</v>
      </c>
      <c r="R67" s="75">
        <f>VLOOKUP($A67,'Data Vlaue (Cr)'!$C:$FB,125)</f>
        <v>0.4</v>
      </c>
      <c r="S67" s="75">
        <f>VLOOKUP($A67,'Data Vlaue (Cr)'!$C:$FB,128)*100</f>
        <v>0</v>
      </c>
    </row>
    <row r="68" spans="1:19" x14ac:dyDescent="0.25">
      <c r="A68" s="96" t="str">
        <f>'Data Vlaue (Cr)'!C59</f>
        <v>DRREDDY</v>
      </c>
      <c r="B68" s="75">
        <f>VLOOKUP($A68,'Data Vlaue (Cr)'!$C:$FB,2)</f>
        <v>625</v>
      </c>
      <c r="C68" s="75">
        <f>VLOOKUP($A68,'Data Vlaue (Cr)'!$C:$FB,8)</f>
        <v>1280</v>
      </c>
      <c r="D68" s="75">
        <f>VLOOKUP($A68,'Data Vlaue (Cr)'!$C:$FB,4)</f>
        <v>1279.5999999999999</v>
      </c>
      <c r="E68" s="75">
        <f>VLOOKUP($A68,'Data Vlaue (Cr)'!$C:$FB,5)</f>
        <v>1273.2</v>
      </c>
      <c r="F68" s="75">
        <f t="shared" si="0"/>
        <v>-0.40000000000009095</v>
      </c>
      <c r="G68" s="75">
        <f t="shared" si="1"/>
        <v>0.50015629884337798</v>
      </c>
      <c r="H68" s="75">
        <f>VLOOKUP($A68,'Data Vlaue (Cr)'!$C:$FB,99)</f>
        <v>3065</v>
      </c>
      <c r="I68" s="75">
        <f>VLOOKUP($A68,'Data Vlaue (Cr)'!$C:$FB,100)</f>
        <v>3038</v>
      </c>
      <c r="J68" s="75">
        <f t="shared" si="2"/>
        <v>27</v>
      </c>
      <c r="K68" s="75">
        <f t="shared" si="3"/>
        <v>0.88091353996737365</v>
      </c>
      <c r="L68" s="75">
        <f>VLOOKUP($A68,'Data Vlaue (Cr)'!$C:$FB,67)</f>
        <v>936</v>
      </c>
      <c r="M68" s="75">
        <f>VLOOKUP($A68,'Data Vlaue (Cr)'!$C:$FB,68)</f>
        <v>832</v>
      </c>
      <c r="N68" s="75">
        <f t="shared" si="4"/>
        <v>104</v>
      </c>
      <c r="O68" s="75">
        <f t="shared" si="5"/>
        <v>11.111111111111111</v>
      </c>
      <c r="P68" s="75">
        <f>VLOOKUP($A68,'Data Vlaue (Cr)'!$C:$FB,119)</f>
        <v>0.5</v>
      </c>
      <c r="Q68" s="75">
        <f>VLOOKUP($A68,'Data Vlaue (Cr)'!$C:$FB,122)*100</f>
        <v>2.04</v>
      </c>
      <c r="R68" s="75">
        <f>VLOOKUP($A68,'Data Vlaue (Cr)'!$C:$FB,125)</f>
        <v>0.53</v>
      </c>
      <c r="S68" s="75">
        <f>VLOOKUP($A68,'Data Vlaue (Cr)'!$C:$FB,128)*100</f>
        <v>0</v>
      </c>
    </row>
    <row r="69" spans="1:19" x14ac:dyDescent="0.25">
      <c r="A69" s="96" t="str">
        <f>'Data Vlaue (Cr)'!C60</f>
        <v>EICHERMOT</v>
      </c>
      <c r="B69" s="75">
        <f>VLOOKUP($A69,'Data Vlaue (Cr)'!$C:$FB,2)</f>
        <v>175</v>
      </c>
      <c r="C69" s="75">
        <f>VLOOKUP($A69,'Data Vlaue (Cr)'!$C:$FB,8)</f>
        <v>7106.5</v>
      </c>
      <c r="D69" s="75">
        <f>VLOOKUP($A69,'Data Vlaue (Cr)'!$C:$FB,4)</f>
        <v>7113.5</v>
      </c>
      <c r="E69" s="75">
        <f>VLOOKUP($A69,'Data Vlaue (Cr)'!$C:$FB,5)</f>
        <v>7144</v>
      </c>
      <c r="F69" s="75">
        <f t="shared" si="0"/>
        <v>7</v>
      </c>
      <c r="G69" s="75">
        <f t="shared" si="1"/>
        <v>-0.42876221269417303</v>
      </c>
      <c r="H69" s="75">
        <f>VLOOKUP($A69,'Data Vlaue (Cr)'!$C:$FB,99)</f>
        <v>5561</v>
      </c>
      <c r="I69" s="75">
        <f>VLOOKUP($A69,'Data Vlaue (Cr)'!$C:$FB,100)</f>
        <v>5671</v>
      </c>
      <c r="J69" s="75">
        <f t="shared" si="2"/>
        <v>-110</v>
      </c>
      <c r="K69" s="75">
        <f t="shared" si="3"/>
        <v>-1.9780614997302641</v>
      </c>
      <c r="L69" s="75">
        <f>VLOOKUP($A69,'Data Vlaue (Cr)'!$C:$FB,67)</f>
        <v>5605</v>
      </c>
      <c r="M69" s="75">
        <f>VLOOKUP($A69,'Data Vlaue (Cr)'!$C:$FB,68)</f>
        <v>5886</v>
      </c>
      <c r="N69" s="75">
        <f t="shared" si="4"/>
        <v>-281</v>
      </c>
      <c r="O69" s="75">
        <f t="shared" si="5"/>
        <v>-5.0133809099018736</v>
      </c>
      <c r="P69" s="75">
        <f>VLOOKUP($A69,'Data Vlaue (Cr)'!$C:$FB,119)</f>
        <v>0.72</v>
      </c>
      <c r="Q69" s="75">
        <f>VLOOKUP($A69,'Data Vlaue (Cr)'!$C:$FB,122)*100</f>
        <v>-2.7</v>
      </c>
      <c r="R69" s="75">
        <f>VLOOKUP($A69,'Data Vlaue (Cr)'!$C:$FB,125)</f>
        <v>0.78</v>
      </c>
      <c r="S69" s="75">
        <f>VLOOKUP($A69,'Data Vlaue (Cr)'!$C:$FB,128)*100</f>
        <v>47.17</v>
      </c>
    </row>
    <row r="70" spans="1:19" x14ac:dyDescent="0.25">
      <c r="A70" s="96" t="str">
        <f>'Data Vlaue (Cr)'!C61</f>
        <v>ETERNAL</v>
      </c>
      <c r="B70" s="75">
        <f>VLOOKUP($A70,'Data Vlaue (Cr)'!$C:$FB,2)</f>
        <v>2425</v>
      </c>
      <c r="C70" s="75">
        <f>VLOOKUP($A70,'Data Vlaue (Cr)'!$C:$FB,8)</f>
        <v>284.75</v>
      </c>
      <c r="D70" s="75">
        <f>VLOOKUP($A70,'Data Vlaue (Cr)'!$C:$FB,4)</f>
        <v>285.5</v>
      </c>
      <c r="E70" s="75">
        <f>VLOOKUP($A70,'Data Vlaue (Cr)'!$C:$FB,5)</f>
        <v>285</v>
      </c>
      <c r="F70" s="75">
        <f t="shared" si="0"/>
        <v>0.75</v>
      </c>
      <c r="G70" s="75">
        <f t="shared" si="1"/>
        <v>0.17513134851138354</v>
      </c>
      <c r="H70" s="75">
        <f>VLOOKUP($A70,'Data Vlaue (Cr)'!$C:$FB,99)</f>
        <v>12963</v>
      </c>
      <c r="I70" s="75">
        <f>VLOOKUP($A70,'Data Vlaue (Cr)'!$C:$FB,100)</f>
        <v>12956</v>
      </c>
      <c r="J70" s="75">
        <f t="shared" si="2"/>
        <v>7</v>
      </c>
      <c r="K70" s="75">
        <f t="shared" si="3"/>
        <v>5.3999845714726533E-2</v>
      </c>
      <c r="L70" s="75">
        <f>VLOOKUP($A70,'Data Vlaue (Cr)'!$C:$FB,67)</f>
        <v>3738</v>
      </c>
      <c r="M70" s="75">
        <f>VLOOKUP($A70,'Data Vlaue (Cr)'!$C:$FB,68)</f>
        <v>5421</v>
      </c>
      <c r="N70" s="75">
        <f t="shared" si="4"/>
        <v>-1683</v>
      </c>
      <c r="O70" s="75">
        <f t="shared" si="5"/>
        <v>-45.024077046548953</v>
      </c>
      <c r="P70" s="75">
        <f>VLOOKUP($A70,'Data Vlaue (Cr)'!$C:$FB,119)</f>
        <v>0.53</v>
      </c>
      <c r="Q70" s="75">
        <f>VLOOKUP($A70,'Data Vlaue (Cr)'!$C:$FB,122)*100</f>
        <v>0</v>
      </c>
      <c r="R70" s="75">
        <f>VLOOKUP($A70,'Data Vlaue (Cr)'!$C:$FB,125)</f>
        <v>0.55000000000000004</v>
      </c>
      <c r="S70" s="75">
        <f>VLOOKUP($A70,'Data Vlaue (Cr)'!$C:$FB,128)*100</f>
        <v>-8.33</v>
      </c>
    </row>
    <row r="71" spans="1:19" x14ac:dyDescent="0.25">
      <c r="A71" s="96" t="str">
        <f>'Data Vlaue (Cr)'!C62</f>
        <v>EXIDEIND</v>
      </c>
      <c r="B71" s="75">
        <f>VLOOKUP($A71,'Data Vlaue (Cr)'!$C:$FB,2)</f>
        <v>1800</v>
      </c>
      <c r="C71" s="75">
        <f>VLOOKUP($A71,'Data Vlaue (Cr)'!$C:$FB,8)</f>
        <v>359.05</v>
      </c>
      <c r="D71" s="75">
        <f>VLOOKUP($A71,'Data Vlaue (Cr)'!$C:$FB,4)</f>
        <v>359.5</v>
      </c>
      <c r="E71" s="75">
        <f>VLOOKUP($A71,'Data Vlaue (Cr)'!$C:$FB,5)</f>
        <v>364.1</v>
      </c>
      <c r="F71" s="75">
        <f t="shared" si="0"/>
        <v>0.44999999999998863</v>
      </c>
      <c r="G71" s="75">
        <f t="shared" si="1"/>
        <v>-1.2795549374130801</v>
      </c>
      <c r="H71" s="75">
        <f>VLOOKUP($A71,'Data Vlaue (Cr)'!$C:$FB,99)</f>
        <v>1896</v>
      </c>
      <c r="I71" s="75">
        <f>VLOOKUP($A71,'Data Vlaue (Cr)'!$C:$FB,100)</f>
        <v>1809</v>
      </c>
      <c r="J71" s="75">
        <f t="shared" si="2"/>
        <v>87</v>
      </c>
      <c r="K71" s="75">
        <f t="shared" si="3"/>
        <v>4.5886075949367093</v>
      </c>
      <c r="L71" s="75">
        <f>VLOOKUP($A71,'Data Vlaue (Cr)'!$C:$FB,67)</f>
        <v>801</v>
      </c>
      <c r="M71" s="75">
        <f>VLOOKUP($A71,'Data Vlaue (Cr)'!$C:$FB,68)</f>
        <v>595</v>
      </c>
      <c r="N71" s="75">
        <f t="shared" si="4"/>
        <v>206</v>
      </c>
      <c r="O71" s="75">
        <f t="shared" si="5"/>
        <v>25.71785268414482</v>
      </c>
      <c r="P71" s="75">
        <f>VLOOKUP($A71,'Data Vlaue (Cr)'!$C:$FB,119)</f>
        <v>0.66</v>
      </c>
      <c r="Q71" s="75">
        <f>VLOOKUP($A71,'Data Vlaue (Cr)'!$C:$FB,122)*100</f>
        <v>-7.04</v>
      </c>
      <c r="R71" s="75">
        <f>VLOOKUP($A71,'Data Vlaue (Cr)'!$C:$FB,125)</f>
        <v>0.47</v>
      </c>
      <c r="S71" s="75">
        <f>VLOOKUP($A71,'Data Vlaue (Cr)'!$C:$FB,128)*100</f>
        <v>14.63</v>
      </c>
    </row>
    <row r="72" spans="1:19" x14ac:dyDescent="0.25">
      <c r="A72" s="96" t="str">
        <f>'Data Vlaue (Cr)'!C63</f>
        <v>FEDERALBNK</v>
      </c>
      <c r="B72" s="75">
        <f>VLOOKUP($A72,'Data Vlaue (Cr)'!$C:$FB,2)</f>
        <v>5000</v>
      </c>
      <c r="C72" s="75">
        <f>VLOOKUP($A72,'Data Vlaue (Cr)'!$C:$FB,8)</f>
        <v>265.39999999999998</v>
      </c>
      <c r="D72" s="75">
        <f>VLOOKUP($A72,'Data Vlaue (Cr)'!$C:$FB,4)</f>
        <v>265.5</v>
      </c>
      <c r="E72" s="75">
        <f>VLOOKUP($A72,'Data Vlaue (Cr)'!$C:$FB,5)</f>
        <v>264.3</v>
      </c>
      <c r="F72" s="75">
        <f t="shared" si="0"/>
        <v>0.10000000000002274</v>
      </c>
      <c r="G72" s="75">
        <f t="shared" si="1"/>
        <v>0.45197740112993917</v>
      </c>
      <c r="H72" s="75">
        <f>VLOOKUP($A72,'Data Vlaue (Cr)'!$C:$FB,99)</f>
        <v>4088</v>
      </c>
      <c r="I72" s="75">
        <f>VLOOKUP($A72,'Data Vlaue (Cr)'!$C:$FB,100)</f>
        <v>4115</v>
      </c>
      <c r="J72" s="75">
        <f t="shared" si="2"/>
        <v>-27</v>
      </c>
      <c r="K72" s="75">
        <f t="shared" si="3"/>
        <v>-0.66046966731898238</v>
      </c>
      <c r="L72" s="75">
        <f>VLOOKUP($A72,'Data Vlaue (Cr)'!$C:$FB,67)</f>
        <v>2973</v>
      </c>
      <c r="M72" s="75">
        <f>VLOOKUP($A72,'Data Vlaue (Cr)'!$C:$FB,68)</f>
        <v>2319</v>
      </c>
      <c r="N72" s="75">
        <f t="shared" si="4"/>
        <v>654</v>
      </c>
      <c r="O72" s="75">
        <f t="shared" si="5"/>
        <v>21.997981836528758</v>
      </c>
      <c r="P72" s="75">
        <f>VLOOKUP($A72,'Data Vlaue (Cr)'!$C:$FB,119)</f>
        <v>1.03</v>
      </c>
      <c r="Q72" s="75">
        <f>VLOOKUP($A72,'Data Vlaue (Cr)'!$C:$FB,122)*100</f>
        <v>4.04</v>
      </c>
      <c r="R72" s="75">
        <f>VLOOKUP($A72,'Data Vlaue (Cr)'!$C:$FB,125)</f>
        <v>0.74</v>
      </c>
      <c r="S72" s="75">
        <f>VLOOKUP($A72,'Data Vlaue (Cr)'!$C:$FB,128)*100</f>
        <v>25.419999999999998</v>
      </c>
    </row>
    <row r="73" spans="1:19" x14ac:dyDescent="0.25">
      <c r="A73" s="96" t="str">
        <f>'Data Vlaue (Cr)'!C64</f>
        <v>FINNIFTY</v>
      </c>
      <c r="B73" s="75">
        <f>VLOOKUP($A73,'Data Vlaue (Cr)'!$C:$FB,2)</f>
        <v>65</v>
      </c>
      <c r="C73" s="75">
        <f>VLOOKUP($A73,'Data Vlaue (Cr)'!$C:$FB,8)</f>
        <v>27267.1</v>
      </c>
      <c r="D73" s="75">
        <f>VLOOKUP($A73,'Data Vlaue (Cr)'!$C:$FB,4)</f>
        <v>27368.5</v>
      </c>
      <c r="E73" s="75">
        <f>VLOOKUP($A73,'Data Vlaue (Cr)'!$C:$FB,5)</f>
        <v>27375.7</v>
      </c>
      <c r="F73" s="75">
        <f t="shared" si="0"/>
        <v>101.40000000000146</v>
      </c>
      <c r="G73" s="75">
        <f t="shared" si="1"/>
        <v>-2.6307616420339908E-2</v>
      </c>
      <c r="H73" s="75">
        <f>VLOOKUP($A73,'Data Vlaue (Cr)'!$C:$FB,99)</f>
        <v>4419</v>
      </c>
      <c r="I73" s="75">
        <f>VLOOKUP($A73,'Data Vlaue (Cr)'!$C:$FB,100)</f>
        <v>4191</v>
      </c>
      <c r="J73" s="75">
        <f t="shared" si="2"/>
        <v>228</v>
      </c>
      <c r="K73" s="75">
        <f t="shared" si="3"/>
        <v>5.1595383570943651</v>
      </c>
      <c r="L73" s="75">
        <f>VLOOKUP($A73,'Data Vlaue (Cr)'!$C:$FB,67)</f>
        <v>7596</v>
      </c>
      <c r="M73" s="75">
        <f>VLOOKUP($A73,'Data Vlaue (Cr)'!$C:$FB,68)</f>
        <v>8199</v>
      </c>
      <c r="N73" s="75">
        <f t="shared" si="4"/>
        <v>-603</v>
      </c>
      <c r="O73" s="75">
        <f t="shared" si="5"/>
        <v>-7.9383886255924168</v>
      </c>
      <c r="P73" s="75">
        <f>VLOOKUP($A73,'Data Vlaue (Cr)'!$C:$FB,119)</f>
        <v>0.63</v>
      </c>
      <c r="Q73" s="75">
        <f>VLOOKUP($A73,'Data Vlaue (Cr)'!$C:$FB,122)*100</f>
        <v>10.530000000000001</v>
      </c>
      <c r="R73" s="75">
        <f>VLOOKUP($A73,'Data Vlaue (Cr)'!$C:$FB,125)</f>
        <v>0.86</v>
      </c>
      <c r="S73" s="75">
        <f>VLOOKUP($A73,'Data Vlaue (Cr)'!$C:$FB,128)*100</f>
        <v>30.3</v>
      </c>
    </row>
    <row r="74" spans="1:19" x14ac:dyDescent="0.25">
      <c r="A74" s="96" t="str">
        <f>'Data Vlaue (Cr)'!C65</f>
        <v>FORTIS</v>
      </c>
      <c r="B74" s="75">
        <f>VLOOKUP($A74,'Data Vlaue (Cr)'!$C:$FB,2)</f>
        <v>775</v>
      </c>
      <c r="C74" s="75">
        <f>VLOOKUP($A74,'Data Vlaue (Cr)'!$C:$FB,8)</f>
        <v>866.35</v>
      </c>
      <c r="D74" s="75">
        <f>VLOOKUP($A74,'Data Vlaue (Cr)'!$C:$FB,4)</f>
        <v>866.8</v>
      </c>
      <c r="E74" s="75">
        <f>VLOOKUP($A74,'Data Vlaue (Cr)'!$C:$FB,5)</f>
        <v>871.65</v>
      </c>
      <c r="F74" s="75">
        <f t="shared" si="0"/>
        <v>0.44999999999993179</v>
      </c>
      <c r="G74" s="75">
        <f t="shared" si="1"/>
        <v>-0.55952930318412819</v>
      </c>
      <c r="H74" s="75">
        <f>VLOOKUP($A74,'Data Vlaue (Cr)'!$C:$FB,99)</f>
        <v>2048</v>
      </c>
      <c r="I74" s="75">
        <f>VLOOKUP($A74,'Data Vlaue (Cr)'!$C:$FB,100)</f>
        <v>2088</v>
      </c>
      <c r="J74" s="75">
        <f t="shared" si="2"/>
        <v>-40</v>
      </c>
      <c r="K74" s="75">
        <f t="shared" si="3"/>
        <v>-1.953125</v>
      </c>
      <c r="L74" s="75">
        <f>VLOOKUP($A74,'Data Vlaue (Cr)'!$C:$FB,67)</f>
        <v>963</v>
      </c>
      <c r="M74" s="75">
        <f>VLOOKUP($A74,'Data Vlaue (Cr)'!$C:$FB,68)</f>
        <v>539</v>
      </c>
      <c r="N74" s="75">
        <f t="shared" si="4"/>
        <v>424</v>
      </c>
      <c r="O74" s="75">
        <f t="shared" si="5"/>
        <v>44.029075804776738</v>
      </c>
      <c r="P74" s="75">
        <f>VLOOKUP($A74,'Data Vlaue (Cr)'!$C:$FB,119)</f>
        <v>0.45</v>
      </c>
      <c r="Q74" s="75">
        <f>VLOOKUP($A74,'Data Vlaue (Cr)'!$C:$FB,122)*100</f>
        <v>2.27</v>
      </c>
      <c r="R74" s="75">
        <f>VLOOKUP($A74,'Data Vlaue (Cr)'!$C:$FB,125)</f>
        <v>0.56000000000000005</v>
      </c>
      <c r="S74" s="75">
        <f>VLOOKUP($A74,'Data Vlaue (Cr)'!$C:$FB,128)*100</f>
        <v>40</v>
      </c>
    </row>
    <row r="75" spans="1:19" x14ac:dyDescent="0.25">
      <c r="A75" s="96" t="str">
        <f>'Data Vlaue (Cr)'!C66</f>
        <v>GAIL</v>
      </c>
      <c r="B75" s="75">
        <f>VLOOKUP($A75,'Data Vlaue (Cr)'!$C:$FB,2)</f>
        <v>3150</v>
      </c>
      <c r="C75" s="75">
        <f>VLOOKUP($A75,'Data Vlaue (Cr)'!$C:$FB,8)</f>
        <v>167.55</v>
      </c>
      <c r="D75" s="75">
        <f>VLOOKUP($A75,'Data Vlaue (Cr)'!$C:$FB,4)</f>
        <v>168.09</v>
      </c>
      <c r="E75" s="75">
        <f>VLOOKUP($A75,'Data Vlaue (Cr)'!$C:$FB,5)</f>
        <v>169.34</v>
      </c>
      <c r="F75" s="75">
        <f t="shared" si="0"/>
        <v>0.53999999999999204</v>
      </c>
      <c r="G75" s="75">
        <f>(D75-E75)/D75*100</f>
        <v>-0.74364923552858586</v>
      </c>
      <c r="H75" s="75">
        <f>VLOOKUP($A75,'Data Vlaue (Cr)'!$C:$FB,99)</f>
        <v>3583</v>
      </c>
      <c r="I75" s="75">
        <f>VLOOKUP($A75,'Data Vlaue (Cr)'!$C:$FB,100)</f>
        <v>3585</v>
      </c>
      <c r="J75" s="75">
        <f t="shared" si="2"/>
        <v>-2</v>
      </c>
      <c r="K75" s="75">
        <f t="shared" si="3"/>
        <v>-5.5819145967066705E-2</v>
      </c>
      <c r="L75" s="75">
        <f>VLOOKUP($A75,'Data Vlaue (Cr)'!$C:$FB,67)</f>
        <v>675</v>
      </c>
      <c r="M75" s="75">
        <f>VLOOKUP($A75,'Data Vlaue (Cr)'!$C:$FB,68)</f>
        <v>694</v>
      </c>
      <c r="N75" s="75">
        <f t="shared" si="4"/>
        <v>-19</v>
      </c>
      <c r="O75" s="75">
        <f t="shared" si="5"/>
        <v>-2.8148148148148149</v>
      </c>
      <c r="P75" s="75">
        <f>VLOOKUP($A75,'Data Vlaue (Cr)'!$C:$FB,119)</f>
        <v>0.65</v>
      </c>
      <c r="Q75" s="75">
        <f>VLOOKUP($A75,'Data Vlaue (Cr)'!$C:$FB,122)*100</f>
        <v>-1.52</v>
      </c>
      <c r="R75" s="75">
        <f>VLOOKUP($A75,'Data Vlaue (Cr)'!$C:$FB,125)</f>
        <v>0.4</v>
      </c>
      <c r="S75" s="75">
        <f>VLOOKUP($A75,'Data Vlaue (Cr)'!$C:$FB,128)*100</f>
        <v>2.56</v>
      </c>
    </row>
    <row r="76" spans="1:19" x14ac:dyDescent="0.25">
      <c r="A76" s="96" t="str">
        <f>'Data Vlaue (Cr)'!C67</f>
        <v>GLENMARK</v>
      </c>
      <c r="B76" s="75">
        <f>VLOOKUP($A76,'Data Vlaue (Cr)'!$C:$FB,2)</f>
        <v>375</v>
      </c>
      <c r="C76" s="75">
        <f>VLOOKUP($A76,'Data Vlaue (Cr)'!$C:$FB,8)</f>
        <v>1957.1</v>
      </c>
      <c r="D76" s="75">
        <f>VLOOKUP($A76,'Data Vlaue (Cr)'!$C:$FB,4)</f>
        <v>1959.4</v>
      </c>
      <c r="E76" s="75">
        <f>VLOOKUP($A76,'Data Vlaue (Cr)'!$C:$FB,5)</f>
        <v>1951.9</v>
      </c>
      <c r="F76" s="75">
        <f t="shared" ref="F76:F139" si="6">D76-C76</f>
        <v>2.3000000000001819</v>
      </c>
      <c r="G76" s="75">
        <f t="shared" ref="G76:G139" si="7">(D76-E76)/D76*100</f>
        <v>0.38277023578646518</v>
      </c>
      <c r="H76" s="75">
        <f>VLOOKUP($A76,'Data Vlaue (Cr)'!$C:$FB,99)</f>
        <v>4245</v>
      </c>
      <c r="I76" s="75">
        <f>VLOOKUP($A76,'Data Vlaue (Cr)'!$C:$FB,100)</f>
        <v>4262</v>
      </c>
      <c r="J76" s="75">
        <f t="shared" ref="J76:J139" si="8">H76-I76</f>
        <v>-17</v>
      </c>
      <c r="K76" s="75">
        <f t="shared" ref="K76:K139" si="9">J76/H76*100</f>
        <v>-0.4004711425206125</v>
      </c>
      <c r="L76" s="75">
        <f>VLOOKUP($A76,'Data Vlaue (Cr)'!$C:$FB,67)</f>
        <v>1298</v>
      </c>
      <c r="M76" s="75">
        <f>VLOOKUP($A76,'Data Vlaue (Cr)'!$C:$FB,68)</f>
        <v>1292</v>
      </c>
      <c r="N76" s="75">
        <f t="shared" ref="N76:N139" si="10">L76-M76</f>
        <v>6</v>
      </c>
      <c r="O76" s="75">
        <f t="shared" ref="O76:O139" si="11">N76/L76*100</f>
        <v>0.46224961479198773</v>
      </c>
      <c r="P76" s="75">
        <f>VLOOKUP($A76,'Data Vlaue (Cr)'!$C:$FB,119)</f>
        <v>0.73</v>
      </c>
      <c r="Q76" s="75">
        <f>VLOOKUP($A76,'Data Vlaue (Cr)'!$C:$FB,122)*100</f>
        <v>1.39</v>
      </c>
      <c r="R76" s="75">
        <f>VLOOKUP($A76,'Data Vlaue (Cr)'!$C:$FB,125)</f>
        <v>0.56999999999999995</v>
      </c>
      <c r="S76" s="75">
        <f>VLOOKUP($A76,'Data Vlaue (Cr)'!$C:$FB,128)*100</f>
        <v>18.75</v>
      </c>
    </row>
    <row r="77" spans="1:19" x14ac:dyDescent="0.25">
      <c r="A77" s="96" t="str">
        <f>'Data Vlaue (Cr)'!C68</f>
        <v>GMRAIRPORT</v>
      </c>
      <c r="B77" s="75">
        <f>VLOOKUP($A77,'Data Vlaue (Cr)'!$C:$FB,2)</f>
        <v>6975</v>
      </c>
      <c r="C77" s="75">
        <f>VLOOKUP($A77,'Data Vlaue (Cr)'!$C:$FB,8)</f>
        <v>100.59</v>
      </c>
      <c r="D77" s="75">
        <f>VLOOKUP($A77,'Data Vlaue (Cr)'!$C:$FB,4)</f>
        <v>100.68</v>
      </c>
      <c r="E77" s="75">
        <f>VLOOKUP($A77,'Data Vlaue (Cr)'!$C:$FB,5)</f>
        <v>101.13</v>
      </c>
      <c r="F77" s="75">
        <f t="shared" si="6"/>
        <v>9.0000000000003411E-2</v>
      </c>
      <c r="G77" s="75">
        <f t="shared" si="7"/>
        <v>-0.44696066746125207</v>
      </c>
      <c r="H77" s="75">
        <f>VLOOKUP($A77,'Data Vlaue (Cr)'!$C:$FB,99)</f>
        <v>4126</v>
      </c>
      <c r="I77" s="75">
        <f>VLOOKUP($A77,'Data Vlaue (Cr)'!$C:$FB,100)</f>
        <v>4078</v>
      </c>
      <c r="J77" s="75">
        <f t="shared" si="8"/>
        <v>48</v>
      </c>
      <c r="K77" s="75">
        <f t="shared" si="9"/>
        <v>1.16335433834222</v>
      </c>
      <c r="L77" s="75">
        <f>VLOOKUP($A77,'Data Vlaue (Cr)'!$C:$FB,67)</f>
        <v>2129</v>
      </c>
      <c r="M77" s="75">
        <f>VLOOKUP($A77,'Data Vlaue (Cr)'!$C:$FB,68)</f>
        <v>2197</v>
      </c>
      <c r="N77" s="75">
        <f t="shared" si="10"/>
        <v>-68</v>
      </c>
      <c r="O77" s="75">
        <f t="shared" si="11"/>
        <v>-3.1939877876937528</v>
      </c>
      <c r="P77" s="75">
        <f>VLOOKUP($A77,'Data Vlaue (Cr)'!$C:$FB,119)</f>
        <v>0.5</v>
      </c>
      <c r="Q77" s="75">
        <f>VLOOKUP($A77,'Data Vlaue (Cr)'!$C:$FB,122)*100</f>
        <v>-7.41</v>
      </c>
      <c r="R77" s="75">
        <f>VLOOKUP($A77,'Data Vlaue (Cr)'!$C:$FB,125)</f>
        <v>0.42</v>
      </c>
      <c r="S77" s="75">
        <f>VLOOKUP($A77,'Data Vlaue (Cr)'!$C:$FB,128)*100</f>
        <v>-8.6999999999999993</v>
      </c>
    </row>
    <row r="78" spans="1:19" x14ac:dyDescent="0.25">
      <c r="A78" s="96" t="str">
        <f>'Data Vlaue (Cr)'!C69</f>
        <v>GODREJCP</v>
      </c>
      <c r="B78" s="75">
        <f>VLOOKUP($A78,'Data Vlaue (Cr)'!$C:$FB,2)</f>
        <v>500</v>
      </c>
      <c r="C78" s="75">
        <f>VLOOKUP($A78,'Data Vlaue (Cr)'!$C:$FB,8)</f>
        <v>1186.8</v>
      </c>
      <c r="D78" s="75">
        <f>VLOOKUP($A78,'Data Vlaue (Cr)'!$C:$FB,4)</f>
        <v>1189.0999999999999</v>
      </c>
      <c r="E78" s="75">
        <f>VLOOKUP($A78,'Data Vlaue (Cr)'!$C:$FB,5)</f>
        <v>1180.5</v>
      </c>
      <c r="F78" s="75">
        <f t="shared" si="6"/>
        <v>2.2999999999999545</v>
      </c>
      <c r="G78" s="75">
        <f t="shared" si="7"/>
        <v>0.72323606088637704</v>
      </c>
      <c r="H78" s="75">
        <f>VLOOKUP($A78,'Data Vlaue (Cr)'!$C:$FB,99)</f>
        <v>1691</v>
      </c>
      <c r="I78" s="75">
        <f>VLOOKUP($A78,'Data Vlaue (Cr)'!$C:$FB,100)</f>
        <v>1690</v>
      </c>
      <c r="J78" s="75">
        <f t="shared" si="8"/>
        <v>1</v>
      </c>
      <c r="K78" s="75">
        <f t="shared" si="9"/>
        <v>5.9136605558840927E-2</v>
      </c>
      <c r="L78" s="75">
        <f>VLOOKUP($A78,'Data Vlaue (Cr)'!$C:$FB,67)</f>
        <v>533</v>
      </c>
      <c r="M78" s="75">
        <f>VLOOKUP($A78,'Data Vlaue (Cr)'!$C:$FB,68)</f>
        <v>573</v>
      </c>
      <c r="N78" s="75">
        <f t="shared" si="10"/>
        <v>-40</v>
      </c>
      <c r="O78" s="75">
        <f t="shared" si="11"/>
        <v>-7.5046904315197001</v>
      </c>
      <c r="P78" s="75">
        <f>VLOOKUP($A78,'Data Vlaue (Cr)'!$C:$FB,119)</f>
        <v>0.7</v>
      </c>
      <c r="Q78" s="75">
        <f>VLOOKUP($A78,'Data Vlaue (Cr)'!$C:$FB,122)*100</f>
        <v>9.370000000000001</v>
      </c>
      <c r="R78" s="75">
        <f>VLOOKUP($A78,'Data Vlaue (Cr)'!$C:$FB,125)</f>
        <v>0.56000000000000005</v>
      </c>
      <c r="S78" s="75">
        <f>VLOOKUP($A78,'Data Vlaue (Cr)'!$C:$FB,128)*100</f>
        <v>14.29</v>
      </c>
    </row>
    <row r="79" spans="1:19" x14ac:dyDescent="0.25">
      <c r="A79" s="96" t="str">
        <f>'Data Vlaue (Cr)'!C70</f>
        <v>GODREJPROP</v>
      </c>
      <c r="B79" s="75">
        <f>VLOOKUP($A79,'Data Vlaue (Cr)'!$C:$FB,2)</f>
        <v>275</v>
      </c>
      <c r="C79" s="75">
        <f>VLOOKUP($A79,'Data Vlaue (Cr)'!$C:$FB,8)</f>
        <v>1999.8</v>
      </c>
      <c r="D79" s="75">
        <f>VLOOKUP($A79,'Data Vlaue (Cr)'!$C:$FB,4)</f>
        <v>2005.5</v>
      </c>
      <c r="E79" s="75">
        <f>VLOOKUP($A79,'Data Vlaue (Cr)'!$C:$FB,5)</f>
        <v>2018.7</v>
      </c>
      <c r="F79" s="75">
        <f t="shared" si="6"/>
        <v>5.7000000000000455</v>
      </c>
      <c r="G79" s="75">
        <f t="shared" si="7"/>
        <v>-0.65818997756170761</v>
      </c>
      <c r="H79" s="75">
        <f>VLOOKUP($A79,'Data Vlaue (Cr)'!$C:$FB,99)</f>
        <v>2954</v>
      </c>
      <c r="I79" s="75">
        <f>VLOOKUP($A79,'Data Vlaue (Cr)'!$C:$FB,100)</f>
        <v>2910</v>
      </c>
      <c r="J79" s="75">
        <f t="shared" si="8"/>
        <v>44</v>
      </c>
      <c r="K79" s="75">
        <f t="shared" si="9"/>
        <v>1.4895057549085984</v>
      </c>
      <c r="L79" s="75">
        <f>VLOOKUP($A79,'Data Vlaue (Cr)'!$C:$FB,67)</f>
        <v>962</v>
      </c>
      <c r="M79" s="75">
        <f>VLOOKUP($A79,'Data Vlaue (Cr)'!$C:$FB,68)</f>
        <v>632</v>
      </c>
      <c r="N79" s="75">
        <f t="shared" si="10"/>
        <v>330</v>
      </c>
      <c r="O79" s="75">
        <f t="shared" si="11"/>
        <v>34.303534303534306</v>
      </c>
      <c r="P79" s="75">
        <f>VLOOKUP($A79,'Data Vlaue (Cr)'!$C:$FB,119)</f>
        <v>0.57999999999999996</v>
      </c>
      <c r="Q79" s="75">
        <f>VLOOKUP($A79,'Data Vlaue (Cr)'!$C:$FB,122)*100</f>
        <v>-3.3300000000000005</v>
      </c>
      <c r="R79" s="75">
        <f>VLOOKUP($A79,'Data Vlaue (Cr)'!$C:$FB,125)</f>
        <v>0.31</v>
      </c>
      <c r="S79" s="75">
        <f>VLOOKUP($A79,'Data Vlaue (Cr)'!$C:$FB,128)*100</f>
        <v>-49.18</v>
      </c>
    </row>
    <row r="80" spans="1:19" x14ac:dyDescent="0.25">
      <c r="A80" s="96" t="str">
        <f>'Data Vlaue (Cr)'!C71</f>
        <v>GRASIM</v>
      </c>
      <c r="B80" s="75">
        <f>VLOOKUP($A80,'Data Vlaue (Cr)'!$C:$FB,2)</f>
        <v>250</v>
      </c>
      <c r="C80" s="75">
        <f>VLOOKUP($A80,'Data Vlaue (Cr)'!$C:$FB,8)</f>
        <v>2807.6</v>
      </c>
      <c r="D80" s="75">
        <f>VLOOKUP($A80,'Data Vlaue (Cr)'!$C:$FB,4)</f>
        <v>2812</v>
      </c>
      <c r="E80" s="75">
        <f>VLOOKUP($A80,'Data Vlaue (Cr)'!$C:$FB,5)</f>
        <v>2813.1</v>
      </c>
      <c r="F80" s="75">
        <f t="shared" si="6"/>
        <v>4.4000000000000909</v>
      </c>
      <c r="G80" s="75">
        <f t="shared" si="7"/>
        <v>-3.911806543385167E-2</v>
      </c>
      <c r="H80" s="75">
        <f>VLOOKUP($A80,'Data Vlaue (Cr)'!$C:$FB,99)</f>
        <v>5792</v>
      </c>
      <c r="I80" s="75">
        <f>VLOOKUP($A80,'Data Vlaue (Cr)'!$C:$FB,100)</f>
        <v>5782</v>
      </c>
      <c r="J80" s="75">
        <f t="shared" si="8"/>
        <v>10</v>
      </c>
      <c r="K80" s="75">
        <f t="shared" si="9"/>
        <v>0.17265193370165746</v>
      </c>
      <c r="L80" s="75">
        <f>VLOOKUP($A80,'Data Vlaue (Cr)'!$C:$FB,67)</f>
        <v>774</v>
      </c>
      <c r="M80" s="75">
        <f>VLOOKUP($A80,'Data Vlaue (Cr)'!$C:$FB,68)</f>
        <v>831</v>
      </c>
      <c r="N80" s="75">
        <f t="shared" si="10"/>
        <v>-57</v>
      </c>
      <c r="O80" s="75">
        <f t="shared" si="11"/>
        <v>-7.3643410852713185</v>
      </c>
      <c r="P80" s="75">
        <f>VLOOKUP($A80,'Data Vlaue (Cr)'!$C:$FB,119)</f>
        <v>1.0900000000000001</v>
      </c>
      <c r="Q80" s="75">
        <f>VLOOKUP($A80,'Data Vlaue (Cr)'!$C:$FB,122)*100</f>
        <v>0</v>
      </c>
      <c r="R80" s="75">
        <f>VLOOKUP($A80,'Data Vlaue (Cr)'!$C:$FB,125)</f>
        <v>0.53</v>
      </c>
      <c r="S80" s="75">
        <f>VLOOKUP($A80,'Data Vlaue (Cr)'!$C:$FB,128)*100</f>
        <v>0</v>
      </c>
    </row>
    <row r="81" spans="1:19" x14ac:dyDescent="0.25">
      <c r="A81" s="96" t="str">
        <f>'Data Vlaue (Cr)'!C72</f>
        <v>HAL</v>
      </c>
      <c r="B81" s="75">
        <f>VLOOKUP($A81,'Data Vlaue (Cr)'!$C:$FB,2)</f>
        <v>150</v>
      </c>
      <c r="C81" s="75">
        <f>VLOOKUP($A81,'Data Vlaue (Cr)'!$C:$FB,8)</f>
        <v>4259.5</v>
      </c>
      <c r="D81" s="75">
        <f>VLOOKUP($A81,'Data Vlaue (Cr)'!$C:$FB,4)</f>
        <v>4263</v>
      </c>
      <c r="E81" s="75">
        <f>VLOOKUP($A81,'Data Vlaue (Cr)'!$C:$FB,5)</f>
        <v>4242.1000000000004</v>
      </c>
      <c r="F81" s="75">
        <f t="shared" si="6"/>
        <v>3.5</v>
      </c>
      <c r="G81" s="75">
        <f t="shared" si="7"/>
        <v>0.49026507154585114</v>
      </c>
      <c r="H81" s="75">
        <f>VLOOKUP($A81,'Data Vlaue (Cr)'!$C:$FB,99)</f>
        <v>10164</v>
      </c>
      <c r="I81" s="75">
        <f>VLOOKUP($A81,'Data Vlaue (Cr)'!$C:$FB,100)</f>
        <v>10278</v>
      </c>
      <c r="J81" s="75">
        <f t="shared" si="8"/>
        <v>-114</v>
      </c>
      <c r="K81" s="75">
        <f t="shared" si="9"/>
        <v>-1.1216056670602124</v>
      </c>
      <c r="L81" s="75">
        <f>VLOOKUP($A81,'Data Vlaue (Cr)'!$C:$FB,67)</f>
        <v>4762</v>
      </c>
      <c r="M81" s="75">
        <f>VLOOKUP($A81,'Data Vlaue (Cr)'!$C:$FB,68)</f>
        <v>4122</v>
      </c>
      <c r="N81" s="75">
        <f t="shared" si="10"/>
        <v>640</v>
      </c>
      <c r="O81" s="75">
        <f t="shared" si="11"/>
        <v>13.439731205375892</v>
      </c>
      <c r="P81" s="75">
        <f>VLOOKUP($A81,'Data Vlaue (Cr)'!$C:$FB,119)</f>
        <v>0.52</v>
      </c>
      <c r="Q81" s="75">
        <f>VLOOKUP($A81,'Data Vlaue (Cr)'!$C:$FB,122)*100</f>
        <v>6.12</v>
      </c>
      <c r="R81" s="75">
        <f>VLOOKUP($A81,'Data Vlaue (Cr)'!$C:$FB,125)</f>
        <v>0.46</v>
      </c>
      <c r="S81" s="75">
        <f>VLOOKUP($A81,'Data Vlaue (Cr)'!$C:$FB,128)*100</f>
        <v>4.55</v>
      </c>
    </row>
    <row r="82" spans="1:19" x14ac:dyDescent="0.25">
      <c r="A82" s="96" t="str">
        <f>'Data Vlaue (Cr)'!C73</f>
        <v>HAVELLS</v>
      </c>
      <c r="B82" s="75">
        <f>VLOOKUP($A82,'Data Vlaue (Cr)'!$C:$FB,2)</f>
        <v>500</v>
      </c>
      <c r="C82" s="75">
        <f>VLOOKUP($A82,'Data Vlaue (Cr)'!$C:$FB,8)</f>
        <v>1401.2</v>
      </c>
      <c r="D82" s="75">
        <f>VLOOKUP($A82,'Data Vlaue (Cr)'!$C:$FB,4)</f>
        <v>1404.2</v>
      </c>
      <c r="E82" s="75">
        <f>VLOOKUP($A82,'Data Vlaue (Cr)'!$C:$FB,5)</f>
        <v>1398.7</v>
      </c>
      <c r="F82" s="75">
        <f t="shared" si="6"/>
        <v>3</v>
      </c>
      <c r="G82" s="75">
        <f t="shared" si="7"/>
        <v>0.39168209656744057</v>
      </c>
      <c r="H82" s="75">
        <f>VLOOKUP($A82,'Data Vlaue (Cr)'!$C:$FB,99)</f>
        <v>1836</v>
      </c>
      <c r="I82" s="75">
        <f>VLOOKUP($A82,'Data Vlaue (Cr)'!$C:$FB,100)</f>
        <v>1862</v>
      </c>
      <c r="J82" s="75">
        <f t="shared" si="8"/>
        <v>-26</v>
      </c>
      <c r="K82" s="75">
        <f t="shared" si="9"/>
        <v>-1.4161220043572984</v>
      </c>
      <c r="L82" s="75">
        <f>VLOOKUP($A82,'Data Vlaue (Cr)'!$C:$FB,67)</f>
        <v>642</v>
      </c>
      <c r="M82" s="75">
        <f>VLOOKUP($A82,'Data Vlaue (Cr)'!$C:$FB,68)</f>
        <v>556</v>
      </c>
      <c r="N82" s="75">
        <f t="shared" si="10"/>
        <v>86</v>
      </c>
      <c r="O82" s="75">
        <f t="shared" si="11"/>
        <v>13.395638629283487</v>
      </c>
      <c r="P82" s="75">
        <f>VLOOKUP($A82,'Data Vlaue (Cr)'!$C:$FB,119)</f>
        <v>0.82</v>
      </c>
      <c r="Q82" s="75">
        <f>VLOOKUP($A82,'Data Vlaue (Cr)'!$C:$FB,122)*100</f>
        <v>7.89</v>
      </c>
      <c r="R82" s="75">
        <f>VLOOKUP($A82,'Data Vlaue (Cr)'!$C:$FB,125)</f>
        <v>0.49</v>
      </c>
      <c r="S82" s="75">
        <f>VLOOKUP($A82,'Data Vlaue (Cr)'!$C:$FB,128)*100</f>
        <v>-33.78</v>
      </c>
    </row>
    <row r="83" spans="1:19" x14ac:dyDescent="0.25">
      <c r="A83" s="96" t="str">
        <f>'Data Vlaue (Cr)'!C74</f>
        <v>HCLTECH</v>
      </c>
      <c r="B83" s="75">
        <f>VLOOKUP($A83,'Data Vlaue (Cr)'!$C:$FB,2)</f>
        <v>350</v>
      </c>
      <c r="C83" s="75">
        <f>VLOOKUP($A83,'Data Vlaue (Cr)'!$C:$FB,8)</f>
        <v>1661.4</v>
      </c>
      <c r="D83" s="75">
        <f>VLOOKUP($A83,'Data Vlaue (Cr)'!$C:$FB,4)</f>
        <v>1666.3</v>
      </c>
      <c r="E83" s="75">
        <f>VLOOKUP($A83,'Data Vlaue (Cr)'!$C:$FB,5)</f>
        <v>1661</v>
      </c>
      <c r="F83" s="75">
        <f t="shared" si="6"/>
        <v>4.8999999999998636</v>
      </c>
      <c r="G83" s="75">
        <f t="shared" si="7"/>
        <v>0.31806997539458409</v>
      </c>
      <c r="H83" s="75">
        <f>VLOOKUP($A83,'Data Vlaue (Cr)'!$C:$FB,99)</f>
        <v>4836</v>
      </c>
      <c r="I83" s="75">
        <f>VLOOKUP($A83,'Data Vlaue (Cr)'!$C:$FB,100)</f>
        <v>4771</v>
      </c>
      <c r="J83" s="75">
        <f t="shared" si="8"/>
        <v>65</v>
      </c>
      <c r="K83" s="75">
        <f t="shared" si="9"/>
        <v>1.3440860215053763</v>
      </c>
      <c r="L83" s="75">
        <f>VLOOKUP($A83,'Data Vlaue (Cr)'!$C:$FB,67)</f>
        <v>2830</v>
      </c>
      <c r="M83" s="75">
        <f>VLOOKUP($A83,'Data Vlaue (Cr)'!$C:$FB,68)</f>
        <v>1529</v>
      </c>
      <c r="N83" s="75">
        <f t="shared" si="10"/>
        <v>1301</v>
      </c>
      <c r="O83" s="75">
        <f t="shared" si="11"/>
        <v>45.971731448763251</v>
      </c>
      <c r="P83" s="75">
        <f>VLOOKUP($A83,'Data Vlaue (Cr)'!$C:$FB,119)</f>
        <v>0.59</v>
      </c>
      <c r="Q83" s="75">
        <f>VLOOKUP($A83,'Data Vlaue (Cr)'!$C:$FB,122)*100</f>
        <v>3.51</v>
      </c>
      <c r="R83" s="75">
        <f>VLOOKUP($A83,'Data Vlaue (Cr)'!$C:$FB,125)</f>
        <v>0.3</v>
      </c>
      <c r="S83" s="75">
        <f>VLOOKUP($A83,'Data Vlaue (Cr)'!$C:$FB,128)*100</f>
        <v>-40</v>
      </c>
    </row>
    <row r="84" spans="1:19" x14ac:dyDescent="0.25">
      <c r="A84" s="96" t="str">
        <f>'Data Vlaue (Cr)'!C75</f>
        <v>HDFCAMC</v>
      </c>
      <c r="B84" s="75">
        <f>VLOOKUP($A84,'Data Vlaue (Cr)'!$C:$FB,2)</f>
        <v>300</v>
      </c>
      <c r="C84" s="75">
        <f>VLOOKUP($A84,'Data Vlaue (Cr)'!$C:$FB,8)</f>
        <v>2722.9</v>
      </c>
      <c r="D84" s="75">
        <f>VLOOKUP($A84,'Data Vlaue (Cr)'!$C:$FB,4)</f>
        <v>2732.7</v>
      </c>
      <c r="E84" s="75">
        <f>VLOOKUP($A84,'Data Vlaue (Cr)'!$C:$FB,5)</f>
        <v>2548.9</v>
      </c>
      <c r="F84" s="75">
        <f t="shared" si="6"/>
        <v>9.7999999999997272</v>
      </c>
      <c r="G84" s="75">
        <f t="shared" si="7"/>
        <v>6.7259486954294196</v>
      </c>
      <c r="H84" s="75">
        <f>VLOOKUP($A84,'Data Vlaue (Cr)'!$C:$FB,99)</f>
        <v>3557</v>
      </c>
      <c r="I84" s="75">
        <f>VLOOKUP($A84,'Data Vlaue (Cr)'!$C:$FB,100)</f>
        <v>2448</v>
      </c>
      <c r="J84" s="75">
        <f t="shared" si="8"/>
        <v>1109</v>
      </c>
      <c r="K84" s="75">
        <f t="shared" si="9"/>
        <v>31.177958954174866</v>
      </c>
      <c r="L84" s="75">
        <f>VLOOKUP($A84,'Data Vlaue (Cr)'!$C:$FB,67)</f>
        <v>14296</v>
      </c>
      <c r="M84" s="75">
        <f>VLOOKUP($A84,'Data Vlaue (Cr)'!$C:$FB,68)</f>
        <v>1492</v>
      </c>
      <c r="N84" s="75">
        <f t="shared" si="10"/>
        <v>12804</v>
      </c>
      <c r="O84" s="75">
        <f t="shared" si="11"/>
        <v>89.5635142697258</v>
      </c>
      <c r="P84" s="75">
        <f>VLOOKUP($A84,'Data Vlaue (Cr)'!$C:$FB,119)</f>
        <v>0.95</v>
      </c>
      <c r="Q84" s="75">
        <f>VLOOKUP($A84,'Data Vlaue (Cr)'!$C:$FB,122)*100</f>
        <v>21.790000000000003</v>
      </c>
      <c r="R84" s="75">
        <f>VLOOKUP($A84,'Data Vlaue (Cr)'!$C:$FB,125)</f>
        <v>0.45</v>
      </c>
      <c r="S84" s="75">
        <f>VLOOKUP($A84,'Data Vlaue (Cr)'!$C:$FB,128)*100</f>
        <v>-54.08</v>
      </c>
    </row>
    <row r="85" spans="1:19" x14ac:dyDescent="0.25">
      <c r="A85" s="96" t="str">
        <f>'Data Vlaue (Cr)'!C76</f>
        <v>HDFCBANK</v>
      </c>
      <c r="B85" s="75">
        <f>VLOOKUP($A85,'Data Vlaue (Cr)'!$C:$FB,2)</f>
        <v>550</v>
      </c>
      <c r="C85" s="75">
        <f>VLOOKUP($A85,'Data Vlaue (Cr)'!$C:$FB,8)</f>
        <v>979.7</v>
      </c>
      <c r="D85" s="75">
        <f>VLOOKUP($A85,'Data Vlaue (Cr)'!$C:$FB,4)</f>
        <v>982.1</v>
      </c>
      <c r="E85" s="75">
        <f>VLOOKUP($A85,'Data Vlaue (Cr)'!$C:$FB,5)</f>
        <v>987.5</v>
      </c>
      <c r="F85" s="75">
        <f t="shared" si="6"/>
        <v>2.3999999999999773</v>
      </c>
      <c r="G85" s="75">
        <f t="shared" si="7"/>
        <v>-0.54984217493126741</v>
      </c>
      <c r="H85" s="75">
        <f>VLOOKUP($A85,'Data Vlaue (Cr)'!$C:$FB,99)</f>
        <v>29400</v>
      </c>
      <c r="I85" s="75">
        <f>VLOOKUP($A85,'Data Vlaue (Cr)'!$C:$FB,100)</f>
        <v>28760</v>
      </c>
      <c r="J85" s="75">
        <f t="shared" si="8"/>
        <v>640</v>
      </c>
      <c r="K85" s="75">
        <f t="shared" si="9"/>
        <v>2.1768707482993195</v>
      </c>
      <c r="L85" s="75">
        <f>VLOOKUP($A85,'Data Vlaue (Cr)'!$C:$FB,67)</f>
        <v>10753</v>
      </c>
      <c r="M85" s="75">
        <f>VLOOKUP($A85,'Data Vlaue (Cr)'!$C:$FB,68)</f>
        <v>10264</v>
      </c>
      <c r="N85" s="75">
        <f t="shared" si="10"/>
        <v>489</v>
      </c>
      <c r="O85" s="75">
        <f t="shared" si="11"/>
        <v>4.5475681205245051</v>
      </c>
      <c r="P85" s="75">
        <f>VLOOKUP($A85,'Data Vlaue (Cr)'!$C:$FB,119)</f>
        <v>0.62</v>
      </c>
      <c r="Q85" s="75">
        <f>VLOOKUP($A85,'Data Vlaue (Cr)'!$C:$FB,122)*100</f>
        <v>-3.1300000000000003</v>
      </c>
      <c r="R85" s="75">
        <f>VLOOKUP($A85,'Data Vlaue (Cr)'!$C:$FB,125)</f>
        <v>0.6</v>
      </c>
      <c r="S85" s="75">
        <f>VLOOKUP($A85,'Data Vlaue (Cr)'!$C:$FB,128)*100</f>
        <v>-3.2300000000000004</v>
      </c>
    </row>
    <row r="86" spans="1:19" x14ac:dyDescent="0.25">
      <c r="A86" s="96" t="str">
        <f>'Data Vlaue (Cr)'!C77</f>
        <v>HDFCLIFE</v>
      </c>
      <c r="B86" s="75">
        <f>VLOOKUP($A86,'Data Vlaue (Cr)'!$C:$FB,2)</f>
        <v>1100</v>
      </c>
      <c r="C86" s="75">
        <f>VLOOKUP($A86,'Data Vlaue (Cr)'!$C:$FB,8)</f>
        <v>757</v>
      </c>
      <c r="D86" s="75">
        <f>VLOOKUP($A86,'Data Vlaue (Cr)'!$C:$FB,4)</f>
        <v>758.7</v>
      </c>
      <c r="E86" s="75">
        <f>VLOOKUP($A86,'Data Vlaue (Cr)'!$C:$FB,5)</f>
        <v>754.85</v>
      </c>
      <c r="F86" s="75">
        <f t="shared" si="6"/>
        <v>1.7000000000000455</v>
      </c>
      <c r="G86" s="75">
        <f t="shared" si="7"/>
        <v>0.50744694872809049</v>
      </c>
      <c r="H86" s="75">
        <f>VLOOKUP($A86,'Data Vlaue (Cr)'!$C:$FB,99)</f>
        <v>4478</v>
      </c>
      <c r="I86" s="75">
        <f>VLOOKUP($A86,'Data Vlaue (Cr)'!$C:$FB,100)</f>
        <v>4530</v>
      </c>
      <c r="J86" s="75">
        <f t="shared" si="8"/>
        <v>-52</v>
      </c>
      <c r="K86" s="75">
        <f t="shared" si="9"/>
        <v>-1.1612326931665922</v>
      </c>
      <c r="L86" s="75">
        <f>VLOOKUP($A86,'Data Vlaue (Cr)'!$C:$FB,67)</f>
        <v>1430</v>
      </c>
      <c r="M86" s="75">
        <f>VLOOKUP($A86,'Data Vlaue (Cr)'!$C:$FB,68)</f>
        <v>3364</v>
      </c>
      <c r="N86" s="75">
        <f t="shared" si="10"/>
        <v>-1934</v>
      </c>
      <c r="O86" s="75">
        <f t="shared" si="11"/>
        <v>-135.24475524475525</v>
      </c>
      <c r="P86" s="75">
        <f>VLOOKUP($A86,'Data Vlaue (Cr)'!$C:$FB,119)</f>
        <v>0.46</v>
      </c>
      <c r="Q86" s="75">
        <f>VLOOKUP($A86,'Data Vlaue (Cr)'!$C:$FB,122)*100</f>
        <v>6.98</v>
      </c>
      <c r="R86" s="75">
        <f>VLOOKUP($A86,'Data Vlaue (Cr)'!$C:$FB,125)</f>
        <v>0.34</v>
      </c>
      <c r="S86" s="75">
        <f>VLOOKUP($A86,'Data Vlaue (Cr)'!$C:$FB,128)*100</f>
        <v>6.25</v>
      </c>
    </row>
    <row r="87" spans="1:19" x14ac:dyDescent="0.25">
      <c r="A87" s="96" t="str">
        <f>'Data Vlaue (Cr)'!C78</f>
        <v>HEROMOTOCO</v>
      </c>
      <c r="B87" s="75">
        <f>VLOOKUP($A87,'Data Vlaue (Cr)'!$C:$FB,2)</f>
        <v>150</v>
      </c>
      <c r="C87" s="75">
        <f>VLOOKUP($A87,'Data Vlaue (Cr)'!$C:$FB,8)</f>
        <v>5748.5</v>
      </c>
      <c r="D87" s="75">
        <f>VLOOKUP($A87,'Data Vlaue (Cr)'!$C:$FB,4)</f>
        <v>5749.5</v>
      </c>
      <c r="E87" s="75">
        <f>VLOOKUP($A87,'Data Vlaue (Cr)'!$C:$FB,5)</f>
        <v>5827.5</v>
      </c>
      <c r="F87" s="75">
        <f t="shared" si="6"/>
        <v>1</v>
      </c>
      <c r="G87" s="75">
        <f t="shared" si="7"/>
        <v>-1.3566397078006782</v>
      </c>
      <c r="H87" s="75">
        <f>VLOOKUP($A87,'Data Vlaue (Cr)'!$C:$FB,99)</f>
        <v>7749</v>
      </c>
      <c r="I87" s="75">
        <f>VLOOKUP($A87,'Data Vlaue (Cr)'!$C:$FB,100)</f>
        <v>6777</v>
      </c>
      <c r="J87" s="75">
        <f t="shared" si="8"/>
        <v>972</v>
      </c>
      <c r="K87" s="75">
        <f t="shared" si="9"/>
        <v>12.543554006968641</v>
      </c>
      <c r="L87" s="75">
        <f>VLOOKUP($A87,'Data Vlaue (Cr)'!$C:$FB,67)</f>
        <v>15502</v>
      </c>
      <c r="M87" s="75">
        <f>VLOOKUP($A87,'Data Vlaue (Cr)'!$C:$FB,68)</f>
        <v>7498</v>
      </c>
      <c r="N87" s="75">
        <f t="shared" si="10"/>
        <v>8004</v>
      </c>
      <c r="O87" s="75">
        <f t="shared" si="11"/>
        <v>51.632047477744806</v>
      </c>
      <c r="P87" s="75">
        <f>VLOOKUP($A87,'Data Vlaue (Cr)'!$C:$FB,119)</f>
        <v>0.43</v>
      </c>
      <c r="Q87" s="75">
        <f>VLOOKUP($A87,'Data Vlaue (Cr)'!$C:$FB,122)*100</f>
        <v>-21.82</v>
      </c>
      <c r="R87" s="75">
        <f>VLOOKUP($A87,'Data Vlaue (Cr)'!$C:$FB,125)</f>
        <v>0.67</v>
      </c>
      <c r="S87" s="75">
        <f>VLOOKUP($A87,'Data Vlaue (Cr)'!$C:$FB,128)*100</f>
        <v>-15.190000000000001</v>
      </c>
    </row>
    <row r="88" spans="1:19" x14ac:dyDescent="0.25">
      <c r="A88" s="96" t="str">
        <f>'Data Vlaue (Cr)'!C79</f>
        <v>HFCL</v>
      </c>
      <c r="B88" s="75">
        <f>VLOOKUP($A88,'Data Vlaue (Cr)'!$C:$FB,2)</f>
        <v>6450</v>
      </c>
      <c r="C88" s="75">
        <f>VLOOKUP($A88,'Data Vlaue (Cr)'!$C:$FB,8)</f>
        <v>64.62</v>
      </c>
      <c r="D88" s="75">
        <f>VLOOKUP($A88,'Data Vlaue (Cr)'!$C:$FB,4)</f>
        <v>64.75</v>
      </c>
      <c r="E88" s="75">
        <f>VLOOKUP($A88,'Data Vlaue (Cr)'!$C:$FB,5)</f>
        <v>64.63</v>
      </c>
      <c r="F88" s="75">
        <f t="shared" si="6"/>
        <v>0.12999999999999545</v>
      </c>
      <c r="G88" s="75">
        <f t="shared" si="7"/>
        <v>0.18532818532819234</v>
      </c>
      <c r="H88" s="75">
        <f>VLOOKUP($A88,'Data Vlaue (Cr)'!$C:$FB,99)</f>
        <v>1361</v>
      </c>
      <c r="I88" s="75">
        <f>VLOOKUP($A88,'Data Vlaue (Cr)'!$C:$FB,100)</f>
        <v>1379</v>
      </c>
      <c r="J88" s="75">
        <f t="shared" si="8"/>
        <v>-18</v>
      </c>
      <c r="K88" s="75">
        <f t="shared" si="9"/>
        <v>-1.322556943423953</v>
      </c>
      <c r="L88" s="75">
        <f>VLOOKUP($A88,'Data Vlaue (Cr)'!$C:$FB,67)</f>
        <v>314</v>
      </c>
      <c r="M88" s="75">
        <f>VLOOKUP($A88,'Data Vlaue (Cr)'!$C:$FB,68)</f>
        <v>369</v>
      </c>
      <c r="N88" s="75">
        <f t="shared" si="10"/>
        <v>-55</v>
      </c>
      <c r="O88" s="75">
        <f t="shared" si="11"/>
        <v>-17.515923566878978</v>
      </c>
      <c r="P88" s="75">
        <f>VLOOKUP($A88,'Data Vlaue (Cr)'!$C:$FB,119)</f>
        <v>0.43</v>
      </c>
      <c r="Q88" s="75">
        <f>VLOOKUP($A88,'Data Vlaue (Cr)'!$C:$FB,122)*100</f>
        <v>4.88</v>
      </c>
      <c r="R88" s="75">
        <f>VLOOKUP($A88,'Data Vlaue (Cr)'!$C:$FB,125)</f>
        <v>0.39</v>
      </c>
      <c r="S88" s="75">
        <f>VLOOKUP($A88,'Data Vlaue (Cr)'!$C:$FB,128)*100</f>
        <v>-39.06</v>
      </c>
    </row>
    <row r="89" spans="1:19" x14ac:dyDescent="0.25">
      <c r="A89" s="96" t="str">
        <f>'Data Vlaue (Cr)'!C80</f>
        <v>HINDALCO</v>
      </c>
      <c r="B89" s="75">
        <f>VLOOKUP($A89,'Data Vlaue (Cr)'!$C:$FB,2)</f>
        <v>700</v>
      </c>
      <c r="C89" s="75">
        <f>VLOOKUP($A89,'Data Vlaue (Cr)'!$C:$FB,8)</f>
        <v>856.7</v>
      </c>
      <c r="D89" s="75">
        <f>VLOOKUP($A89,'Data Vlaue (Cr)'!$C:$FB,4)</f>
        <v>858</v>
      </c>
      <c r="E89" s="75">
        <f>VLOOKUP($A89,'Data Vlaue (Cr)'!$C:$FB,5)</f>
        <v>849.65</v>
      </c>
      <c r="F89" s="75">
        <f t="shared" si="6"/>
        <v>1.2999999999999545</v>
      </c>
      <c r="G89" s="75">
        <f t="shared" si="7"/>
        <v>0.97319347319347582</v>
      </c>
      <c r="H89" s="75">
        <f>VLOOKUP($A89,'Data Vlaue (Cr)'!$C:$FB,99)</f>
        <v>9100</v>
      </c>
      <c r="I89" s="75">
        <f>VLOOKUP($A89,'Data Vlaue (Cr)'!$C:$FB,100)</f>
        <v>9022</v>
      </c>
      <c r="J89" s="75">
        <f t="shared" si="8"/>
        <v>78</v>
      </c>
      <c r="K89" s="75">
        <f t="shared" si="9"/>
        <v>0.85714285714285721</v>
      </c>
      <c r="L89" s="75">
        <f>VLOOKUP($A89,'Data Vlaue (Cr)'!$C:$FB,67)</f>
        <v>6262</v>
      </c>
      <c r="M89" s="75">
        <f>VLOOKUP($A89,'Data Vlaue (Cr)'!$C:$FB,68)</f>
        <v>4003</v>
      </c>
      <c r="N89" s="75">
        <f t="shared" si="10"/>
        <v>2259</v>
      </c>
      <c r="O89" s="75">
        <f t="shared" si="11"/>
        <v>36.074736505908653</v>
      </c>
      <c r="P89" s="75">
        <f>VLOOKUP($A89,'Data Vlaue (Cr)'!$C:$FB,119)</f>
        <v>0.77</v>
      </c>
      <c r="Q89" s="75">
        <f>VLOOKUP($A89,'Data Vlaue (Cr)'!$C:$FB,122)*100</f>
        <v>4.05</v>
      </c>
      <c r="R89" s="75">
        <f>VLOOKUP($A89,'Data Vlaue (Cr)'!$C:$FB,125)</f>
        <v>0.54</v>
      </c>
      <c r="S89" s="75">
        <f>VLOOKUP($A89,'Data Vlaue (Cr)'!$C:$FB,128)*100</f>
        <v>22.73</v>
      </c>
    </row>
    <row r="90" spans="1:19" x14ac:dyDescent="0.25">
      <c r="A90" s="96" t="str">
        <f>'Data Vlaue (Cr)'!C81</f>
        <v>HINDPETRO</v>
      </c>
      <c r="B90" s="75">
        <f>VLOOKUP($A90,'Data Vlaue (Cr)'!$C:$FB,2)</f>
        <v>2025</v>
      </c>
      <c r="C90" s="75">
        <f>VLOOKUP($A90,'Data Vlaue (Cr)'!$C:$FB,8)</f>
        <v>464</v>
      </c>
      <c r="D90" s="75">
        <f>VLOOKUP($A90,'Data Vlaue (Cr)'!$C:$FB,4)</f>
        <v>464.6</v>
      </c>
      <c r="E90" s="75">
        <f>VLOOKUP($A90,'Data Vlaue (Cr)'!$C:$FB,5)</f>
        <v>466.4</v>
      </c>
      <c r="F90" s="75">
        <f t="shared" si="6"/>
        <v>0.60000000000002274</v>
      </c>
      <c r="G90" s="75">
        <f t="shared" si="7"/>
        <v>-0.38743004735255154</v>
      </c>
      <c r="H90" s="75">
        <f>VLOOKUP($A90,'Data Vlaue (Cr)'!$C:$FB,99)</f>
        <v>2897</v>
      </c>
      <c r="I90" s="75">
        <f>VLOOKUP($A90,'Data Vlaue (Cr)'!$C:$FB,100)</f>
        <v>2890</v>
      </c>
      <c r="J90" s="75">
        <f t="shared" si="8"/>
        <v>7</v>
      </c>
      <c r="K90" s="75">
        <f t="shared" si="9"/>
        <v>0.24162927166033829</v>
      </c>
      <c r="L90" s="75">
        <f>VLOOKUP($A90,'Data Vlaue (Cr)'!$C:$FB,67)</f>
        <v>1004</v>
      </c>
      <c r="M90" s="75">
        <f>VLOOKUP($A90,'Data Vlaue (Cr)'!$C:$FB,68)</f>
        <v>1447</v>
      </c>
      <c r="N90" s="75">
        <f t="shared" si="10"/>
        <v>-443</v>
      </c>
      <c r="O90" s="75">
        <f t="shared" si="11"/>
        <v>-44.123505976095615</v>
      </c>
      <c r="P90" s="75">
        <f>VLOOKUP($A90,'Data Vlaue (Cr)'!$C:$FB,119)</f>
        <v>0.59</v>
      </c>
      <c r="Q90" s="75">
        <f>VLOOKUP($A90,'Data Vlaue (Cr)'!$C:$FB,122)*100</f>
        <v>1.72</v>
      </c>
      <c r="R90" s="75">
        <f>VLOOKUP($A90,'Data Vlaue (Cr)'!$C:$FB,125)</f>
        <v>0.52</v>
      </c>
      <c r="S90" s="75">
        <f>VLOOKUP($A90,'Data Vlaue (Cr)'!$C:$FB,128)*100</f>
        <v>36.840000000000003</v>
      </c>
    </row>
    <row r="91" spans="1:19" x14ac:dyDescent="0.25">
      <c r="A91" s="96" t="str">
        <f>'Data Vlaue (Cr)'!C82</f>
        <v>HINDUNILVR</v>
      </c>
      <c r="B91" s="75">
        <f>VLOOKUP($A91,'Data Vlaue (Cr)'!$C:$FB,2)</f>
        <v>300</v>
      </c>
      <c r="C91" s="75">
        <f>VLOOKUP($A91,'Data Vlaue (Cr)'!$C:$FB,8)</f>
        <v>2265.5</v>
      </c>
      <c r="D91" s="75">
        <f>VLOOKUP($A91,'Data Vlaue (Cr)'!$C:$FB,4)</f>
        <v>2265.6</v>
      </c>
      <c r="E91" s="75">
        <f>VLOOKUP($A91,'Data Vlaue (Cr)'!$C:$FB,5)</f>
        <v>2275.3000000000002</v>
      </c>
      <c r="F91" s="75">
        <f t="shared" si="6"/>
        <v>9.9999999999909051E-2</v>
      </c>
      <c r="G91" s="75">
        <f t="shared" si="7"/>
        <v>-0.42814265536724372</v>
      </c>
      <c r="H91" s="75">
        <f>VLOOKUP($A91,'Data Vlaue (Cr)'!$C:$FB,99)</f>
        <v>4975</v>
      </c>
      <c r="I91" s="75">
        <f>VLOOKUP($A91,'Data Vlaue (Cr)'!$C:$FB,100)</f>
        <v>4759</v>
      </c>
      <c r="J91" s="75">
        <f t="shared" si="8"/>
        <v>216</v>
      </c>
      <c r="K91" s="75">
        <f t="shared" si="9"/>
        <v>4.3417085427135671</v>
      </c>
      <c r="L91" s="75">
        <f>VLOOKUP($A91,'Data Vlaue (Cr)'!$C:$FB,67)</f>
        <v>2283</v>
      </c>
      <c r="M91" s="75">
        <f>VLOOKUP($A91,'Data Vlaue (Cr)'!$C:$FB,68)</f>
        <v>1844</v>
      </c>
      <c r="N91" s="75">
        <f t="shared" si="10"/>
        <v>439</v>
      </c>
      <c r="O91" s="75">
        <f t="shared" si="11"/>
        <v>19.229084537888745</v>
      </c>
      <c r="P91" s="75">
        <f>VLOOKUP($A91,'Data Vlaue (Cr)'!$C:$FB,119)</f>
        <v>0.51</v>
      </c>
      <c r="Q91" s="75">
        <f>VLOOKUP($A91,'Data Vlaue (Cr)'!$C:$FB,122)*100</f>
        <v>-1.92</v>
      </c>
      <c r="R91" s="75">
        <f>VLOOKUP($A91,'Data Vlaue (Cr)'!$C:$FB,125)</f>
        <v>0.37</v>
      </c>
      <c r="S91" s="75">
        <f>VLOOKUP($A91,'Data Vlaue (Cr)'!$C:$FB,128)*100</f>
        <v>15.620000000000001</v>
      </c>
    </row>
    <row r="92" spans="1:19" x14ac:dyDescent="0.25">
      <c r="A92" s="96" t="str">
        <f>'Data Vlaue (Cr)'!C83</f>
        <v>HINDZINC</v>
      </c>
      <c r="B92" s="75">
        <f>VLOOKUP($A92,'Data Vlaue (Cr)'!$C:$FB,2)</f>
        <v>1225</v>
      </c>
      <c r="C92" s="75">
        <f>VLOOKUP($A92,'Data Vlaue (Cr)'!$C:$FB,8)</f>
        <v>592.15</v>
      </c>
      <c r="D92" s="75">
        <f>VLOOKUP($A92,'Data Vlaue (Cr)'!$C:$FB,4)</f>
        <v>592.35</v>
      </c>
      <c r="E92" s="75">
        <f>VLOOKUP($A92,'Data Vlaue (Cr)'!$C:$FB,5)</f>
        <v>578.9</v>
      </c>
      <c r="F92" s="75">
        <f t="shared" si="6"/>
        <v>0.20000000000004547</v>
      </c>
      <c r="G92" s="75">
        <f t="shared" si="7"/>
        <v>2.2706170338482394</v>
      </c>
      <c r="H92" s="75">
        <f>VLOOKUP($A92,'Data Vlaue (Cr)'!$C:$FB,99)</f>
        <v>7359</v>
      </c>
      <c r="I92" s="75">
        <f>VLOOKUP($A92,'Data Vlaue (Cr)'!$C:$FB,100)</f>
        <v>7263</v>
      </c>
      <c r="J92" s="75">
        <f t="shared" si="8"/>
        <v>96</v>
      </c>
      <c r="K92" s="75">
        <f t="shared" si="9"/>
        <v>1.3045250713412149</v>
      </c>
      <c r="L92" s="75">
        <f>VLOOKUP($A92,'Data Vlaue (Cr)'!$C:$FB,67)</f>
        <v>13042</v>
      </c>
      <c r="M92" s="75">
        <f>VLOOKUP($A92,'Data Vlaue (Cr)'!$C:$FB,68)</f>
        <v>18255</v>
      </c>
      <c r="N92" s="75">
        <f t="shared" si="10"/>
        <v>-5213</v>
      </c>
      <c r="O92" s="75">
        <f t="shared" si="11"/>
        <v>-39.970863364514649</v>
      </c>
      <c r="P92" s="75">
        <f>VLOOKUP($A92,'Data Vlaue (Cr)'!$C:$FB,119)</f>
        <v>0.72</v>
      </c>
      <c r="Q92" s="75">
        <f>VLOOKUP($A92,'Data Vlaue (Cr)'!$C:$FB,122)*100</f>
        <v>9.09</v>
      </c>
      <c r="R92" s="75">
        <f>VLOOKUP($A92,'Data Vlaue (Cr)'!$C:$FB,125)</f>
        <v>0.46</v>
      </c>
      <c r="S92" s="75">
        <f>VLOOKUP($A92,'Data Vlaue (Cr)'!$C:$FB,128)*100</f>
        <v>12.2</v>
      </c>
    </row>
    <row r="93" spans="1:19" x14ac:dyDescent="0.25">
      <c r="A93" s="96" t="str">
        <f>'Data Vlaue (Cr)'!C84</f>
        <v>HUDCO</v>
      </c>
      <c r="B93" s="75">
        <f>VLOOKUP($A93,'Data Vlaue (Cr)'!$C:$FB,2)</f>
        <v>2775</v>
      </c>
      <c r="C93" s="75">
        <f>VLOOKUP($A93,'Data Vlaue (Cr)'!$C:$FB,8)</f>
        <v>206.9</v>
      </c>
      <c r="D93" s="75">
        <f>VLOOKUP($A93,'Data Vlaue (Cr)'!$C:$FB,4)</f>
        <v>207.03</v>
      </c>
      <c r="E93" s="75">
        <f>VLOOKUP($A93,'Data Vlaue (Cr)'!$C:$FB,5)</f>
        <v>207.89</v>
      </c>
      <c r="F93" s="75">
        <f t="shared" si="6"/>
        <v>0.12999999999999545</v>
      </c>
      <c r="G93" s="75">
        <f t="shared" si="7"/>
        <v>-0.41539873448291803</v>
      </c>
      <c r="H93" s="75">
        <f>VLOOKUP($A93,'Data Vlaue (Cr)'!$C:$FB,99)</f>
        <v>1978</v>
      </c>
      <c r="I93" s="75">
        <f>VLOOKUP($A93,'Data Vlaue (Cr)'!$C:$FB,100)</f>
        <v>1963</v>
      </c>
      <c r="J93" s="75">
        <f t="shared" si="8"/>
        <v>15</v>
      </c>
      <c r="K93" s="75">
        <f t="shared" si="9"/>
        <v>0.75834175935288162</v>
      </c>
      <c r="L93" s="75">
        <f>VLOOKUP($A93,'Data Vlaue (Cr)'!$C:$FB,67)</f>
        <v>1184</v>
      </c>
      <c r="M93" s="75">
        <f>VLOOKUP($A93,'Data Vlaue (Cr)'!$C:$FB,68)</f>
        <v>754</v>
      </c>
      <c r="N93" s="75">
        <f t="shared" si="10"/>
        <v>430</v>
      </c>
      <c r="O93" s="75">
        <f t="shared" si="11"/>
        <v>36.317567567567565</v>
      </c>
      <c r="P93" s="75">
        <f>VLOOKUP($A93,'Data Vlaue (Cr)'!$C:$FB,119)</f>
        <v>0.44</v>
      </c>
      <c r="Q93" s="75">
        <f>VLOOKUP($A93,'Data Vlaue (Cr)'!$C:$FB,122)*100</f>
        <v>0</v>
      </c>
      <c r="R93" s="75">
        <f>VLOOKUP($A93,'Data Vlaue (Cr)'!$C:$FB,125)</f>
        <v>0.33</v>
      </c>
      <c r="S93" s="75">
        <f>VLOOKUP($A93,'Data Vlaue (Cr)'!$C:$FB,128)*100</f>
        <v>-31.25</v>
      </c>
    </row>
    <row r="94" spans="1:19" x14ac:dyDescent="0.25">
      <c r="A94" s="96" t="str">
        <f>'Data Vlaue (Cr)'!C85</f>
        <v>ICICIBANK</v>
      </c>
      <c r="B94" s="75">
        <f>VLOOKUP($A94,'Data Vlaue (Cr)'!$C:$FB,2)</f>
        <v>700</v>
      </c>
      <c r="C94" s="75">
        <f>VLOOKUP($A94,'Data Vlaue (Cr)'!$C:$FB,8)</f>
        <v>1356.8</v>
      </c>
      <c r="D94" s="75">
        <f>VLOOKUP($A94,'Data Vlaue (Cr)'!$C:$FB,4)</f>
        <v>1359.5</v>
      </c>
      <c r="E94" s="75">
        <f>VLOOKUP($A94,'Data Vlaue (Cr)'!$C:$FB,5)</f>
        <v>1356.5</v>
      </c>
      <c r="F94" s="75">
        <f t="shared" si="6"/>
        <v>2.7000000000000455</v>
      </c>
      <c r="G94" s="75">
        <f t="shared" si="7"/>
        <v>0.2206693637366679</v>
      </c>
      <c r="H94" s="75">
        <f>VLOOKUP($A94,'Data Vlaue (Cr)'!$C:$FB,99)</f>
        <v>25275</v>
      </c>
      <c r="I94" s="75">
        <f>VLOOKUP($A94,'Data Vlaue (Cr)'!$C:$FB,100)</f>
        <v>25427</v>
      </c>
      <c r="J94" s="75">
        <f t="shared" si="8"/>
        <v>-152</v>
      </c>
      <c r="K94" s="75">
        <f t="shared" si="9"/>
        <v>-0.60138476755687431</v>
      </c>
      <c r="L94" s="75">
        <f>VLOOKUP($A94,'Data Vlaue (Cr)'!$C:$FB,67)</f>
        <v>14621</v>
      </c>
      <c r="M94" s="75">
        <f>VLOOKUP($A94,'Data Vlaue (Cr)'!$C:$FB,68)</f>
        <v>14434</v>
      </c>
      <c r="N94" s="75">
        <f t="shared" si="10"/>
        <v>187</v>
      </c>
      <c r="O94" s="75">
        <f t="shared" si="11"/>
        <v>1.2789822857533684</v>
      </c>
      <c r="P94" s="75">
        <f>VLOOKUP($A94,'Data Vlaue (Cr)'!$C:$FB,119)</f>
        <v>0.61</v>
      </c>
      <c r="Q94" s="75">
        <f>VLOOKUP($A94,'Data Vlaue (Cr)'!$C:$FB,122)*100</f>
        <v>1.67</v>
      </c>
      <c r="R94" s="75">
        <f>VLOOKUP($A94,'Data Vlaue (Cr)'!$C:$FB,125)</f>
        <v>0.62</v>
      </c>
      <c r="S94" s="75">
        <f>VLOOKUP($A94,'Data Vlaue (Cr)'!$C:$FB,128)*100</f>
        <v>-18.420000000000002</v>
      </c>
    </row>
    <row r="95" spans="1:19" x14ac:dyDescent="0.25">
      <c r="A95" s="96" t="str">
        <f>'Data Vlaue (Cr)'!C86</f>
        <v>ICICIGI</v>
      </c>
      <c r="B95" s="75">
        <f>VLOOKUP($A95,'Data Vlaue (Cr)'!$C:$FB,2)</f>
        <v>325</v>
      </c>
      <c r="C95" s="75">
        <f>VLOOKUP($A95,'Data Vlaue (Cr)'!$C:$FB,8)</f>
        <v>1949.8</v>
      </c>
      <c r="D95" s="75">
        <f>VLOOKUP($A95,'Data Vlaue (Cr)'!$C:$FB,4)</f>
        <v>1955.3</v>
      </c>
      <c r="E95" s="75">
        <f>VLOOKUP($A95,'Data Vlaue (Cr)'!$C:$FB,5)</f>
        <v>1947.1</v>
      </c>
      <c r="F95" s="75">
        <f t="shared" si="6"/>
        <v>5.5</v>
      </c>
      <c r="G95" s="75">
        <f t="shared" si="7"/>
        <v>0.41937298624252267</v>
      </c>
      <c r="H95" s="75">
        <f>VLOOKUP($A95,'Data Vlaue (Cr)'!$C:$FB,99)</f>
        <v>1705</v>
      </c>
      <c r="I95" s="75">
        <f>VLOOKUP($A95,'Data Vlaue (Cr)'!$C:$FB,100)</f>
        <v>1711</v>
      </c>
      <c r="J95" s="75">
        <f t="shared" si="8"/>
        <v>-6</v>
      </c>
      <c r="K95" s="75">
        <f t="shared" si="9"/>
        <v>-0.35190615835777128</v>
      </c>
      <c r="L95" s="75">
        <f>VLOOKUP($A95,'Data Vlaue (Cr)'!$C:$FB,67)</f>
        <v>326</v>
      </c>
      <c r="M95" s="75">
        <f>VLOOKUP($A95,'Data Vlaue (Cr)'!$C:$FB,68)</f>
        <v>334</v>
      </c>
      <c r="N95" s="75">
        <f t="shared" si="10"/>
        <v>-8</v>
      </c>
      <c r="O95" s="75">
        <f t="shared" si="11"/>
        <v>-2.4539877300613497</v>
      </c>
      <c r="P95" s="75">
        <f>VLOOKUP($A95,'Data Vlaue (Cr)'!$C:$FB,119)</f>
        <v>0.54</v>
      </c>
      <c r="Q95" s="75">
        <f>VLOOKUP($A95,'Data Vlaue (Cr)'!$C:$FB,122)*100</f>
        <v>3.85</v>
      </c>
      <c r="R95" s="75">
        <f>VLOOKUP($A95,'Data Vlaue (Cr)'!$C:$FB,125)</f>
        <v>0.7</v>
      </c>
      <c r="S95" s="75">
        <f>VLOOKUP($A95,'Data Vlaue (Cr)'!$C:$FB,128)*100</f>
        <v>118.75</v>
      </c>
    </row>
    <row r="96" spans="1:19" x14ac:dyDescent="0.25">
      <c r="A96" s="96" t="str">
        <f>'Data Vlaue (Cr)'!C87</f>
        <v>ICICIPRULI</v>
      </c>
      <c r="B96" s="75">
        <f>VLOOKUP($A96,'Data Vlaue (Cr)'!$C:$FB,2)</f>
        <v>925</v>
      </c>
      <c r="C96" s="75">
        <f>VLOOKUP($A96,'Data Vlaue (Cr)'!$C:$FB,8)</f>
        <v>645.65</v>
      </c>
      <c r="D96" s="75">
        <f>VLOOKUP($A96,'Data Vlaue (Cr)'!$C:$FB,4)</f>
        <v>646.95000000000005</v>
      </c>
      <c r="E96" s="75">
        <f>VLOOKUP($A96,'Data Vlaue (Cr)'!$C:$FB,5)</f>
        <v>631.20000000000005</v>
      </c>
      <c r="F96" s="75">
        <f t="shared" si="6"/>
        <v>1.3000000000000682</v>
      </c>
      <c r="G96" s="75">
        <f t="shared" si="7"/>
        <v>2.4345003477857641</v>
      </c>
      <c r="H96" s="75">
        <f>VLOOKUP($A96,'Data Vlaue (Cr)'!$C:$FB,99)</f>
        <v>1528</v>
      </c>
      <c r="I96" s="75">
        <f>VLOOKUP($A96,'Data Vlaue (Cr)'!$C:$FB,100)</f>
        <v>1504</v>
      </c>
      <c r="J96" s="75">
        <f t="shared" si="8"/>
        <v>24</v>
      </c>
      <c r="K96" s="75">
        <f t="shared" si="9"/>
        <v>1.5706806282722512</v>
      </c>
      <c r="L96" s="75">
        <f>VLOOKUP($A96,'Data Vlaue (Cr)'!$C:$FB,67)</f>
        <v>674</v>
      </c>
      <c r="M96" s="75">
        <f>VLOOKUP($A96,'Data Vlaue (Cr)'!$C:$FB,68)</f>
        <v>372</v>
      </c>
      <c r="N96" s="75">
        <f t="shared" si="10"/>
        <v>302</v>
      </c>
      <c r="O96" s="75">
        <f t="shared" si="11"/>
        <v>44.807121661721069</v>
      </c>
      <c r="P96" s="75">
        <f>VLOOKUP($A96,'Data Vlaue (Cr)'!$C:$FB,119)</f>
        <v>0.49</v>
      </c>
      <c r="Q96" s="75">
        <f>VLOOKUP($A96,'Data Vlaue (Cr)'!$C:$FB,122)*100</f>
        <v>6.52</v>
      </c>
      <c r="R96" s="75">
        <f>VLOOKUP($A96,'Data Vlaue (Cr)'!$C:$FB,125)</f>
        <v>0.38</v>
      </c>
      <c r="S96" s="75">
        <f>VLOOKUP($A96,'Data Vlaue (Cr)'!$C:$FB,128)*100</f>
        <v>-2.56</v>
      </c>
    </row>
    <row r="97" spans="1:19" x14ac:dyDescent="0.25">
      <c r="A97" s="96" t="str">
        <f>'Data Vlaue (Cr)'!C88</f>
        <v>IDEA</v>
      </c>
      <c r="B97" s="75">
        <f>VLOOKUP($A97,'Data Vlaue (Cr)'!$C:$FB,2)</f>
        <v>71475</v>
      </c>
      <c r="C97" s="75">
        <f>VLOOKUP($A97,'Data Vlaue (Cr)'!$C:$FB,8)</f>
        <v>11.3</v>
      </c>
      <c r="D97" s="75">
        <f>VLOOKUP($A97,'Data Vlaue (Cr)'!$C:$FB,4)</f>
        <v>11.35</v>
      </c>
      <c r="E97" s="75">
        <f>VLOOKUP($A97,'Data Vlaue (Cr)'!$C:$FB,5)</f>
        <v>11.17</v>
      </c>
      <c r="F97" s="75">
        <f t="shared" si="6"/>
        <v>4.9999999999998934E-2</v>
      </c>
      <c r="G97" s="75">
        <f t="shared" si="7"/>
        <v>1.5859030837004382</v>
      </c>
      <c r="H97" s="75">
        <f>VLOOKUP($A97,'Data Vlaue (Cr)'!$C:$FB,99)</f>
        <v>12016</v>
      </c>
      <c r="I97" s="75">
        <f>VLOOKUP($A97,'Data Vlaue (Cr)'!$C:$FB,100)</f>
        <v>12068</v>
      </c>
      <c r="J97" s="75">
        <f t="shared" si="8"/>
        <v>-52</v>
      </c>
      <c r="K97" s="75">
        <f t="shared" si="9"/>
        <v>-0.4327563249001331</v>
      </c>
      <c r="L97" s="75">
        <f>VLOOKUP($A97,'Data Vlaue (Cr)'!$C:$FB,67)</f>
        <v>6687</v>
      </c>
      <c r="M97" s="75">
        <f>VLOOKUP($A97,'Data Vlaue (Cr)'!$C:$FB,68)</f>
        <v>3645</v>
      </c>
      <c r="N97" s="75">
        <f t="shared" si="10"/>
        <v>3042</v>
      </c>
      <c r="O97" s="75">
        <f t="shared" si="11"/>
        <v>45.491251682368777</v>
      </c>
      <c r="P97" s="75">
        <f>VLOOKUP($A97,'Data Vlaue (Cr)'!$C:$FB,119)</f>
        <v>0.53</v>
      </c>
      <c r="Q97" s="75">
        <f>VLOOKUP($A97,'Data Vlaue (Cr)'!$C:$FB,122)*100</f>
        <v>-7.02</v>
      </c>
      <c r="R97" s="75">
        <f>VLOOKUP($A97,'Data Vlaue (Cr)'!$C:$FB,125)</f>
        <v>0.28000000000000003</v>
      </c>
      <c r="S97" s="75">
        <f>VLOOKUP($A97,'Data Vlaue (Cr)'!$C:$FB,128)*100</f>
        <v>7.6899999999999995</v>
      </c>
    </row>
    <row r="98" spans="1:19" x14ac:dyDescent="0.25">
      <c r="A98" s="96" t="str">
        <f>'Data Vlaue (Cr)'!C89</f>
        <v>IDFCFIRSTB</v>
      </c>
      <c r="B98" s="75">
        <f>VLOOKUP($A98,'Data Vlaue (Cr)'!$C:$FB,2)</f>
        <v>9275</v>
      </c>
      <c r="C98" s="75">
        <f>VLOOKUP($A98,'Data Vlaue (Cr)'!$C:$FB,8)</f>
        <v>83.79</v>
      </c>
      <c r="D98" s="75">
        <f>VLOOKUP($A98,'Data Vlaue (Cr)'!$C:$FB,4)</f>
        <v>83.87</v>
      </c>
      <c r="E98" s="75">
        <f>VLOOKUP($A98,'Data Vlaue (Cr)'!$C:$FB,5)</f>
        <v>84.01</v>
      </c>
      <c r="F98" s="75">
        <f t="shared" si="6"/>
        <v>7.9999999999998295E-2</v>
      </c>
      <c r="G98" s="75">
        <f t="shared" si="7"/>
        <v>-0.16692500298080429</v>
      </c>
      <c r="H98" s="75">
        <f>VLOOKUP($A98,'Data Vlaue (Cr)'!$C:$FB,99)</f>
        <v>4923</v>
      </c>
      <c r="I98" s="75">
        <f>VLOOKUP($A98,'Data Vlaue (Cr)'!$C:$FB,100)</f>
        <v>4871</v>
      </c>
      <c r="J98" s="75">
        <f t="shared" si="8"/>
        <v>52</v>
      </c>
      <c r="K98" s="75">
        <f t="shared" si="9"/>
        <v>1.0562665041641277</v>
      </c>
      <c r="L98" s="75">
        <f>VLOOKUP($A98,'Data Vlaue (Cr)'!$C:$FB,67)</f>
        <v>2015</v>
      </c>
      <c r="M98" s="75">
        <f>VLOOKUP($A98,'Data Vlaue (Cr)'!$C:$FB,68)</f>
        <v>1405</v>
      </c>
      <c r="N98" s="75">
        <f t="shared" si="10"/>
        <v>610</v>
      </c>
      <c r="O98" s="75">
        <f t="shared" si="11"/>
        <v>30.272952853598017</v>
      </c>
      <c r="P98" s="75">
        <f>VLOOKUP($A98,'Data Vlaue (Cr)'!$C:$FB,119)</f>
        <v>0.74</v>
      </c>
      <c r="Q98" s="75">
        <f>VLOOKUP($A98,'Data Vlaue (Cr)'!$C:$FB,122)*100</f>
        <v>2.78</v>
      </c>
      <c r="R98" s="75">
        <f>VLOOKUP($A98,'Data Vlaue (Cr)'!$C:$FB,125)</f>
        <v>0.52</v>
      </c>
      <c r="S98" s="75">
        <f>VLOOKUP($A98,'Data Vlaue (Cr)'!$C:$FB,128)*100</f>
        <v>6.12</v>
      </c>
    </row>
    <row r="99" spans="1:19" x14ac:dyDescent="0.25">
      <c r="A99" s="96" t="str">
        <f>'Data Vlaue (Cr)'!C90</f>
        <v>IEX</v>
      </c>
      <c r="B99" s="75">
        <f>VLOOKUP($A99,'Data Vlaue (Cr)'!$C:$FB,2)</f>
        <v>3750</v>
      </c>
      <c r="C99" s="75">
        <f>VLOOKUP($A99,'Data Vlaue (Cr)'!$C:$FB,8)</f>
        <v>139.76</v>
      </c>
      <c r="D99" s="75">
        <f>VLOOKUP($A99,'Data Vlaue (Cr)'!$C:$FB,4)</f>
        <v>140.06</v>
      </c>
      <c r="E99" s="75">
        <f>VLOOKUP($A99,'Data Vlaue (Cr)'!$C:$FB,5)</f>
        <v>140.38999999999999</v>
      </c>
      <c r="F99" s="75">
        <f t="shared" si="6"/>
        <v>0.30000000000001137</v>
      </c>
      <c r="G99" s="75">
        <f t="shared" si="7"/>
        <v>-0.23561330858202492</v>
      </c>
      <c r="H99" s="75">
        <f>VLOOKUP($A99,'Data Vlaue (Cr)'!$C:$FB,99)</f>
        <v>1931</v>
      </c>
      <c r="I99" s="75">
        <f>VLOOKUP($A99,'Data Vlaue (Cr)'!$C:$FB,100)</f>
        <v>1925</v>
      </c>
      <c r="J99" s="75">
        <f t="shared" si="8"/>
        <v>6</v>
      </c>
      <c r="K99" s="75">
        <f t="shared" si="9"/>
        <v>0.31071983428275507</v>
      </c>
      <c r="L99" s="75">
        <f>VLOOKUP($A99,'Data Vlaue (Cr)'!$C:$FB,67)</f>
        <v>515</v>
      </c>
      <c r="M99" s="75">
        <f>VLOOKUP($A99,'Data Vlaue (Cr)'!$C:$FB,68)</f>
        <v>320</v>
      </c>
      <c r="N99" s="75">
        <f t="shared" si="10"/>
        <v>195</v>
      </c>
      <c r="O99" s="75">
        <f t="shared" si="11"/>
        <v>37.864077669902912</v>
      </c>
      <c r="P99" s="75">
        <f>VLOOKUP($A99,'Data Vlaue (Cr)'!$C:$FB,119)</f>
        <v>0.73</v>
      </c>
      <c r="Q99" s="75">
        <f>VLOOKUP($A99,'Data Vlaue (Cr)'!$C:$FB,122)*100</f>
        <v>0</v>
      </c>
      <c r="R99" s="75">
        <f>VLOOKUP($A99,'Data Vlaue (Cr)'!$C:$FB,125)</f>
        <v>0.43</v>
      </c>
      <c r="S99" s="75">
        <f>VLOOKUP($A99,'Data Vlaue (Cr)'!$C:$FB,128)*100</f>
        <v>38.71</v>
      </c>
    </row>
    <row r="100" spans="1:19" x14ac:dyDescent="0.25">
      <c r="A100" s="96" t="str">
        <f>'Data Vlaue (Cr)'!C91</f>
        <v>IIFL</v>
      </c>
      <c r="B100" s="75">
        <f>VLOOKUP($A100,'Data Vlaue (Cr)'!$C:$FB,2)</f>
        <v>1650</v>
      </c>
      <c r="C100" s="75">
        <f>VLOOKUP($A100,'Data Vlaue (Cr)'!$C:$FB,8)</f>
        <v>560.5</v>
      </c>
      <c r="D100" s="75">
        <f>VLOOKUP($A100,'Data Vlaue (Cr)'!$C:$FB,4)</f>
        <v>561.9</v>
      </c>
      <c r="E100" s="75">
        <f>VLOOKUP($A100,'Data Vlaue (Cr)'!$C:$FB,5)</f>
        <v>563.54999999999995</v>
      </c>
      <c r="F100" s="75">
        <f t="shared" si="6"/>
        <v>1.3999999999999773</v>
      </c>
      <c r="G100" s="75">
        <f t="shared" si="7"/>
        <v>-0.29364655632674447</v>
      </c>
      <c r="H100" s="75">
        <f>VLOOKUP($A100,'Data Vlaue (Cr)'!$C:$FB,99)</f>
        <v>1347</v>
      </c>
      <c r="I100" s="75">
        <f>VLOOKUP($A100,'Data Vlaue (Cr)'!$C:$FB,100)</f>
        <v>1364</v>
      </c>
      <c r="J100" s="75">
        <f t="shared" si="8"/>
        <v>-17</v>
      </c>
      <c r="K100" s="75">
        <f t="shared" si="9"/>
        <v>-1.2620638455827766</v>
      </c>
      <c r="L100" s="75">
        <f>VLOOKUP($A100,'Data Vlaue (Cr)'!$C:$FB,67)</f>
        <v>735</v>
      </c>
      <c r="M100" s="75">
        <f>VLOOKUP($A100,'Data Vlaue (Cr)'!$C:$FB,68)</f>
        <v>754</v>
      </c>
      <c r="N100" s="75">
        <f t="shared" si="10"/>
        <v>-19</v>
      </c>
      <c r="O100" s="75">
        <f t="shared" si="11"/>
        <v>-2.5850340136054419</v>
      </c>
      <c r="P100" s="75">
        <f>VLOOKUP($A100,'Data Vlaue (Cr)'!$C:$FB,119)</f>
        <v>0.61</v>
      </c>
      <c r="Q100" s="75">
        <f>VLOOKUP($A100,'Data Vlaue (Cr)'!$C:$FB,122)*100</f>
        <v>1.67</v>
      </c>
      <c r="R100" s="75">
        <f>VLOOKUP($A100,'Data Vlaue (Cr)'!$C:$FB,125)</f>
        <v>0.33</v>
      </c>
      <c r="S100" s="75">
        <f>VLOOKUP($A100,'Data Vlaue (Cr)'!$C:$FB,128)*100</f>
        <v>50</v>
      </c>
    </row>
    <row r="101" spans="1:19" x14ac:dyDescent="0.25">
      <c r="A101" s="96" t="str">
        <f>'Data Vlaue (Cr)'!C92</f>
        <v>INDHOTEL</v>
      </c>
      <c r="B101" s="75">
        <f>VLOOKUP($A101,'Data Vlaue (Cr)'!$C:$FB,2)</f>
        <v>1000</v>
      </c>
      <c r="C101" s="75">
        <f>VLOOKUP($A101,'Data Vlaue (Cr)'!$C:$FB,8)</f>
        <v>722</v>
      </c>
      <c r="D101" s="75">
        <f>VLOOKUP($A101,'Data Vlaue (Cr)'!$C:$FB,4)</f>
        <v>724.15</v>
      </c>
      <c r="E101" s="75">
        <f>VLOOKUP($A101,'Data Vlaue (Cr)'!$C:$FB,5)</f>
        <v>715.75</v>
      </c>
      <c r="F101" s="75">
        <f t="shared" si="6"/>
        <v>2.1499999999999773</v>
      </c>
      <c r="G101" s="75">
        <f t="shared" si="7"/>
        <v>1.1599806669888806</v>
      </c>
      <c r="H101" s="75">
        <f>VLOOKUP($A101,'Data Vlaue (Cr)'!$C:$FB,99)</f>
        <v>3217</v>
      </c>
      <c r="I101" s="75">
        <f>VLOOKUP($A101,'Data Vlaue (Cr)'!$C:$FB,100)</f>
        <v>3243</v>
      </c>
      <c r="J101" s="75">
        <f t="shared" si="8"/>
        <v>-26</v>
      </c>
      <c r="K101" s="75">
        <f t="shared" si="9"/>
        <v>-0.80820640348150452</v>
      </c>
      <c r="L101" s="75">
        <f>VLOOKUP($A101,'Data Vlaue (Cr)'!$C:$FB,67)</f>
        <v>1271</v>
      </c>
      <c r="M101" s="75">
        <f>VLOOKUP($A101,'Data Vlaue (Cr)'!$C:$FB,68)</f>
        <v>1144</v>
      </c>
      <c r="N101" s="75">
        <f t="shared" si="10"/>
        <v>127</v>
      </c>
      <c r="O101" s="75">
        <f t="shared" si="11"/>
        <v>9.99213217938631</v>
      </c>
      <c r="P101" s="75">
        <f>VLOOKUP($A101,'Data Vlaue (Cr)'!$C:$FB,119)</f>
        <v>0.65</v>
      </c>
      <c r="Q101" s="75">
        <f>VLOOKUP($A101,'Data Vlaue (Cr)'!$C:$FB,122)*100</f>
        <v>8.33</v>
      </c>
      <c r="R101" s="75">
        <f>VLOOKUP($A101,'Data Vlaue (Cr)'!$C:$FB,125)</f>
        <v>0.48</v>
      </c>
      <c r="S101" s="75">
        <f>VLOOKUP($A101,'Data Vlaue (Cr)'!$C:$FB,128)*100</f>
        <v>17.07</v>
      </c>
    </row>
    <row r="102" spans="1:19" x14ac:dyDescent="0.25">
      <c r="A102" s="96" t="str">
        <f>'Data Vlaue (Cr)'!C93</f>
        <v>INDIANB</v>
      </c>
      <c r="B102" s="75">
        <f>VLOOKUP($A102,'Data Vlaue (Cr)'!$C:$FB,2)</f>
        <v>1000</v>
      </c>
      <c r="C102" s="75">
        <f>VLOOKUP($A102,'Data Vlaue (Cr)'!$C:$FB,8)</f>
        <v>777.85</v>
      </c>
      <c r="D102" s="75">
        <f>VLOOKUP($A102,'Data Vlaue (Cr)'!$C:$FB,4)</f>
        <v>778.45</v>
      </c>
      <c r="E102" s="75">
        <f>VLOOKUP($A102,'Data Vlaue (Cr)'!$C:$FB,5)</f>
        <v>776.35</v>
      </c>
      <c r="F102" s="75">
        <f t="shared" si="6"/>
        <v>0.60000000000002274</v>
      </c>
      <c r="G102" s="75">
        <f t="shared" si="7"/>
        <v>0.2697668443702258</v>
      </c>
      <c r="H102" s="75">
        <f>VLOOKUP($A102,'Data Vlaue (Cr)'!$C:$FB,99)</f>
        <v>2266</v>
      </c>
      <c r="I102" s="75">
        <f>VLOOKUP($A102,'Data Vlaue (Cr)'!$C:$FB,100)</f>
        <v>2285</v>
      </c>
      <c r="J102" s="75">
        <f t="shared" si="8"/>
        <v>-19</v>
      </c>
      <c r="K102" s="75">
        <f t="shared" si="9"/>
        <v>-0.83848190644307141</v>
      </c>
      <c r="L102" s="75">
        <f>VLOOKUP($A102,'Data Vlaue (Cr)'!$C:$FB,67)</f>
        <v>628</v>
      </c>
      <c r="M102" s="75">
        <f>VLOOKUP($A102,'Data Vlaue (Cr)'!$C:$FB,68)</f>
        <v>625</v>
      </c>
      <c r="N102" s="75">
        <f t="shared" si="10"/>
        <v>3</v>
      </c>
      <c r="O102" s="75">
        <f t="shared" si="11"/>
        <v>0.47770700636942676</v>
      </c>
      <c r="P102" s="75">
        <f>VLOOKUP($A102,'Data Vlaue (Cr)'!$C:$FB,119)</f>
        <v>0.41</v>
      </c>
      <c r="Q102" s="75">
        <f>VLOOKUP($A102,'Data Vlaue (Cr)'!$C:$FB,122)*100</f>
        <v>0</v>
      </c>
      <c r="R102" s="75">
        <f>VLOOKUP($A102,'Data Vlaue (Cr)'!$C:$FB,125)</f>
        <v>0.26</v>
      </c>
      <c r="S102" s="75">
        <f>VLOOKUP($A102,'Data Vlaue (Cr)'!$C:$FB,128)*100</f>
        <v>-27.779999999999998</v>
      </c>
    </row>
    <row r="103" spans="1:19" x14ac:dyDescent="0.25">
      <c r="A103" s="96" t="str">
        <f>'Data Vlaue (Cr)'!C94</f>
        <v>INDIAVIX</v>
      </c>
      <c r="B103" s="75">
        <f>VLOOKUP($A103,'Data Vlaue (Cr)'!$C:$FB,2)</f>
        <v>1</v>
      </c>
      <c r="C103" s="75">
        <f>VLOOKUP($A103,'Data Vlaue (Cr)'!$C:$FB,8)</f>
        <v>9.7100000000000009</v>
      </c>
      <c r="D103" s="75">
        <f>VLOOKUP($A103,'Data Vlaue (Cr)'!$C:$FB,4)</f>
        <v>9.7100000000000009</v>
      </c>
      <c r="E103" s="75">
        <f>VLOOKUP($A103,'Data Vlaue (Cr)'!$C:$FB,5)</f>
        <v>9.84</v>
      </c>
      <c r="F103" s="75">
        <f t="shared" si="6"/>
        <v>0</v>
      </c>
      <c r="G103" s="75">
        <f t="shared" si="7"/>
        <v>-1.3388259526261481</v>
      </c>
      <c r="H103" s="75">
        <f>VLOOKUP($A103,'Data Vlaue (Cr)'!$C:$FB,99)</f>
        <v>0</v>
      </c>
      <c r="I103" s="75">
        <f>VLOOKUP($A103,'Data Vlaue (Cr)'!$C:$FB,100)</f>
        <v>0</v>
      </c>
      <c r="J103" s="75">
        <f t="shared" si="8"/>
        <v>0</v>
      </c>
      <c r="K103" s="75" t="e">
        <f t="shared" si="9"/>
        <v>#DIV/0!</v>
      </c>
      <c r="L103" s="75">
        <f>VLOOKUP($A103,'Data Vlaue (Cr)'!$C:$FB,67)</f>
        <v>0</v>
      </c>
      <c r="M103" s="75">
        <f>VLOOKUP($A103,'Data Vlaue (Cr)'!$C:$FB,68)</f>
        <v>0</v>
      </c>
      <c r="N103" s="75">
        <f t="shared" si="10"/>
        <v>0</v>
      </c>
      <c r="O103" s="75" t="e">
        <f t="shared" si="11"/>
        <v>#DIV/0!</v>
      </c>
      <c r="P103" s="75">
        <f>VLOOKUP($A103,'Data Vlaue (Cr)'!$C:$FB,119)</f>
        <v>0</v>
      </c>
      <c r="Q103" s="75">
        <f>VLOOKUP($A103,'Data Vlaue (Cr)'!$C:$FB,122)*100</f>
        <v>0</v>
      </c>
      <c r="R103" s="75">
        <f>VLOOKUP($A103,'Data Vlaue (Cr)'!$C:$FB,125)</f>
        <v>0</v>
      </c>
      <c r="S103" s="75">
        <f>VLOOKUP($A103,'Data Vlaue (Cr)'!$C:$FB,128)*100</f>
        <v>0</v>
      </c>
    </row>
    <row r="104" spans="1:19" x14ac:dyDescent="0.25">
      <c r="A104" s="96" t="str">
        <f>'Data Vlaue (Cr)'!C95</f>
        <v>INDIGO</v>
      </c>
      <c r="B104" s="75">
        <f>VLOOKUP($A104,'Data Vlaue (Cr)'!$C:$FB,2)</f>
        <v>150</v>
      </c>
      <c r="C104" s="75">
        <f>VLOOKUP($A104,'Data Vlaue (Cr)'!$C:$FB,8)</f>
        <v>5115.5</v>
      </c>
      <c r="D104" s="75">
        <f>VLOOKUP($A104,'Data Vlaue (Cr)'!$C:$FB,4)</f>
        <v>5130.5</v>
      </c>
      <c r="E104" s="75">
        <f>VLOOKUP($A104,'Data Vlaue (Cr)'!$C:$FB,5)</f>
        <v>4984</v>
      </c>
      <c r="F104" s="75">
        <f t="shared" si="6"/>
        <v>15</v>
      </c>
      <c r="G104" s="75">
        <f t="shared" si="7"/>
        <v>2.8554721762011499</v>
      </c>
      <c r="H104" s="75">
        <f>VLOOKUP($A104,'Data Vlaue (Cr)'!$C:$FB,99)</f>
        <v>18619</v>
      </c>
      <c r="I104" s="75">
        <f>VLOOKUP($A104,'Data Vlaue (Cr)'!$C:$FB,100)</f>
        <v>19316</v>
      </c>
      <c r="J104" s="75">
        <f t="shared" si="8"/>
        <v>-697</v>
      </c>
      <c r="K104" s="75">
        <f t="shared" si="9"/>
        <v>-3.7434878350072505</v>
      </c>
      <c r="L104" s="75">
        <f>VLOOKUP($A104,'Data Vlaue (Cr)'!$C:$FB,67)</f>
        <v>29425</v>
      </c>
      <c r="M104" s="75">
        <f>VLOOKUP($A104,'Data Vlaue (Cr)'!$C:$FB,68)</f>
        <v>7186</v>
      </c>
      <c r="N104" s="75">
        <f t="shared" si="10"/>
        <v>22239</v>
      </c>
      <c r="O104" s="75">
        <f t="shared" si="11"/>
        <v>75.578589634664411</v>
      </c>
      <c r="P104" s="75">
        <f>VLOOKUP($A104,'Data Vlaue (Cr)'!$C:$FB,119)</f>
        <v>0.56000000000000005</v>
      </c>
      <c r="Q104" s="75">
        <f>VLOOKUP($A104,'Data Vlaue (Cr)'!$C:$FB,122)*100</f>
        <v>16.669999999999998</v>
      </c>
      <c r="R104" s="75">
        <f>VLOOKUP($A104,'Data Vlaue (Cr)'!$C:$FB,125)</f>
        <v>0.48</v>
      </c>
      <c r="S104" s="75">
        <f>VLOOKUP($A104,'Data Vlaue (Cr)'!$C:$FB,128)*100</f>
        <v>-5.88</v>
      </c>
    </row>
    <row r="105" spans="1:19" x14ac:dyDescent="0.25">
      <c r="A105" s="96" t="str">
        <f>'Data Vlaue (Cr)'!C96</f>
        <v>INDUSINDBK</v>
      </c>
      <c r="B105" s="75">
        <f>VLOOKUP($A105,'Data Vlaue (Cr)'!$C:$FB,2)</f>
        <v>700</v>
      </c>
      <c r="C105" s="75">
        <f>VLOOKUP($A105,'Data Vlaue (Cr)'!$C:$FB,8)</f>
        <v>834.9</v>
      </c>
      <c r="D105" s="75">
        <f>VLOOKUP($A105,'Data Vlaue (Cr)'!$C:$FB,4)</f>
        <v>835.8</v>
      </c>
      <c r="E105" s="75">
        <f>VLOOKUP($A105,'Data Vlaue (Cr)'!$C:$FB,5)</f>
        <v>834.65</v>
      </c>
      <c r="F105" s="75">
        <f t="shared" si="6"/>
        <v>0.89999999999997726</v>
      </c>
      <c r="G105" s="75">
        <f t="shared" si="7"/>
        <v>0.1375927255324213</v>
      </c>
      <c r="H105" s="75">
        <f>VLOOKUP($A105,'Data Vlaue (Cr)'!$C:$FB,99)</f>
        <v>5925</v>
      </c>
      <c r="I105" s="75">
        <f>VLOOKUP($A105,'Data Vlaue (Cr)'!$C:$FB,100)</f>
        <v>6013</v>
      </c>
      <c r="J105" s="75">
        <f t="shared" si="8"/>
        <v>-88</v>
      </c>
      <c r="K105" s="75">
        <f t="shared" si="9"/>
        <v>-1.4852320675105486</v>
      </c>
      <c r="L105" s="75">
        <f>VLOOKUP($A105,'Data Vlaue (Cr)'!$C:$FB,67)</f>
        <v>2139</v>
      </c>
      <c r="M105" s="75">
        <f>VLOOKUP($A105,'Data Vlaue (Cr)'!$C:$FB,68)</f>
        <v>3350</v>
      </c>
      <c r="N105" s="75">
        <f t="shared" si="10"/>
        <v>-1211</v>
      </c>
      <c r="O105" s="75">
        <f t="shared" si="11"/>
        <v>-56.615240766713413</v>
      </c>
      <c r="P105" s="75">
        <f>VLOOKUP($A105,'Data Vlaue (Cr)'!$C:$FB,119)</f>
        <v>0.71</v>
      </c>
      <c r="Q105" s="75">
        <f>VLOOKUP($A105,'Data Vlaue (Cr)'!$C:$FB,122)*100</f>
        <v>1.43</v>
      </c>
      <c r="R105" s="75">
        <f>VLOOKUP($A105,'Data Vlaue (Cr)'!$C:$FB,125)</f>
        <v>0.7</v>
      </c>
      <c r="S105" s="75">
        <f>VLOOKUP($A105,'Data Vlaue (Cr)'!$C:$FB,128)*100</f>
        <v>-20.45</v>
      </c>
    </row>
    <row r="106" spans="1:19" x14ac:dyDescent="0.25">
      <c r="A106" s="96" t="str">
        <f>'Data Vlaue (Cr)'!C97</f>
        <v>INDUSTOWER</v>
      </c>
      <c r="B106" s="75">
        <f>VLOOKUP($A106,'Data Vlaue (Cr)'!$C:$FB,2)</f>
        <v>1700</v>
      </c>
      <c r="C106" s="75">
        <f>VLOOKUP($A106,'Data Vlaue (Cr)'!$C:$FB,8)</f>
        <v>408.75</v>
      </c>
      <c r="D106" s="75">
        <f>VLOOKUP($A106,'Data Vlaue (Cr)'!$C:$FB,4)</f>
        <v>409.7</v>
      </c>
      <c r="E106" s="75">
        <f>VLOOKUP($A106,'Data Vlaue (Cr)'!$C:$FB,5)</f>
        <v>408.6</v>
      </c>
      <c r="F106" s="75">
        <f t="shared" si="6"/>
        <v>0.94999999999998863</v>
      </c>
      <c r="G106" s="75">
        <f t="shared" si="7"/>
        <v>0.26848913839393845</v>
      </c>
      <c r="H106" s="75">
        <f>VLOOKUP($A106,'Data Vlaue (Cr)'!$C:$FB,99)</f>
        <v>5114</v>
      </c>
      <c r="I106" s="75">
        <f>VLOOKUP($A106,'Data Vlaue (Cr)'!$C:$FB,100)</f>
        <v>5175</v>
      </c>
      <c r="J106" s="75">
        <f t="shared" si="8"/>
        <v>-61</v>
      </c>
      <c r="K106" s="75">
        <f t="shared" si="9"/>
        <v>-1.1928040672663276</v>
      </c>
      <c r="L106" s="75">
        <f>VLOOKUP($A106,'Data Vlaue (Cr)'!$C:$FB,67)</f>
        <v>1451</v>
      </c>
      <c r="M106" s="75">
        <f>VLOOKUP($A106,'Data Vlaue (Cr)'!$C:$FB,68)</f>
        <v>1139</v>
      </c>
      <c r="N106" s="75">
        <f t="shared" si="10"/>
        <v>312</v>
      </c>
      <c r="O106" s="75">
        <f t="shared" si="11"/>
        <v>21.502412129565819</v>
      </c>
      <c r="P106" s="75">
        <f>VLOOKUP($A106,'Data Vlaue (Cr)'!$C:$FB,119)</f>
        <v>0.6</v>
      </c>
      <c r="Q106" s="75">
        <f>VLOOKUP($A106,'Data Vlaue (Cr)'!$C:$FB,122)*100</f>
        <v>1.69</v>
      </c>
      <c r="R106" s="75">
        <f>VLOOKUP($A106,'Data Vlaue (Cr)'!$C:$FB,125)</f>
        <v>0.35</v>
      </c>
      <c r="S106" s="75">
        <f>VLOOKUP($A106,'Data Vlaue (Cr)'!$C:$FB,128)*100</f>
        <v>40</v>
      </c>
    </row>
    <row r="107" spans="1:19" x14ac:dyDescent="0.25">
      <c r="A107" s="96" t="str">
        <f>'Data Vlaue (Cr)'!C98</f>
        <v>INFY</v>
      </c>
      <c r="B107" s="75">
        <f>VLOOKUP($A107,'Data Vlaue (Cr)'!$C:$FB,2)</f>
        <v>400</v>
      </c>
      <c r="C107" s="75">
        <f>VLOOKUP($A107,'Data Vlaue (Cr)'!$C:$FB,8)</f>
        <v>1626.8</v>
      </c>
      <c r="D107" s="75">
        <f>VLOOKUP($A107,'Data Vlaue (Cr)'!$C:$FB,4)</f>
        <v>1627.9</v>
      </c>
      <c r="E107" s="75">
        <f>VLOOKUP($A107,'Data Vlaue (Cr)'!$C:$FB,5)</f>
        <v>1605.8</v>
      </c>
      <c r="F107" s="75">
        <f t="shared" si="6"/>
        <v>1.1000000000001364</v>
      </c>
      <c r="G107" s="75">
        <f t="shared" si="7"/>
        <v>1.3575772467596372</v>
      </c>
      <c r="H107" s="75">
        <f>VLOOKUP($A107,'Data Vlaue (Cr)'!$C:$FB,99)</f>
        <v>19745</v>
      </c>
      <c r="I107" s="75">
        <f>VLOOKUP($A107,'Data Vlaue (Cr)'!$C:$FB,100)</f>
        <v>18969</v>
      </c>
      <c r="J107" s="75">
        <f t="shared" si="8"/>
        <v>776</v>
      </c>
      <c r="K107" s="75">
        <f t="shared" si="9"/>
        <v>3.9301088883261586</v>
      </c>
      <c r="L107" s="75">
        <f>VLOOKUP($A107,'Data Vlaue (Cr)'!$C:$FB,67)</f>
        <v>14306</v>
      </c>
      <c r="M107" s="75">
        <f>VLOOKUP($A107,'Data Vlaue (Cr)'!$C:$FB,68)</f>
        <v>7003</v>
      </c>
      <c r="N107" s="75">
        <f t="shared" si="10"/>
        <v>7303</v>
      </c>
      <c r="O107" s="75">
        <f t="shared" si="11"/>
        <v>51.04851111421781</v>
      </c>
      <c r="P107" s="75">
        <f>VLOOKUP($A107,'Data Vlaue (Cr)'!$C:$FB,119)</f>
        <v>0.76</v>
      </c>
      <c r="Q107" s="75">
        <f>VLOOKUP($A107,'Data Vlaue (Cr)'!$C:$FB,122)*100</f>
        <v>16.919999999999998</v>
      </c>
      <c r="R107" s="75">
        <f>VLOOKUP($A107,'Data Vlaue (Cr)'!$C:$FB,125)</f>
        <v>0.56999999999999995</v>
      </c>
      <c r="S107" s="75">
        <f>VLOOKUP($A107,'Data Vlaue (Cr)'!$C:$FB,128)*100</f>
        <v>5.56</v>
      </c>
    </row>
    <row r="108" spans="1:19" x14ac:dyDescent="0.25">
      <c r="A108" s="96" t="str">
        <f>'Data Vlaue (Cr)'!C99</f>
        <v>INOXWIND</v>
      </c>
      <c r="B108" s="75">
        <f>VLOOKUP($A108,'Data Vlaue (Cr)'!$C:$FB,2)</f>
        <v>3272</v>
      </c>
      <c r="C108" s="75">
        <f>VLOOKUP($A108,'Data Vlaue (Cr)'!$C:$FB,8)</f>
        <v>124.21</v>
      </c>
      <c r="D108" s="75">
        <f>VLOOKUP($A108,'Data Vlaue (Cr)'!$C:$FB,4)</f>
        <v>124.71</v>
      </c>
      <c r="E108" s="75">
        <f>VLOOKUP($A108,'Data Vlaue (Cr)'!$C:$FB,5)</f>
        <v>126.43</v>
      </c>
      <c r="F108" s="75">
        <f t="shared" si="6"/>
        <v>0.5</v>
      </c>
      <c r="G108" s="75">
        <f t="shared" si="7"/>
        <v>-1.3791997434047094</v>
      </c>
      <c r="H108" s="75">
        <f>VLOOKUP($A108,'Data Vlaue (Cr)'!$C:$FB,99)</f>
        <v>1963</v>
      </c>
      <c r="I108" s="75">
        <f>VLOOKUP($A108,'Data Vlaue (Cr)'!$C:$FB,100)</f>
        <v>1964</v>
      </c>
      <c r="J108" s="75">
        <f t="shared" si="8"/>
        <v>-1</v>
      </c>
      <c r="K108" s="75">
        <f t="shared" si="9"/>
        <v>-5.094243504839531E-2</v>
      </c>
      <c r="L108" s="75">
        <f>VLOOKUP($A108,'Data Vlaue (Cr)'!$C:$FB,67)</f>
        <v>446</v>
      </c>
      <c r="M108" s="75">
        <f>VLOOKUP($A108,'Data Vlaue (Cr)'!$C:$FB,68)</f>
        <v>297</v>
      </c>
      <c r="N108" s="75">
        <f t="shared" si="10"/>
        <v>149</v>
      </c>
      <c r="O108" s="75">
        <f t="shared" si="11"/>
        <v>33.408071748878925</v>
      </c>
      <c r="P108" s="75">
        <f>VLOOKUP($A108,'Data Vlaue (Cr)'!$C:$FB,119)</f>
        <v>0.49</v>
      </c>
      <c r="Q108" s="75">
        <f>VLOOKUP($A108,'Data Vlaue (Cr)'!$C:$FB,122)*100</f>
        <v>0</v>
      </c>
      <c r="R108" s="75">
        <f>VLOOKUP($A108,'Data Vlaue (Cr)'!$C:$FB,125)</f>
        <v>0.69</v>
      </c>
      <c r="S108" s="75">
        <f>VLOOKUP($A108,'Data Vlaue (Cr)'!$C:$FB,128)*100</f>
        <v>15</v>
      </c>
    </row>
    <row r="109" spans="1:19" x14ac:dyDescent="0.25">
      <c r="A109" s="96" t="str">
        <f>'Data Vlaue (Cr)'!C100</f>
        <v>IOC</v>
      </c>
      <c r="B109" s="75">
        <f>VLOOKUP($A109,'Data Vlaue (Cr)'!$C:$FB,2)</f>
        <v>4875</v>
      </c>
      <c r="C109" s="75">
        <f>VLOOKUP($A109,'Data Vlaue (Cr)'!$C:$FB,8)</f>
        <v>161.75</v>
      </c>
      <c r="D109" s="75">
        <f>VLOOKUP($A109,'Data Vlaue (Cr)'!$C:$FB,4)</f>
        <v>162.16</v>
      </c>
      <c r="E109" s="75">
        <f>VLOOKUP($A109,'Data Vlaue (Cr)'!$C:$FB,5)</f>
        <v>168.64</v>
      </c>
      <c r="F109" s="75">
        <f t="shared" si="6"/>
        <v>0.40999999999999659</v>
      </c>
      <c r="G109" s="75">
        <f t="shared" si="7"/>
        <v>-3.9960532807104028</v>
      </c>
      <c r="H109" s="75">
        <f>VLOOKUP($A109,'Data Vlaue (Cr)'!$C:$FB,99)</f>
        <v>3270</v>
      </c>
      <c r="I109" s="75">
        <f>VLOOKUP($A109,'Data Vlaue (Cr)'!$C:$FB,100)</f>
        <v>3272</v>
      </c>
      <c r="J109" s="75">
        <f t="shared" si="8"/>
        <v>-2</v>
      </c>
      <c r="K109" s="75">
        <f t="shared" si="9"/>
        <v>-6.1162079510703363E-2</v>
      </c>
      <c r="L109" s="75">
        <f>VLOOKUP($A109,'Data Vlaue (Cr)'!$C:$FB,67)</f>
        <v>2063</v>
      </c>
      <c r="M109" s="75">
        <f>VLOOKUP($A109,'Data Vlaue (Cr)'!$C:$FB,68)</f>
        <v>2765</v>
      </c>
      <c r="N109" s="75">
        <f t="shared" si="10"/>
        <v>-702</v>
      </c>
      <c r="O109" s="75">
        <f t="shared" si="11"/>
        <v>-34.028114396509942</v>
      </c>
      <c r="P109" s="75">
        <f>VLOOKUP($A109,'Data Vlaue (Cr)'!$C:$FB,119)</f>
        <v>0.67</v>
      </c>
      <c r="Q109" s="75">
        <f>VLOOKUP($A109,'Data Vlaue (Cr)'!$C:$FB,122)*100</f>
        <v>1.52</v>
      </c>
      <c r="R109" s="75">
        <f>VLOOKUP($A109,'Data Vlaue (Cr)'!$C:$FB,125)</f>
        <v>0.56999999999999995</v>
      </c>
      <c r="S109" s="75">
        <f>VLOOKUP($A109,'Data Vlaue (Cr)'!$C:$FB,128)*100</f>
        <v>-1.72</v>
      </c>
    </row>
    <row r="110" spans="1:19" x14ac:dyDescent="0.25">
      <c r="A110" s="96" t="str">
        <f>'Data Vlaue (Cr)'!C101</f>
        <v>IRCTC</v>
      </c>
      <c r="B110" s="75">
        <f>VLOOKUP($A110,'Data Vlaue (Cr)'!$C:$FB,2)</f>
        <v>875</v>
      </c>
      <c r="C110" s="75">
        <f>VLOOKUP($A110,'Data Vlaue (Cr)'!$C:$FB,8)</f>
        <v>663.85</v>
      </c>
      <c r="D110" s="75">
        <f>VLOOKUP($A110,'Data Vlaue (Cr)'!$C:$FB,4)</f>
        <v>665.6</v>
      </c>
      <c r="E110" s="75">
        <f>VLOOKUP($A110,'Data Vlaue (Cr)'!$C:$FB,5)</f>
        <v>667.25</v>
      </c>
      <c r="F110" s="75">
        <f t="shared" si="6"/>
        <v>1.75</v>
      </c>
      <c r="G110" s="75">
        <f t="shared" si="7"/>
        <v>-0.24789663461538117</v>
      </c>
      <c r="H110" s="75">
        <f>VLOOKUP($A110,'Data Vlaue (Cr)'!$C:$FB,99)</f>
        <v>2527</v>
      </c>
      <c r="I110" s="75">
        <f>VLOOKUP($A110,'Data Vlaue (Cr)'!$C:$FB,100)</f>
        <v>2555</v>
      </c>
      <c r="J110" s="75">
        <f t="shared" si="8"/>
        <v>-28</v>
      </c>
      <c r="K110" s="75">
        <f t="shared" si="9"/>
        <v>-1.10803324099723</v>
      </c>
      <c r="L110" s="75">
        <f>VLOOKUP($A110,'Data Vlaue (Cr)'!$C:$FB,67)</f>
        <v>697</v>
      </c>
      <c r="M110" s="75">
        <f>VLOOKUP($A110,'Data Vlaue (Cr)'!$C:$FB,68)</f>
        <v>689</v>
      </c>
      <c r="N110" s="75">
        <f t="shared" si="10"/>
        <v>8</v>
      </c>
      <c r="O110" s="75">
        <f t="shared" si="11"/>
        <v>1.1477761836441895</v>
      </c>
      <c r="P110" s="75">
        <f>VLOOKUP($A110,'Data Vlaue (Cr)'!$C:$FB,119)</f>
        <v>0.68</v>
      </c>
      <c r="Q110" s="75">
        <f>VLOOKUP($A110,'Data Vlaue (Cr)'!$C:$FB,122)*100</f>
        <v>-2.86</v>
      </c>
      <c r="R110" s="75">
        <f>VLOOKUP($A110,'Data Vlaue (Cr)'!$C:$FB,125)</f>
        <v>0.35</v>
      </c>
      <c r="S110" s="75">
        <f>VLOOKUP($A110,'Data Vlaue (Cr)'!$C:$FB,128)*100</f>
        <v>-44.440000000000005</v>
      </c>
    </row>
    <row r="111" spans="1:19" x14ac:dyDescent="0.25">
      <c r="A111" s="96" t="str">
        <f>'Data Vlaue (Cr)'!C102</f>
        <v>IREDA</v>
      </c>
      <c r="B111" s="75">
        <f>VLOOKUP($A111,'Data Vlaue (Cr)'!$C:$FB,2)</f>
        <v>3450</v>
      </c>
      <c r="C111" s="75">
        <f>VLOOKUP($A111,'Data Vlaue (Cr)'!$C:$FB,8)</f>
        <v>131.41999999999999</v>
      </c>
      <c r="D111" s="75">
        <f>VLOOKUP($A111,'Data Vlaue (Cr)'!$C:$FB,4)</f>
        <v>131.72</v>
      </c>
      <c r="E111" s="75">
        <f>VLOOKUP($A111,'Data Vlaue (Cr)'!$C:$FB,5)</f>
        <v>131.16999999999999</v>
      </c>
      <c r="F111" s="75">
        <f t="shared" si="6"/>
        <v>0.30000000000001137</v>
      </c>
      <c r="G111" s="75">
        <f t="shared" si="7"/>
        <v>0.41755238384452731</v>
      </c>
      <c r="H111" s="75">
        <f>VLOOKUP($A111,'Data Vlaue (Cr)'!$C:$FB,99)</f>
        <v>1520</v>
      </c>
      <c r="I111" s="75">
        <f>VLOOKUP($A111,'Data Vlaue (Cr)'!$C:$FB,100)</f>
        <v>1486</v>
      </c>
      <c r="J111" s="75">
        <f t="shared" si="8"/>
        <v>34</v>
      </c>
      <c r="K111" s="75">
        <f t="shared" si="9"/>
        <v>2.236842105263158</v>
      </c>
      <c r="L111" s="75">
        <f>VLOOKUP($A111,'Data Vlaue (Cr)'!$C:$FB,67)</f>
        <v>454</v>
      </c>
      <c r="M111" s="75">
        <f>VLOOKUP($A111,'Data Vlaue (Cr)'!$C:$FB,68)</f>
        <v>385</v>
      </c>
      <c r="N111" s="75">
        <f t="shared" si="10"/>
        <v>69</v>
      </c>
      <c r="O111" s="75">
        <f t="shared" si="11"/>
        <v>15.198237885462554</v>
      </c>
      <c r="P111" s="75">
        <f>VLOOKUP($A111,'Data Vlaue (Cr)'!$C:$FB,119)</f>
        <v>0.51</v>
      </c>
      <c r="Q111" s="75">
        <f>VLOOKUP($A111,'Data Vlaue (Cr)'!$C:$FB,122)*100</f>
        <v>2</v>
      </c>
      <c r="R111" s="75">
        <f>VLOOKUP($A111,'Data Vlaue (Cr)'!$C:$FB,125)</f>
        <v>0.4</v>
      </c>
      <c r="S111" s="75">
        <f>VLOOKUP($A111,'Data Vlaue (Cr)'!$C:$FB,128)*100</f>
        <v>25</v>
      </c>
    </row>
    <row r="112" spans="1:19" x14ac:dyDescent="0.25">
      <c r="A112" s="96" t="str">
        <f>'Data Vlaue (Cr)'!C103</f>
        <v>IRFC</v>
      </c>
      <c r="B112" s="75">
        <f>VLOOKUP($A112,'Data Vlaue (Cr)'!$C:$FB,2)</f>
        <v>4250</v>
      </c>
      <c r="C112" s="75">
        <f>VLOOKUP($A112,'Data Vlaue (Cr)'!$C:$FB,8)</f>
        <v>110.81</v>
      </c>
      <c r="D112" s="75">
        <f>VLOOKUP($A112,'Data Vlaue (Cr)'!$C:$FB,4)</f>
        <v>111.19</v>
      </c>
      <c r="E112" s="75">
        <f>VLOOKUP($A112,'Data Vlaue (Cr)'!$C:$FB,5)</f>
        <v>111.25</v>
      </c>
      <c r="F112" s="75">
        <f t="shared" si="6"/>
        <v>0.37999999999999545</v>
      </c>
      <c r="G112" s="75">
        <f t="shared" si="7"/>
        <v>-5.3961687202088562E-2</v>
      </c>
      <c r="H112" s="75">
        <f>VLOOKUP($A112,'Data Vlaue (Cr)'!$C:$FB,99)</f>
        <v>1255</v>
      </c>
      <c r="I112" s="75">
        <f>VLOOKUP($A112,'Data Vlaue (Cr)'!$C:$FB,100)</f>
        <v>1256</v>
      </c>
      <c r="J112" s="75">
        <f t="shared" si="8"/>
        <v>-1</v>
      </c>
      <c r="K112" s="75">
        <f t="shared" si="9"/>
        <v>-7.9681274900398405E-2</v>
      </c>
      <c r="L112" s="75">
        <f>VLOOKUP($A112,'Data Vlaue (Cr)'!$C:$FB,67)</f>
        <v>447</v>
      </c>
      <c r="M112" s="75">
        <f>VLOOKUP($A112,'Data Vlaue (Cr)'!$C:$FB,68)</f>
        <v>405</v>
      </c>
      <c r="N112" s="75">
        <f t="shared" si="10"/>
        <v>42</v>
      </c>
      <c r="O112" s="75">
        <f t="shared" si="11"/>
        <v>9.3959731543624159</v>
      </c>
      <c r="P112" s="75">
        <f>VLOOKUP($A112,'Data Vlaue (Cr)'!$C:$FB,119)</f>
        <v>0.49</v>
      </c>
      <c r="Q112" s="75">
        <f>VLOOKUP($A112,'Data Vlaue (Cr)'!$C:$FB,122)*100</f>
        <v>2.08</v>
      </c>
      <c r="R112" s="75">
        <f>VLOOKUP($A112,'Data Vlaue (Cr)'!$C:$FB,125)</f>
        <v>0.46</v>
      </c>
      <c r="S112" s="75">
        <f>VLOOKUP($A112,'Data Vlaue (Cr)'!$C:$FB,128)*100</f>
        <v>9.5200000000000014</v>
      </c>
    </row>
    <row r="113" spans="1:19" x14ac:dyDescent="0.25">
      <c r="A113" s="96" t="str">
        <f>'Data Vlaue (Cr)'!C104</f>
        <v>ITC</v>
      </c>
      <c r="B113" s="75">
        <f>VLOOKUP($A113,'Data Vlaue (Cr)'!$C:$FB,2)</f>
        <v>1600</v>
      </c>
      <c r="C113" s="75">
        <f>VLOOKUP($A113,'Data Vlaue (Cr)'!$C:$FB,8)</f>
        <v>400.4</v>
      </c>
      <c r="D113" s="75">
        <f>VLOOKUP($A113,'Data Vlaue (Cr)'!$C:$FB,4)</f>
        <v>401.25</v>
      </c>
      <c r="E113" s="75">
        <f>VLOOKUP($A113,'Data Vlaue (Cr)'!$C:$FB,5)</f>
        <v>401.05</v>
      </c>
      <c r="F113" s="75">
        <f t="shared" si="6"/>
        <v>0.85000000000002274</v>
      </c>
      <c r="G113" s="75">
        <f t="shared" si="7"/>
        <v>4.9844236760121778E-2</v>
      </c>
      <c r="H113" s="75">
        <f>VLOOKUP($A113,'Data Vlaue (Cr)'!$C:$FB,99)</f>
        <v>11064</v>
      </c>
      <c r="I113" s="75">
        <f>VLOOKUP($A113,'Data Vlaue (Cr)'!$C:$FB,100)</f>
        <v>11083</v>
      </c>
      <c r="J113" s="75">
        <f t="shared" si="8"/>
        <v>-19</v>
      </c>
      <c r="K113" s="75">
        <f t="shared" si="9"/>
        <v>-0.17172812725958062</v>
      </c>
      <c r="L113" s="75">
        <f>VLOOKUP($A113,'Data Vlaue (Cr)'!$C:$FB,67)</f>
        <v>2571</v>
      </c>
      <c r="M113" s="75">
        <f>VLOOKUP($A113,'Data Vlaue (Cr)'!$C:$FB,68)</f>
        <v>2916</v>
      </c>
      <c r="N113" s="75">
        <f t="shared" si="10"/>
        <v>-345</v>
      </c>
      <c r="O113" s="75">
        <f t="shared" si="11"/>
        <v>-13.418903150525088</v>
      </c>
      <c r="P113" s="75">
        <f>VLOOKUP($A113,'Data Vlaue (Cr)'!$C:$FB,119)</f>
        <v>0.6</v>
      </c>
      <c r="Q113" s="75">
        <f>VLOOKUP($A113,'Data Vlaue (Cr)'!$C:$FB,122)*100</f>
        <v>-3.2300000000000004</v>
      </c>
      <c r="R113" s="75">
        <f>VLOOKUP($A113,'Data Vlaue (Cr)'!$C:$FB,125)</f>
        <v>0.56000000000000005</v>
      </c>
      <c r="S113" s="75">
        <f>VLOOKUP($A113,'Data Vlaue (Cr)'!$C:$FB,128)*100</f>
        <v>16.669999999999998</v>
      </c>
    </row>
    <row r="114" spans="1:19" x14ac:dyDescent="0.25">
      <c r="A114" s="96" t="str">
        <f>'Data Vlaue (Cr)'!C105</f>
        <v>JINDALSTEL</v>
      </c>
      <c r="B114" s="75">
        <f>VLOOKUP($A114,'Data Vlaue (Cr)'!$C:$FB,2)</f>
        <v>625</v>
      </c>
      <c r="C114" s="75">
        <f>VLOOKUP($A114,'Data Vlaue (Cr)'!$C:$FB,8)</f>
        <v>986</v>
      </c>
      <c r="D114" s="75">
        <f>VLOOKUP($A114,'Data Vlaue (Cr)'!$C:$FB,4)</f>
        <v>988.9</v>
      </c>
      <c r="E114" s="75">
        <f>VLOOKUP($A114,'Data Vlaue (Cr)'!$C:$FB,5)</f>
        <v>1003.9</v>
      </c>
      <c r="F114" s="75">
        <f t="shared" si="6"/>
        <v>2.8999999999999773</v>
      </c>
      <c r="G114" s="75">
        <f t="shared" si="7"/>
        <v>-1.5168368894731519</v>
      </c>
      <c r="H114" s="75">
        <f>VLOOKUP($A114,'Data Vlaue (Cr)'!$C:$FB,99)</f>
        <v>2288</v>
      </c>
      <c r="I114" s="75">
        <f>VLOOKUP($A114,'Data Vlaue (Cr)'!$C:$FB,100)</f>
        <v>2176</v>
      </c>
      <c r="J114" s="75">
        <f t="shared" si="8"/>
        <v>112</v>
      </c>
      <c r="K114" s="75">
        <f t="shared" si="9"/>
        <v>4.895104895104895</v>
      </c>
      <c r="L114" s="75">
        <f>VLOOKUP($A114,'Data Vlaue (Cr)'!$C:$FB,67)</f>
        <v>1766</v>
      </c>
      <c r="M114" s="75">
        <f>VLOOKUP($A114,'Data Vlaue (Cr)'!$C:$FB,68)</f>
        <v>806</v>
      </c>
      <c r="N114" s="75">
        <f t="shared" si="10"/>
        <v>960</v>
      </c>
      <c r="O114" s="75">
        <f t="shared" si="11"/>
        <v>54.360135900339742</v>
      </c>
      <c r="P114" s="75">
        <f>VLOOKUP($A114,'Data Vlaue (Cr)'!$C:$FB,119)</f>
        <v>0.62</v>
      </c>
      <c r="Q114" s="75">
        <f>VLOOKUP($A114,'Data Vlaue (Cr)'!$C:$FB,122)*100</f>
        <v>3.3300000000000005</v>
      </c>
      <c r="R114" s="75">
        <f>VLOOKUP($A114,'Data Vlaue (Cr)'!$C:$FB,125)</f>
        <v>0.65</v>
      </c>
      <c r="S114" s="75">
        <f>VLOOKUP($A114,'Data Vlaue (Cr)'!$C:$FB,128)*100</f>
        <v>18.18</v>
      </c>
    </row>
    <row r="115" spans="1:19" x14ac:dyDescent="0.25">
      <c r="A115" s="96" t="str">
        <f>'Data Vlaue (Cr)'!C106</f>
        <v>JIOFIN</v>
      </c>
      <c r="B115" s="75">
        <f>VLOOKUP($A115,'Data Vlaue (Cr)'!$C:$FB,2)</f>
        <v>2350</v>
      </c>
      <c r="C115" s="75">
        <f>VLOOKUP($A115,'Data Vlaue (Cr)'!$C:$FB,8)</f>
        <v>292.3</v>
      </c>
      <c r="D115" s="75">
        <f>VLOOKUP($A115,'Data Vlaue (Cr)'!$C:$FB,4)</f>
        <v>292.89999999999998</v>
      </c>
      <c r="E115" s="75">
        <f>VLOOKUP($A115,'Data Vlaue (Cr)'!$C:$FB,5)</f>
        <v>293.7</v>
      </c>
      <c r="F115" s="75">
        <f t="shared" si="6"/>
        <v>0.59999999999996589</v>
      </c>
      <c r="G115" s="75">
        <f t="shared" si="7"/>
        <v>-0.27313076135200121</v>
      </c>
      <c r="H115" s="75">
        <f>VLOOKUP($A115,'Data Vlaue (Cr)'!$C:$FB,99)</f>
        <v>8161</v>
      </c>
      <c r="I115" s="75">
        <f>VLOOKUP($A115,'Data Vlaue (Cr)'!$C:$FB,100)</f>
        <v>8044</v>
      </c>
      <c r="J115" s="75">
        <f t="shared" si="8"/>
        <v>117</v>
      </c>
      <c r="K115" s="75">
        <f t="shared" si="9"/>
        <v>1.4336478372748438</v>
      </c>
      <c r="L115" s="75">
        <f>VLOOKUP($A115,'Data Vlaue (Cr)'!$C:$FB,67)</f>
        <v>2213</v>
      </c>
      <c r="M115" s="75">
        <f>VLOOKUP($A115,'Data Vlaue (Cr)'!$C:$FB,68)</f>
        <v>1746</v>
      </c>
      <c r="N115" s="75">
        <f t="shared" si="10"/>
        <v>467</v>
      </c>
      <c r="O115" s="75">
        <f t="shared" si="11"/>
        <v>21.102575689109806</v>
      </c>
      <c r="P115" s="75">
        <f>VLOOKUP($A115,'Data Vlaue (Cr)'!$C:$FB,119)</f>
        <v>0.69</v>
      </c>
      <c r="Q115" s="75">
        <f>VLOOKUP($A115,'Data Vlaue (Cr)'!$C:$FB,122)*100</f>
        <v>1.47</v>
      </c>
      <c r="R115" s="75">
        <f>VLOOKUP($A115,'Data Vlaue (Cr)'!$C:$FB,125)</f>
        <v>0.37</v>
      </c>
      <c r="S115" s="75">
        <f>VLOOKUP($A115,'Data Vlaue (Cr)'!$C:$FB,128)*100</f>
        <v>2.78</v>
      </c>
    </row>
    <row r="116" spans="1:19" x14ac:dyDescent="0.25">
      <c r="A116" s="96" t="str">
        <f>'Data Vlaue (Cr)'!C107</f>
        <v>JSWENERGY</v>
      </c>
      <c r="B116" s="75">
        <f>VLOOKUP($A116,'Data Vlaue (Cr)'!$C:$FB,2)</f>
        <v>1000</v>
      </c>
      <c r="C116" s="75">
        <f>VLOOKUP($A116,'Data Vlaue (Cr)'!$C:$FB,8)</f>
        <v>472</v>
      </c>
      <c r="D116" s="75">
        <f>VLOOKUP($A116,'Data Vlaue (Cr)'!$C:$FB,4)</f>
        <v>472.35</v>
      </c>
      <c r="E116" s="75">
        <f>VLOOKUP($A116,'Data Vlaue (Cr)'!$C:$FB,5)</f>
        <v>475.8</v>
      </c>
      <c r="F116" s="75">
        <f t="shared" si="6"/>
        <v>0.35000000000002274</v>
      </c>
      <c r="G116" s="75">
        <f t="shared" si="7"/>
        <v>-0.73039060019053414</v>
      </c>
      <c r="H116" s="75">
        <f>VLOOKUP($A116,'Data Vlaue (Cr)'!$C:$FB,99)</f>
        <v>3405</v>
      </c>
      <c r="I116" s="75">
        <f>VLOOKUP($A116,'Data Vlaue (Cr)'!$C:$FB,100)</f>
        <v>3458</v>
      </c>
      <c r="J116" s="75">
        <f t="shared" si="8"/>
        <v>-53</v>
      </c>
      <c r="K116" s="75">
        <f t="shared" si="9"/>
        <v>-1.5565345080763582</v>
      </c>
      <c r="L116" s="75">
        <f>VLOOKUP($A116,'Data Vlaue (Cr)'!$C:$FB,67)</f>
        <v>849</v>
      </c>
      <c r="M116" s="75">
        <f>VLOOKUP($A116,'Data Vlaue (Cr)'!$C:$FB,68)</f>
        <v>900</v>
      </c>
      <c r="N116" s="75">
        <f t="shared" si="10"/>
        <v>-51</v>
      </c>
      <c r="O116" s="75">
        <f t="shared" si="11"/>
        <v>-6.0070671378091873</v>
      </c>
      <c r="P116" s="75">
        <f>VLOOKUP($A116,'Data Vlaue (Cr)'!$C:$FB,119)</f>
        <v>0.65</v>
      </c>
      <c r="Q116" s="75">
        <f>VLOOKUP($A116,'Data Vlaue (Cr)'!$C:$FB,122)*100</f>
        <v>-4.41</v>
      </c>
      <c r="R116" s="75">
        <f>VLOOKUP($A116,'Data Vlaue (Cr)'!$C:$FB,125)</f>
        <v>0.65</v>
      </c>
      <c r="S116" s="75">
        <f>VLOOKUP($A116,'Data Vlaue (Cr)'!$C:$FB,128)*100</f>
        <v>8.33</v>
      </c>
    </row>
    <row r="117" spans="1:19" x14ac:dyDescent="0.25">
      <c r="A117" s="96" t="str">
        <f>'Data Vlaue (Cr)'!C108</f>
        <v>JSWSTEEL</v>
      </c>
      <c r="B117" s="75">
        <f>VLOOKUP($A117,'Data Vlaue (Cr)'!$C:$FB,2)</f>
        <v>675</v>
      </c>
      <c r="C117" s="75">
        <f>VLOOKUP($A117,'Data Vlaue (Cr)'!$C:$FB,8)</f>
        <v>1082.2</v>
      </c>
      <c r="D117" s="75">
        <f>VLOOKUP($A117,'Data Vlaue (Cr)'!$C:$FB,4)</f>
        <v>1084</v>
      </c>
      <c r="E117" s="75">
        <f>VLOOKUP($A117,'Data Vlaue (Cr)'!$C:$FB,5)</f>
        <v>1083.2</v>
      </c>
      <c r="F117" s="75">
        <f t="shared" si="6"/>
        <v>1.7999999999999545</v>
      </c>
      <c r="G117" s="75">
        <f t="shared" si="7"/>
        <v>7.3800738007375882E-2</v>
      </c>
      <c r="H117" s="75">
        <f>VLOOKUP($A117,'Data Vlaue (Cr)'!$C:$FB,99)</f>
        <v>8710</v>
      </c>
      <c r="I117" s="75">
        <f>VLOOKUP($A117,'Data Vlaue (Cr)'!$C:$FB,100)</f>
        <v>8702</v>
      </c>
      <c r="J117" s="75">
        <f t="shared" si="8"/>
        <v>8</v>
      </c>
      <c r="K117" s="75">
        <f t="shared" si="9"/>
        <v>9.1848450057405287E-2</v>
      </c>
      <c r="L117" s="75">
        <f>VLOOKUP($A117,'Data Vlaue (Cr)'!$C:$FB,67)</f>
        <v>3083</v>
      </c>
      <c r="M117" s="75">
        <f>VLOOKUP($A117,'Data Vlaue (Cr)'!$C:$FB,68)</f>
        <v>2421</v>
      </c>
      <c r="N117" s="75">
        <f t="shared" si="10"/>
        <v>662</v>
      </c>
      <c r="O117" s="75">
        <f t="shared" si="11"/>
        <v>21.472591631527731</v>
      </c>
      <c r="P117" s="75">
        <f>VLOOKUP($A117,'Data Vlaue (Cr)'!$C:$FB,119)</f>
        <v>0.52</v>
      </c>
      <c r="Q117" s="75">
        <f>VLOOKUP($A117,'Data Vlaue (Cr)'!$C:$FB,122)*100</f>
        <v>1.96</v>
      </c>
      <c r="R117" s="75">
        <f>VLOOKUP($A117,'Data Vlaue (Cr)'!$C:$FB,125)</f>
        <v>0.4</v>
      </c>
      <c r="S117" s="75">
        <f>VLOOKUP($A117,'Data Vlaue (Cr)'!$C:$FB,128)*100</f>
        <v>8.1100000000000012</v>
      </c>
    </row>
    <row r="118" spans="1:19" x14ac:dyDescent="0.25">
      <c r="A118" s="96" t="str">
        <f>'Data Vlaue (Cr)'!C109</f>
        <v>JUBLFOOD</v>
      </c>
      <c r="B118" s="75">
        <f>VLOOKUP($A118,'Data Vlaue (Cr)'!$C:$FB,2)</f>
        <v>1250</v>
      </c>
      <c r="C118" s="75">
        <f>VLOOKUP($A118,'Data Vlaue (Cr)'!$C:$FB,8)</f>
        <v>558.70000000000005</v>
      </c>
      <c r="D118" s="75">
        <f>VLOOKUP($A118,'Data Vlaue (Cr)'!$C:$FB,4)</f>
        <v>559</v>
      </c>
      <c r="E118" s="75">
        <f>VLOOKUP($A118,'Data Vlaue (Cr)'!$C:$FB,5)</f>
        <v>554.70000000000005</v>
      </c>
      <c r="F118" s="75">
        <f t="shared" si="6"/>
        <v>0.29999999999995453</v>
      </c>
      <c r="G118" s="75">
        <f t="shared" si="7"/>
        <v>0.76923076923076117</v>
      </c>
      <c r="H118" s="75">
        <f>VLOOKUP($A118,'Data Vlaue (Cr)'!$C:$FB,99)</f>
        <v>2481</v>
      </c>
      <c r="I118" s="75">
        <f>VLOOKUP($A118,'Data Vlaue (Cr)'!$C:$FB,100)</f>
        <v>2510</v>
      </c>
      <c r="J118" s="75">
        <f t="shared" si="8"/>
        <v>-29</v>
      </c>
      <c r="K118" s="75">
        <f t="shared" si="9"/>
        <v>-1.1688835147118097</v>
      </c>
      <c r="L118" s="75">
        <f>VLOOKUP($A118,'Data Vlaue (Cr)'!$C:$FB,67)</f>
        <v>1065</v>
      </c>
      <c r="M118" s="75">
        <f>VLOOKUP($A118,'Data Vlaue (Cr)'!$C:$FB,68)</f>
        <v>1513</v>
      </c>
      <c r="N118" s="75">
        <f t="shared" si="10"/>
        <v>-448</v>
      </c>
      <c r="O118" s="75">
        <f t="shared" si="11"/>
        <v>-42.065727699530512</v>
      </c>
      <c r="P118" s="75">
        <f>VLOOKUP($A118,'Data Vlaue (Cr)'!$C:$FB,119)</f>
        <v>0.6</v>
      </c>
      <c r="Q118" s="75">
        <f>VLOOKUP($A118,'Data Vlaue (Cr)'!$C:$FB,122)*100</f>
        <v>7.1400000000000006</v>
      </c>
      <c r="R118" s="75">
        <f>VLOOKUP($A118,'Data Vlaue (Cr)'!$C:$FB,125)</f>
        <v>0.55000000000000004</v>
      </c>
      <c r="S118" s="75">
        <f>VLOOKUP($A118,'Data Vlaue (Cr)'!$C:$FB,128)*100</f>
        <v>-12.7</v>
      </c>
    </row>
    <row r="119" spans="1:19" x14ac:dyDescent="0.25">
      <c r="A119" s="96" t="str">
        <f>'Data Vlaue (Cr)'!C110</f>
        <v>KALYANKJIL</v>
      </c>
      <c r="B119" s="75">
        <f>VLOOKUP($A119,'Data Vlaue (Cr)'!$C:$FB,2)</f>
        <v>1175</v>
      </c>
      <c r="C119" s="75">
        <f>VLOOKUP($A119,'Data Vlaue (Cr)'!$C:$FB,8)</f>
        <v>470.85</v>
      </c>
      <c r="D119" s="75">
        <f>VLOOKUP($A119,'Data Vlaue (Cr)'!$C:$FB,4)</f>
        <v>471.9</v>
      </c>
      <c r="E119" s="75">
        <f>VLOOKUP($A119,'Data Vlaue (Cr)'!$C:$FB,5)</f>
        <v>475.3</v>
      </c>
      <c r="F119" s="75">
        <f t="shared" si="6"/>
        <v>1.0499999999999545</v>
      </c>
      <c r="G119" s="75">
        <f t="shared" si="7"/>
        <v>-0.72049162958254587</v>
      </c>
      <c r="H119" s="75">
        <f>VLOOKUP($A119,'Data Vlaue (Cr)'!$C:$FB,99)</f>
        <v>2469</v>
      </c>
      <c r="I119" s="75">
        <f>VLOOKUP($A119,'Data Vlaue (Cr)'!$C:$FB,100)</f>
        <v>2443</v>
      </c>
      <c r="J119" s="75">
        <f t="shared" si="8"/>
        <v>26</v>
      </c>
      <c r="K119" s="75">
        <f t="shared" si="9"/>
        <v>1.0530579181855002</v>
      </c>
      <c r="L119" s="75">
        <f>VLOOKUP($A119,'Data Vlaue (Cr)'!$C:$FB,67)</f>
        <v>619</v>
      </c>
      <c r="M119" s="75">
        <f>VLOOKUP($A119,'Data Vlaue (Cr)'!$C:$FB,68)</f>
        <v>918</v>
      </c>
      <c r="N119" s="75">
        <f t="shared" si="10"/>
        <v>-299</v>
      </c>
      <c r="O119" s="75">
        <f t="shared" si="11"/>
        <v>-48.303715670436191</v>
      </c>
      <c r="P119" s="75">
        <f>VLOOKUP($A119,'Data Vlaue (Cr)'!$C:$FB,119)</f>
        <v>0.55000000000000004</v>
      </c>
      <c r="Q119" s="75">
        <f>VLOOKUP($A119,'Data Vlaue (Cr)'!$C:$FB,122)*100</f>
        <v>0</v>
      </c>
      <c r="R119" s="75">
        <f>VLOOKUP($A119,'Data Vlaue (Cr)'!$C:$FB,125)</f>
        <v>0.3</v>
      </c>
      <c r="S119" s="75">
        <f>VLOOKUP($A119,'Data Vlaue (Cr)'!$C:$FB,128)*100</f>
        <v>-45.45</v>
      </c>
    </row>
    <row r="120" spans="1:19" x14ac:dyDescent="0.25">
      <c r="A120" s="96" t="str">
        <f>'Data Vlaue (Cr)'!C111</f>
        <v>KAYNES</v>
      </c>
      <c r="B120" s="75">
        <f>VLOOKUP($A120,'Data Vlaue (Cr)'!$C:$FB,2)</f>
        <v>100</v>
      </c>
      <c r="C120" s="75">
        <f>VLOOKUP($A120,'Data Vlaue (Cr)'!$C:$FB,8)</f>
        <v>4046.5</v>
      </c>
      <c r="D120" s="75">
        <f>VLOOKUP($A120,'Data Vlaue (Cr)'!$C:$FB,4)</f>
        <v>4048</v>
      </c>
      <c r="E120" s="75">
        <f>VLOOKUP($A120,'Data Vlaue (Cr)'!$C:$FB,5)</f>
        <v>4098.5</v>
      </c>
      <c r="F120" s="75">
        <f t="shared" si="6"/>
        <v>1.5</v>
      </c>
      <c r="G120" s="75">
        <f t="shared" si="7"/>
        <v>-1.2475296442687749</v>
      </c>
      <c r="H120" s="75">
        <f>VLOOKUP($A120,'Data Vlaue (Cr)'!$C:$FB,99)</f>
        <v>6128</v>
      </c>
      <c r="I120" s="75">
        <f>VLOOKUP($A120,'Data Vlaue (Cr)'!$C:$FB,100)</f>
        <v>6276</v>
      </c>
      <c r="J120" s="75">
        <f t="shared" si="8"/>
        <v>-148</v>
      </c>
      <c r="K120" s="75">
        <f t="shared" si="9"/>
        <v>-2.415143603133159</v>
      </c>
      <c r="L120" s="75">
        <f>VLOOKUP($A120,'Data Vlaue (Cr)'!$C:$FB,67)</f>
        <v>7075</v>
      </c>
      <c r="M120" s="75">
        <f>VLOOKUP($A120,'Data Vlaue (Cr)'!$C:$FB,68)</f>
        <v>6738</v>
      </c>
      <c r="N120" s="75">
        <f t="shared" si="10"/>
        <v>337</v>
      </c>
      <c r="O120" s="75">
        <f t="shared" si="11"/>
        <v>4.7632508833922262</v>
      </c>
      <c r="P120" s="75">
        <f>VLOOKUP($A120,'Data Vlaue (Cr)'!$C:$FB,119)</f>
        <v>0.39</v>
      </c>
      <c r="Q120" s="75">
        <f>VLOOKUP($A120,'Data Vlaue (Cr)'!$C:$FB,122)*100</f>
        <v>-2.5</v>
      </c>
      <c r="R120" s="75">
        <f>VLOOKUP($A120,'Data Vlaue (Cr)'!$C:$FB,125)</f>
        <v>0.51</v>
      </c>
      <c r="S120" s="75">
        <f>VLOOKUP($A120,'Data Vlaue (Cr)'!$C:$FB,128)*100</f>
        <v>2</v>
      </c>
    </row>
    <row r="121" spans="1:19" x14ac:dyDescent="0.25">
      <c r="A121" s="96" t="str">
        <f>'Data Vlaue (Cr)'!C112</f>
        <v>KEI</v>
      </c>
      <c r="B121" s="75">
        <f>VLOOKUP($A121,'Data Vlaue (Cr)'!$C:$FB,2)</f>
        <v>175</v>
      </c>
      <c r="C121" s="75">
        <f>VLOOKUP($A121,'Data Vlaue (Cr)'!$C:$FB,8)</f>
        <v>4086.8</v>
      </c>
      <c r="D121" s="75">
        <f>VLOOKUP($A121,'Data Vlaue (Cr)'!$C:$FB,4)</f>
        <v>4103.5</v>
      </c>
      <c r="E121" s="75">
        <f>VLOOKUP($A121,'Data Vlaue (Cr)'!$C:$FB,5)</f>
        <v>4119.8999999999996</v>
      </c>
      <c r="F121" s="75">
        <f t="shared" si="6"/>
        <v>16.699999999999818</v>
      </c>
      <c r="G121" s="75">
        <f t="shared" si="7"/>
        <v>-0.39965882782989243</v>
      </c>
      <c r="H121" s="75">
        <f>VLOOKUP($A121,'Data Vlaue (Cr)'!$C:$FB,99)</f>
        <v>947</v>
      </c>
      <c r="I121" s="75">
        <f>VLOOKUP($A121,'Data Vlaue (Cr)'!$C:$FB,100)</f>
        <v>944</v>
      </c>
      <c r="J121" s="75">
        <f t="shared" si="8"/>
        <v>3</v>
      </c>
      <c r="K121" s="75">
        <f t="shared" si="9"/>
        <v>0.31678986272439286</v>
      </c>
      <c r="L121" s="75">
        <f>VLOOKUP($A121,'Data Vlaue (Cr)'!$C:$FB,67)</f>
        <v>555</v>
      </c>
      <c r="M121" s="75">
        <f>VLOOKUP($A121,'Data Vlaue (Cr)'!$C:$FB,68)</f>
        <v>922</v>
      </c>
      <c r="N121" s="75">
        <f t="shared" si="10"/>
        <v>-367</v>
      </c>
      <c r="O121" s="75">
        <f t="shared" si="11"/>
        <v>-66.126126126126124</v>
      </c>
      <c r="P121" s="75">
        <f>VLOOKUP($A121,'Data Vlaue (Cr)'!$C:$FB,119)</f>
        <v>0.7</v>
      </c>
      <c r="Q121" s="75">
        <f>VLOOKUP($A121,'Data Vlaue (Cr)'!$C:$FB,122)*100</f>
        <v>4.4799999999999995</v>
      </c>
      <c r="R121" s="75">
        <f>VLOOKUP($A121,'Data Vlaue (Cr)'!$C:$FB,125)</f>
        <v>0.9</v>
      </c>
      <c r="S121" s="75">
        <f>VLOOKUP($A121,'Data Vlaue (Cr)'!$C:$FB,128)*100</f>
        <v>-46.11</v>
      </c>
    </row>
    <row r="122" spans="1:19" x14ac:dyDescent="0.25">
      <c r="A122" s="96" t="str">
        <f>'Data Vlaue (Cr)'!C113</f>
        <v>KFINTECH</v>
      </c>
      <c r="B122" s="75">
        <f>VLOOKUP($A122,'Data Vlaue (Cr)'!$C:$FB,2)</f>
        <v>450</v>
      </c>
      <c r="C122" s="75">
        <f>VLOOKUP($A122,'Data Vlaue (Cr)'!$C:$FB,8)</f>
        <v>1069</v>
      </c>
      <c r="D122" s="75">
        <f>VLOOKUP($A122,'Data Vlaue (Cr)'!$C:$FB,4)</f>
        <v>1073.0999999999999</v>
      </c>
      <c r="E122" s="75">
        <f>VLOOKUP($A122,'Data Vlaue (Cr)'!$C:$FB,5)</f>
        <v>1031.4000000000001</v>
      </c>
      <c r="F122" s="75">
        <f t="shared" si="6"/>
        <v>4.0999999999999091</v>
      </c>
      <c r="G122" s="75">
        <f t="shared" si="7"/>
        <v>3.885937936818546</v>
      </c>
      <c r="H122" s="75">
        <f>VLOOKUP($A122,'Data Vlaue (Cr)'!$C:$FB,99)</f>
        <v>854</v>
      </c>
      <c r="I122" s="75">
        <f>VLOOKUP($A122,'Data Vlaue (Cr)'!$C:$FB,100)</f>
        <v>922</v>
      </c>
      <c r="J122" s="75">
        <f t="shared" si="8"/>
        <v>-68</v>
      </c>
      <c r="K122" s="75">
        <f t="shared" si="9"/>
        <v>-7.9625292740046847</v>
      </c>
      <c r="L122" s="75">
        <f>VLOOKUP($A122,'Data Vlaue (Cr)'!$C:$FB,67)</f>
        <v>1023</v>
      </c>
      <c r="M122" s="75">
        <f>VLOOKUP($A122,'Data Vlaue (Cr)'!$C:$FB,68)</f>
        <v>260</v>
      </c>
      <c r="N122" s="75">
        <f t="shared" si="10"/>
        <v>763</v>
      </c>
      <c r="O122" s="75">
        <f t="shared" si="11"/>
        <v>74.584555229716514</v>
      </c>
      <c r="P122" s="75">
        <f>VLOOKUP($A122,'Data Vlaue (Cr)'!$C:$FB,119)</f>
        <v>0.77</v>
      </c>
      <c r="Q122" s="75">
        <f>VLOOKUP($A122,'Data Vlaue (Cr)'!$C:$FB,122)*100</f>
        <v>20.309999999999999</v>
      </c>
      <c r="R122" s="75">
        <f>VLOOKUP($A122,'Data Vlaue (Cr)'!$C:$FB,125)</f>
        <v>0.37</v>
      </c>
      <c r="S122" s="75">
        <f>VLOOKUP($A122,'Data Vlaue (Cr)'!$C:$FB,128)*100</f>
        <v>-21.279999999999998</v>
      </c>
    </row>
    <row r="123" spans="1:19" x14ac:dyDescent="0.25">
      <c r="A123" s="96" t="str">
        <f>'Data Vlaue (Cr)'!C114</f>
        <v>KOTAKBANK</v>
      </c>
      <c r="B123" s="75">
        <f>VLOOKUP($A123,'Data Vlaue (Cr)'!$C:$FB,2)</f>
        <v>400</v>
      </c>
      <c r="C123" s="75">
        <f>VLOOKUP($A123,'Data Vlaue (Cr)'!$C:$FB,8)</f>
        <v>2164.6</v>
      </c>
      <c r="D123" s="75">
        <f>VLOOKUP($A123,'Data Vlaue (Cr)'!$C:$FB,4)</f>
        <v>2170.6</v>
      </c>
      <c r="E123" s="75">
        <f>VLOOKUP($A123,'Data Vlaue (Cr)'!$C:$FB,5)</f>
        <v>2176.6</v>
      </c>
      <c r="F123" s="75">
        <f t="shared" si="6"/>
        <v>6</v>
      </c>
      <c r="G123" s="75">
        <f t="shared" si="7"/>
        <v>-0.27642126600939831</v>
      </c>
      <c r="H123" s="75">
        <f>VLOOKUP($A123,'Data Vlaue (Cr)'!$C:$FB,99)</f>
        <v>12426</v>
      </c>
      <c r="I123" s="75">
        <f>VLOOKUP($A123,'Data Vlaue (Cr)'!$C:$FB,100)</f>
        <v>12378</v>
      </c>
      <c r="J123" s="75">
        <f t="shared" si="8"/>
        <v>48</v>
      </c>
      <c r="K123" s="75">
        <f t="shared" si="9"/>
        <v>0.38628681796233699</v>
      </c>
      <c r="L123" s="75">
        <f>VLOOKUP($A123,'Data Vlaue (Cr)'!$C:$FB,67)</f>
        <v>3765</v>
      </c>
      <c r="M123" s="75">
        <f>VLOOKUP($A123,'Data Vlaue (Cr)'!$C:$FB,68)</f>
        <v>3613</v>
      </c>
      <c r="N123" s="75">
        <f t="shared" si="10"/>
        <v>152</v>
      </c>
      <c r="O123" s="75">
        <f t="shared" si="11"/>
        <v>4.0371845949535192</v>
      </c>
      <c r="P123" s="75">
        <f>VLOOKUP($A123,'Data Vlaue (Cr)'!$C:$FB,119)</f>
        <v>0.84</v>
      </c>
      <c r="Q123" s="75">
        <f>VLOOKUP($A123,'Data Vlaue (Cr)'!$C:$FB,122)*100</f>
        <v>-1.18</v>
      </c>
      <c r="R123" s="75">
        <f>VLOOKUP($A123,'Data Vlaue (Cr)'!$C:$FB,125)</f>
        <v>0.5</v>
      </c>
      <c r="S123" s="75">
        <f>VLOOKUP($A123,'Data Vlaue (Cr)'!$C:$FB,128)*100</f>
        <v>-24.240000000000002</v>
      </c>
    </row>
    <row r="124" spans="1:19" x14ac:dyDescent="0.25">
      <c r="A124" s="96" t="str">
        <f>'Data Vlaue (Cr)'!C115</f>
        <v>KPITTECH</v>
      </c>
      <c r="B124" s="75">
        <f>VLOOKUP($A124,'Data Vlaue (Cr)'!$C:$FB,2)</f>
        <v>400</v>
      </c>
      <c r="C124" s="75">
        <f>VLOOKUP($A124,'Data Vlaue (Cr)'!$C:$FB,8)</f>
        <v>1160.8</v>
      </c>
      <c r="D124" s="75">
        <f>VLOOKUP($A124,'Data Vlaue (Cr)'!$C:$FB,4)</f>
        <v>1164.5999999999999</v>
      </c>
      <c r="E124" s="75">
        <f>VLOOKUP($A124,'Data Vlaue (Cr)'!$C:$FB,5)</f>
        <v>1173.4000000000001</v>
      </c>
      <c r="F124" s="75">
        <f t="shared" si="6"/>
        <v>3.7999999999999545</v>
      </c>
      <c r="G124" s="75">
        <f t="shared" si="7"/>
        <v>-0.75562424866908662</v>
      </c>
      <c r="H124" s="75">
        <f>VLOOKUP($A124,'Data Vlaue (Cr)'!$C:$FB,99)</f>
        <v>957</v>
      </c>
      <c r="I124" s="75">
        <f>VLOOKUP($A124,'Data Vlaue (Cr)'!$C:$FB,100)</f>
        <v>943</v>
      </c>
      <c r="J124" s="75">
        <f t="shared" si="8"/>
        <v>14</v>
      </c>
      <c r="K124" s="75">
        <f t="shared" si="9"/>
        <v>1.4629049111807733</v>
      </c>
      <c r="L124" s="75">
        <f>VLOOKUP($A124,'Data Vlaue (Cr)'!$C:$FB,67)</f>
        <v>455</v>
      </c>
      <c r="M124" s="75">
        <f>VLOOKUP($A124,'Data Vlaue (Cr)'!$C:$FB,68)</f>
        <v>346</v>
      </c>
      <c r="N124" s="75">
        <f t="shared" si="10"/>
        <v>109</v>
      </c>
      <c r="O124" s="75">
        <f t="shared" si="11"/>
        <v>23.956043956043956</v>
      </c>
      <c r="P124" s="75">
        <f>VLOOKUP($A124,'Data Vlaue (Cr)'!$C:$FB,119)</f>
        <v>0.56999999999999995</v>
      </c>
      <c r="Q124" s="75">
        <f>VLOOKUP($A124,'Data Vlaue (Cr)'!$C:$FB,122)*100</f>
        <v>-3.39</v>
      </c>
      <c r="R124" s="75">
        <f>VLOOKUP($A124,'Data Vlaue (Cr)'!$C:$FB,125)</f>
        <v>0.33</v>
      </c>
      <c r="S124" s="75">
        <f>VLOOKUP($A124,'Data Vlaue (Cr)'!$C:$FB,128)*100</f>
        <v>-50</v>
      </c>
    </row>
    <row r="125" spans="1:19" x14ac:dyDescent="0.25">
      <c r="A125" s="96" t="str">
        <f>'Data Vlaue (Cr)'!C116</f>
        <v>LAURUSLABS</v>
      </c>
      <c r="B125" s="75">
        <f>VLOOKUP($A125,'Data Vlaue (Cr)'!$C:$FB,2)</f>
        <v>850</v>
      </c>
      <c r="C125" s="75">
        <f>VLOOKUP($A125,'Data Vlaue (Cr)'!$C:$FB,8)</f>
        <v>1015.5</v>
      </c>
      <c r="D125" s="75">
        <f>VLOOKUP($A125,'Data Vlaue (Cr)'!$C:$FB,4)</f>
        <v>1018.9</v>
      </c>
      <c r="E125" s="75">
        <f>VLOOKUP($A125,'Data Vlaue (Cr)'!$C:$FB,5)</f>
        <v>1010.6</v>
      </c>
      <c r="F125" s="75">
        <f t="shared" si="6"/>
        <v>3.3999999999999773</v>
      </c>
      <c r="G125" s="75">
        <f t="shared" si="7"/>
        <v>0.81460398468936634</v>
      </c>
      <c r="H125" s="75">
        <f>VLOOKUP($A125,'Data Vlaue (Cr)'!$C:$FB,99)</f>
        <v>3023</v>
      </c>
      <c r="I125" s="75">
        <f>VLOOKUP($A125,'Data Vlaue (Cr)'!$C:$FB,100)</f>
        <v>3057</v>
      </c>
      <c r="J125" s="75">
        <f t="shared" si="8"/>
        <v>-34</v>
      </c>
      <c r="K125" s="75">
        <f t="shared" si="9"/>
        <v>-1.1247105524313596</v>
      </c>
      <c r="L125" s="75">
        <f>VLOOKUP($A125,'Data Vlaue (Cr)'!$C:$FB,67)</f>
        <v>1608</v>
      </c>
      <c r="M125" s="75">
        <f>VLOOKUP($A125,'Data Vlaue (Cr)'!$C:$FB,68)</f>
        <v>1389</v>
      </c>
      <c r="N125" s="75">
        <f t="shared" si="10"/>
        <v>219</v>
      </c>
      <c r="O125" s="75">
        <f t="shared" si="11"/>
        <v>13.619402985074627</v>
      </c>
      <c r="P125" s="75">
        <f>VLOOKUP($A125,'Data Vlaue (Cr)'!$C:$FB,119)</f>
        <v>0.56999999999999995</v>
      </c>
      <c r="Q125" s="75">
        <f>VLOOKUP($A125,'Data Vlaue (Cr)'!$C:$FB,122)*100</f>
        <v>3.64</v>
      </c>
      <c r="R125" s="75">
        <f>VLOOKUP($A125,'Data Vlaue (Cr)'!$C:$FB,125)</f>
        <v>0.47</v>
      </c>
      <c r="S125" s="75">
        <f>VLOOKUP($A125,'Data Vlaue (Cr)'!$C:$FB,128)*100</f>
        <v>23.68</v>
      </c>
    </row>
    <row r="126" spans="1:19" x14ac:dyDescent="0.25">
      <c r="A126" s="96" t="str">
        <f>'Data Vlaue (Cr)'!C117</f>
        <v>LICHSGFIN</v>
      </c>
      <c r="B126" s="75">
        <f>VLOOKUP($A126,'Data Vlaue (Cr)'!$C:$FB,2)</f>
        <v>1000</v>
      </c>
      <c r="C126" s="75">
        <f>VLOOKUP($A126,'Data Vlaue (Cr)'!$C:$FB,8)</f>
        <v>528.1</v>
      </c>
      <c r="D126" s="75">
        <f>VLOOKUP($A126,'Data Vlaue (Cr)'!$C:$FB,4)</f>
        <v>528.35</v>
      </c>
      <c r="E126" s="75">
        <f>VLOOKUP($A126,'Data Vlaue (Cr)'!$C:$FB,5)</f>
        <v>524.75</v>
      </c>
      <c r="F126" s="75">
        <f t="shared" si="6"/>
        <v>0.25</v>
      </c>
      <c r="G126" s="75">
        <f t="shared" si="7"/>
        <v>0.68136651840636364</v>
      </c>
      <c r="H126" s="75">
        <f>VLOOKUP($A126,'Data Vlaue (Cr)'!$C:$FB,99)</f>
        <v>2897</v>
      </c>
      <c r="I126" s="75">
        <f>VLOOKUP($A126,'Data Vlaue (Cr)'!$C:$FB,100)</f>
        <v>2880</v>
      </c>
      <c r="J126" s="75">
        <f t="shared" si="8"/>
        <v>17</v>
      </c>
      <c r="K126" s="75">
        <f t="shared" si="9"/>
        <v>0.58681394546082155</v>
      </c>
      <c r="L126" s="75">
        <f>VLOOKUP($A126,'Data Vlaue (Cr)'!$C:$FB,67)</f>
        <v>589</v>
      </c>
      <c r="M126" s="75">
        <f>VLOOKUP($A126,'Data Vlaue (Cr)'!$C:$FB,68)</f>
        <v>484</v>
      </c>
      <c r="N126" s="75">
        <f t="shared" si="10"/>
        <v>105</v>
      </c>
      <c r="O126" s="75">
        <f t="shared" si="11"/>
        <v>17.826825127334462</v>
      </c>
      <c r="P126" s="75">
        <f>VLOOKUP($A126,'Data Vlaue (Cr)'!$C:$FB,119)</f>
        <v>0.77</v>
      </c>
      <c r="Q126" s="75">
        <f>VLOOKUP($A126,'Data Vlaue (Cr)'!$C:$FB,122)*100</f>
        <v>2.67</v>
      </c>
      <c r="R126" s="75">
        <f>VLOOKUP($A126,'Data Vlaue (Cr)'!$C:$FB,125)</f>
        <v>0.34</v>
      </c>
      <c r="S126" s="75">
        <f>VLOOKUP($A126,'Data Vlaue (Cr)'!$C:$FB,128)*100</f>
        <v>6.25</v>
      </c>
    </row>
    <row r="127" spans="1:19" x14ac:dyDescent="0.25">
      <c r="A127" s="96" t="str">
        <f>'Data Vlaue (Cr)'!C118</f>
        <v>LICI</v>
      </c>
      <c r="B127" s="75">
        <f>VLOOKUP($A127,'Data Vlaue (Cr)'!$C:$FB,2)</f>
        <v>700</v>
      </c>
      <c r="C127" s="75">
        <f>VLOOKUP($A127,'Data Vlaue (Cr)'!$C:$FB,8)</f>
        <v>847.4</v>
      </c>
      <c r="D127" s="75">
        <f>VLOOKUP($A127,'Data Vlaue (Cr)'!$C:$FB,4)</f>
        <v>848.05</v>
      </c>
      <c r="E127" s="75">
        <f>VLOOKUP($A127,'Data Vlaue (Cr)'!$C:$FB,5)</f>
        <v>847.1</v>
      </c>
      <c r="F127" s="75">
        <f t="shared" si="6"/>
        <v>0.64999999999997726</v>
      </c>
      <c r="G127" s="75">
        <f t="shared" si="7"/>
        <v>0.11202169683390505</v>
      </c>
      <c r="H127" s="75">
        <f>VLOOKUP($A127,'Data Vlaue (Cr)'!$C:$FB,99)</f>
        <v>2233</v>
      </c>
      <c r="I127" s="75">
        <f>VLOOKUP($A127,'Data Vlaue (Cr)'!$C:$FB,100)</f>
        <v>2171</v>
      </c>
      <c r="J127" s="75">
        <f t="shared" si="8"/>
        <v>62</v>
      </c>
      <c r="K127" s="75">
        <f t="shared" si="9"/>
        <v>2.7765338110165696</v>
      </c>
      <c r="L127" s="75">
        <f>VLOOKUP($A127,'Data Vlaue (Cr)'!$C:$FB,67)</f>
        <v>1534</v>
      </c>
      <c r="M127" s="75">
        <f>VLOOKUP($A127,'Data Vlaue (Cr)'!$C:$FB,68)</f>
        <v>759</v>
      </c>
      <c r="N127" s="75">
        <f t="shared" si="10"/>
        <v>775</v>
      </c>
      <c r="O127" s="75">
        <f t="shared" si="11"/>
        <v>50.521512385919166</v>
      </c>
      <c r="P127" s="75">
        <f>VLOOKUP($A127,'Data Vlaue (Cr)'!$C:$FB,119)</f>
        <v>0.49</v>
      </c>
      <c r="Q127" s="75">
        <f>VLOOKUP($A127,'Data Vlaue (Cr)'!$C:$FB,122)*100</f>
        <v>2.08</v>
      </c>
      <c r="R127" s="75">
        <f>VLOOKUP($A127,'Data Vlaue (Cr)'!$C:$FB,125)</f>
        <v>0.56000000000000005</v>
      </c>
      <c r="S127" s="75">
        <f>VLOOKUP($A127,'Data Vlaue (Cr)'!$C:$FB,128)*100</f>
        <v>19.149999999999999</v>
      </c>
    </row>
    <row r="128" spans="1:19" x14ac:dyDescent="0.25">
      <c r="A128" s="96" t="str">
        <f>'Data Vlaue (Cr)'!C119</f>
        <v>LODHA</v>
      </c>
      <c r="B128" s="75">
        <f>VLOOKUP($A128,'Data Vlaue (Cr)'!$C:$FB,2)</f>
        <v>450</v>
      </c>
      <c r="C128" s="75">
        <f>VLOOKUP($A128,'Data Vlaue (Cr)'!$C:$FB,8)</f>
        <v>1069.0999999999999</v>
      </c>
      <c r="D128" s="75">
        <f>VLOOKUP($A128,'Data Vlaue (Cr)'!$C:$FB,4)</f>
        <v>1071.3</v>
      </c>
      <c r="E128" s="75">
        <f>VLOOKUP($A128,'Data Vlaue (Cr)'!$C:$FB,5)</f>
        <v>1064.7</v>
      </c>
      <c r="F128" s="75">
        <f t="shared" si="6"/>
        <v>2.2000000000000455</v>
      </c>
      <c r="G128" s="75">
        <f t="shared" si="7"/>
        <v>0.61607392887145607</v>
      </c>
      <c r="H128" s="75">
        <f>VLOOKUP($A128,'Data Vlaue (Cr)'!$C:$FB,99)</f>
        <v>2213</v>
      </c>
      <c r="I128" s="75">
        <f>VLOOKUP($A128,'Data Vlaue (Cr)'!$C:$FB,100)</f>
        <v>2274</v>
      </c>
      <c r="J128" s="75">
        <f t="shared" si="8"/>
        <v>-61</v>
      </c>
      <c r="K128" s="75">
        <f t="shared" si="9"/>
        <v>-2.7564392227745143</v>
      </c>
      <c r="L128" s="75">
        <f>VLOOKUP($A128,'Data Vlaue (Cr)'!$C:$FB,67)</f>
        <v>783</v>
      </c>
      <c r="M128" s="75">
        <f>VLOOKUP($A128,'Data Vlaue (Cr)'!$C:$FB,68)</f>
        <v>1207</v>
      </c>
      <c r="N128" s="75">
        <f t="shared" si="10"/>
        <v>-424</v>
      </c>
      <c r="O128" s="75">
        <f t="shared" si="11"/>
        <v>-54.1507024265645</v>
      </c>
      <c r="P128" s="75">
        <f>VLOOKUP($A128,'Data Vlaue (Cr)'!$C:$FB,119)</f>
        <v>0.47</v>
      </c>
      <c r="Q128" s="75">
        <f>VLOOKUP($A128,'Data Vlaue (Cr)'!$C:$FB,122)*100</f>
        <v>17.5</v>
      </c>
      <c r="R128" s="75">
        <f>VLOOKUP($A128,'Data Vlaue (Cr)'!$C:$FB,125)</f>
        <v>0.35</v>
      </c>
      <c r="S128" s="75">
        <f>VLOOKUP($A128,'Data Vlaue (Cr)'!$C:$FB,128)*100</f>
        <v>6.0600000000000005</v>
      </c>
    </row>
    <row r="129" spans="1:19" x14ac:dyDescent="0.25">
      <c r="A129" s="96" t="str">
        <f>'Data Vlaue (Cr)'!C120</f>
        <v>LT</v>
      </c>
      <c r="B129" s="75">
        <f>VLOOKUP($A129,'Data Vlaue (Cr)'!$C:$FB,2)</f>
        <v>175</v>
      </c>
      <c r="C129" s="75">
        <f>VLOOKUP($A129,'Data Vlaue (Cr)'!$C:$FB,8)</f>
        <v>4031.1</v>
      </c>
      <c r="D129" s="75">
        <f>VLOOKUP($A129,'Data Vlaue (Cr)'!$C:$FB,4)</f>
        <v>4040.2</v>
      </c>
      <c r="E129" s="75">
        <f>VLOOKUP($A129,'Data Vlaue (Cr)'!$C:$FB,5)</f>
        <v>4068.7</v>
      </c>
      <c r="F129" s="75">
        <f t="shared" si="6"/>
        <v>9.0999999999999091</v>
      </c>
      <c r="G129" s="75">
        <f t="shared" si="7"/>
        <v>-0.70541062323647341</v>
      </c>
      <c r="H129" s="75">
        <f>VLOOKUP($A129,'Data Vlaue (Cr)'!$C:$FB,99)</f>
        <v>9183</v>
      </c>
      <c r="I129" s="75">
        <f>VLOOKUP($A129,'Data Vlaue (Cr)'!$C:$FB,100)</f>
        <v>9130</v>
      </c>
      <c r="J129" s="75">
        <f t="shared" si="8"/>
        <v>53</v>
      </c>
      <c r="K129" s="75">
        <f t="shared" si="9"/>
        <v>0.57715343569639554</v>
      </c>
      <c r="L129" s="75">
        <f>VLOOKUP($A129,'Data Vlaue (Cr)'!$C:$FB,67)</f>
        <v>3690</v>
      </c>
      <c r="M129" s="75">
        <f>VLOOKUP($A129,'Data Vlaue (Cr)'!$C:$FB,68)</f>
        <v>2747</v>
      </c>
      <c r="N129" s="75">
        <f t="shared" si="10"/>
        <v>943</v>
      </c>
      <c r="O129" s="75">
        <f t="shared" si="11"/>
        <v>25.555555555555554</v>
      </c>
      <c r="P129" s="75">
        <f>VLOOKUP($A129,'Data Vlaue (Cr)'!$C:$FB,119)</f>
        <v>0.56000000000000005</v>
      </c>
      <c r="Q129" s="75">
        <f>VLOOKUP($A129,'Data Vlaue (Cr)'!$C:$FB,122)*100</f>
        <v>-1.7500000000000002</v>
      </c>
      <c r="R129" s="75">
        <f>VLOOKUP($A129,'Data Vlaue (Cr)'!$C:$FB,125)</f>
        <v>0.56000000000000005</v>
      </c>
      <c r="S129" s="75">
        <f>VLOOKUP($A129,'Data Vlaue (Cr)'!$C:$FB,128)*100</f>
        <v>-17.649999999999999</v>
      </c>
    </row>
    <row r="130" spans="1:19" x14ac:dyDescent="0.25">
      <c r="A130" s="96" t="str">
        <f>'Data Vlaue (Cr)'!C121</f>
        <v>LTF</v>
      </c>
      <c r="B130" s="75">
        <f>VLOOKUP($A130,'Data Vlaue (Cr)'!$C:$FB,2)</f>
        <v>4462</v>
      </c>
      <c r="C130" s="75">
        <f>VLOOKUP($A130,'Data Vlaue (Cr)'!$C:$FB,8)</f>
        <v>299.85000000000002</v>
      </c>
      <c r="D130" s="75">
        <f>VLOOKUP($A130,'Data Vlaue (Cr)'!$C:$FB,4)</f>
        <v>300.8</v>
      </c>
      <c r="E130" s="75">
        <f>VLOOKUP($A130,'Data Vlaue (Cr)'!$C:$FB,5)</f>
        <v>303.05</v>
      </c>
      <c r="F130" s="75">
        <f t="shared" si="6"/>
        <v>0.94999999999998863</v>
      </c>
      <c r="G130" s="75">
        <f t="shared" si="7"/>
        <v>-0.74800531914893609</v>
      </c>
      <c r="H130" s="75">
        <f>VLOOKUP($A130,'Data Vlaue (Cr)'!$C:$FB,99)</f>
        <v>3091</v>
      </c>
      <c r="I130" s="75">
        <f>VLOOKUP($A130,'Data Vlaue (Cr)'!$C:$FB,100)</f>
        <v>3072</v>
      </c>
      <c r="J130" s="75">
        <f t="shared" si="8"/>
        <v>19</v>
      </c>
      <c r="K130" s="75">
        <f t="shared" si="9"/>
        <v>0.61468780329990291</v>
      </c>
      <c r="L130" s="75">
        <f>VLOOKUP($A130,'Data Vlaue (Cr)'!$C:$FB,67)</f>
        <v>2265</v>
      </c>
      <c r="M130" s="75">
        <f>VLOOKUP($A130,'Data Vlaue (Cr)'!$C:$FB,68)</f>
        <v>1959</v>
      </c>
      <c r="N130" s="75">
        <f t="shared" si="10"/>
        <v>306</v>
      </c>
      <c r="O130" s="75">
        <f t="shared" si="11"/>
        <v>13.509933774834437</v>
      </c>
      <c r="P130" s="75">
        <f>VLOOKUP($A130,'Data Vlaue (Cr)'!$C:$FB,119)</f>
        <v>0.64</v>
      </c>
      <c r="Q130" s="75">
        <f>VLOOKUP($A130,'Data Vlaue (Cr)'!$C:$FB,122)*100</f>
        <v>0</v>
      </c>
      <c r="R130" s="75">
        <f>VLOOKUP($A130,'Data Vlaue (Cr)'!$C:$FB,125)</f>
        <v>0.61</v>
      </c>
      <c r="S130" s="75">
        <f>VLOOKUP($A130,'Data Vlaue (Cr)'!$C:$FB,128)*100</f>
        <v>29.79</v>
      </c>
    </row>
    <row r="131" spans="1:19" x14ac:dyDescent="0.25">
      <c r="A131" s="96" t="str">
        <f>'Data Vlaue (Cr)'!C122</f>
        <v>LTIM</v>
      </c>
      <c r="B131" s="75">
        <f>VLOOKUP($A131,'Data Vlaue (Cr)'!$C:$FB,2)</f>
        <v>150</v>
      </c>
      <c r="C131" s="75">
        <f>VLOOKUP($A131,'Data Vlaue (Cr)'!$C:$FB,8)</f>
        <v>6245</v>
      </c>
      <c r="D131" s="75">
        <f>VLOOKUP($A131,'Data Vlaue (Cr)'!$C:$FB,4)</f>
        <v>6271.5</v>
      </c>
      <c r="E131" s="75">
        <f>VLOOKUP($A131,'Data Vlaue (Cr)'!$C:$FB,5)</f>
        <v>6270.5</v>
      </c>
      <c r="F131" s="75">
        <f t="shared" si="6"/>
        <v>26.5</v>
      </c>
      <c r="G131" s="75">
        <f t="shared" si="7"/>
        <v>1.5945148688511518E-2</v>
      </c>
      <c r="H131" s="75">
        <f>VLOOKUP($A131,'Data Vlaue (Cr)'!$C:$FB,99)</f>
        <v>2607</v>
      </c>
      <c r="I131" s="75">
        <f>VLOOKUP($A131,'Data Vlaue (Cr)'!$C:$FB,100)</f>
        <v>2483</v>
      </c>
      <c r="J131" s="75">
        <f t="shared" si="8"/>
        <v>124</v>
      </c>
      <c r="K131" s="75">
        <f t="shared" si="9"/>
        <v>4.7564250095895666</v>
      </c>
      <c r="L131" s="75">
        <f>VLOOKUP($A131,'Data Vlaue (Cr)'!$C:$FB,67)</f>
        <v>2058</v>
      </c>
      <c r="M131" s="75">
        <f>VLOOKUP($A131,'Data Vlaue (Cr)'!$C:$FB,68)</f>
        <v>1637</v>
      </c>
      <c r="N131" s="75">
        <f t="shared" si="10"/>
        <v>421</v>
      </c>
      <c r="O131" s="75">
        <f t="shared" si="11"/>
        <v>20.456754130223516</v>
      </c>
      <c r="P131" s="75">
        <f>VLOOKUP($A131,'Data Vlaue (Cr)'!$C:$FB,119)</f>
        <v>0.77</v>
      </c>
      <c r="Q131" s="75">
        <f>VLOOKUP($A131,'Data Vlaue (Cr)'!$C:$FB,122)*100</f>
        <v>-2.5299999999999998</v>
      </c>
      <c r="R131" s="75">
        <f>VLOOKUP($A131,'Data Vlaue (Cr)'!$C:$FB,125)</f>
        <v>0.28000000000000003</v>
      </c>
      <c r="S131" s="75">
        <f>VLOOKUP($A131,'Data Vlaue (Cr)'!$C:$FB,128)*100</f>
        <v>-9.68</v>
      </c>
    </row>
    <row r="132" spans="1:19" x14ac:dyDescent="0.25">
      <c r="A132" s="96" t="str">
        <f>'Data Vlaue (Cr)'!C123</f>
        <v>LUPIN</v>
      </c>
      <c r="B132" s="75">
        <f>VLOOKUP($A132,'Data Vlaue (Cr)'!$C:$FB,2)</f>
        <v>425</v>
      </c>
      <c r="C132" s="75">
        <f>VLOOKUP($A132,'Data Vlaue (Cr)'!$C:$FB,8)</f>
        <v>2119.1</v>
      </c>
      <c r="D132" s="75">
        <f>VLOOKUP($A132,'Data Vlaue (Cr)'!$C:$FB,4)</f>
        <v>2119.3000000000002</v>
      </c>
      <c r="E132" s="75">
        <f>VLOOKUP($A132,'Data Vlaue (Cr)'!$C:$FB,5)</f>
        <v>2114</v>
      </c>
      <c r="F132" s="75">
        <f t="shared" si="6"/>
        <v>0.20000000000027285</v>
      </c>
      <c r="G132" s="75">
        <f t="shared" si="7"/>
        <v>0.25008257443496346</v>
      </c>
      <c r="H132" s="75">
        <f>VLOOKUP($A132,'Data Vlaue (Cr)'!$C:$FB,99)</f>
        <v>2635</v>
      </c>
      <c r="I132" s="75">
        <f>VLOOKUP($A132,'Data Vlaue (Cr)'!$C:$FB,100)</f>
        <v>2654</v>
      </c>
      <c r="J132" s="75">
        <f t="shared" si="8"/>
        <v>-19</v>
      </c>
      <c r="K132" s="75">
        <f t="shared" si="9"/>
        <v>-0.72106261859582543</v>
      </c>
      <c r="L132" s="75">
        <f>VLOOKUP($A132,'Data Vlaue (Cr)'!$C:$FB,67)</f>
        <v>1421</v>
      </c>
      <c r="M132" s="75">
        <f>VLOOKUP($A132,'Data Vlaue (Cr)'!$C:$FB,68)</f>
        <v>1953</v>
      </c>
      <c r="N132" s="75">
        <f t="shared" si="10"/>
        <v>-532</v>
      </c>
      <c r="O132" s="75">
        <f t="shared" si="11"/>
        <v>-37.438423645320199</v>
      </c>
      <c r="P132" s="75">
        <f>VLOOKUP($A132,'Data Vlaue (Cr)'!$C:$FB,119)</f>
        <v>0.8</v>
      </c>
      <c r="Q132" s="75">
        <f>VLOOKUP($A132,'Data Vlaue (Cr)'!$C:$FB,122)*100</f>
        <v>5.26</v>
      </c>
      <c r="R132" s="75">
        <f>VLOOKUP($A132,'Data Vlaue (Cr)'!$C:$FB,125)</f>
        <v>0.41</v>
      </c>
      <c r="S132" s="75">
        <f>VLOOKUP($A132,'Data Vlaue (Cr)'!$C:$FB,128)*100</f>
        <v>36.67</v>
      </c>
    </row>
    <row r="133" spans="1:19" x14ac:dyDescent="0.25">
      <c r="A133" s="96" t="str">
        <f>'Data Vlaue (Cr)'!C124</f>
        <v>M&amp;M</v>
      </c>
      <c r="B133" s="75">
        <f>VLOOKUP($A133,'Data Vlaue (Cr)'!$C:$FB,2)</f>
        <v>200</v>
      </c>
      <c r="C133" s="75">
        <f>VLOOKUP($A133,'Data Vlaue (Cr)'!$C:$FB,8)</f>
        <v>3586.6</v>
      </c>
      <c r="D133" s="75">
        <f>VLOOKUP($A133,'Data Vlaue (Cr)'!$C:$FB,4)</f>
        <v>3593.1</v>
      </c>
      <c r="E133" s="75">
        <f>VLOOKUP($A133,'Data Vlaue (Cr)'!$C:$FB,5)</f>
        <v>3617.9</v>
      </c>
      <c r="F133" s="75">
        <f t="shared" si="6"/>
        <v>6.5</v>
      </c>
      <c r="G133" s="75">
        <f t="shared" si="7"/>
        <v>-0.69021179482898287</v>
      </c>
      <c r="H133" s="75">
        <f>VLOOKUP($A133,'Data Vlaue (Cr)'!$C:$FB,99)</f>
        <v>10465</v>
      </c>
      <c r="I133" s="75">
        <f>VLOOKUP($A133,'Data Vlaue (Cr)'!$C:$FB,100)</f>
        <v>10319</v>
      </c>
      <c r="J133" s="75">
        <f t="shared" si="8"/>
        <v>146</v>
      </c>
      <c r="K133" s="75">
        <f t="shared" si="9"/>
        <v>1.3951266125179169</v>
      </c>
      <c r="L133" s="75">
        <f>VLOOKUP($A133,'Data Vlaue (Cr)'!$C:$FB,67)</f>
        <v>6501</v>
      </c>
      <c r="M133" s="75">
        <f>VLOOKUP($A133,'Data Vlaue (Cr)'!$C:$FB,68)</f>
        <v>3066</v>
      </c>
      <c r="N133" s="75">
        <f t="shared" si="10"/>
        <v>3435</v>
      </c>
      <c r="O133" s="75">
        <f t="shared" si="11"/>
        <v>52.838024919243196</v>
      </c>
      <c r="P133" s="75">
        <f>VLOOKUP($A133,'Data Vlaue (Cr)'!$C:$FB,119)</f>
        <v>0.54</v>
      </c>
      <c r="Q133" s="75">
        <f>VLOOKUP($A133,'Data Vlaue (Cr)'!$C:$FB,122)*100</f>
        <v>0</v>
      </c>
      <c r="R133" s="75">
        <f>VLOOKUP($A133,'Data Vlaue (Cr)'!$C:$FB,125)</f>
        <v>0.7</v>
      </c>
      <c r="S133" s="75">
        <f>VLOOKUP($A133,'Data Vlaue (Cr)'!$C:$FB,128)*100</f>
        <v>37.25</v>
      </c>
    </row>
    <row r="134" spans="1:19" x14ac:dyDescent="0.25">
      <c r="A134" s="96" t="str">
        <f>'Data Vlaue (Cr)'!C125</f>
        <v>MANAPPURAM</v>
      </c>
      <c r="B134" s="75">
        <f>VLOOKUP($A134,'Data Vlaue (Cr)'!$C:$FB,2)</f>
        <v>3000</v>
      </c>
      <c r="C134" s="75">
        <f>VLOOKUP($A134,'Data Vlaue (Cr)'!$C:$FB,8)</f>
        <v>287.05</v>
      </c>
      <c r="D134" s="75">
        <f>VLOOKUP($A134,'Data Vlaue (Cr)'!$C:$FB,4)</f>
        <v>287.39999999999998</v>
      </c>
      <c r="E134" s="75">
        <f>VLOOKUP($A134,'Data Vlaue (Cr)'!$C:$FB,5)</f>
        <v>286.5</v>
      </c>
      <c r="F134" s="75">
        <f t="shared" si="6"/>
        <v>0.34999999999996589</v>
      </c>
      <c r="G134" s="75">
        <f t="shared" si="7"/>
        <v>0.31315240083506518</v>
      </c>
      <c r="H134" s="75">
        <f>VLOOKUP($A134,'Data Vlaue (Cr)'!$C:$FB,99)</f>
        <v>2036</v>
      </c>
      <c r="I134" s="75">
        <f>VLOOKUP($A134,'Data Vlaue (Cr)'!$C:$FB,100)</f>
        <v>1983</v>
      </c>
      <c r="J134" s="75">
        <f t="shared" si="8"/>
        <v>53</v>
      </c>
      <c r="K134" s="75">
        <f t="shared" si="9"/>
        <v>2.6031434184675835</v>
      </c>
      <c r="L134" s="75">
        <f>VLOOKUP($A134,'Data Vlaue (Cr)'!$C:$FB,67)</f>
        <v>1815</v>
      </c>
      <c r="M134" s="75">
        <f>VLOOKUP($A134,'Data Vlaue (Cr)'!$C:$FB,68)</f>
        <v>765</v>
      </c>
      <c r="N134" s="75">
        <f t="shared" si="10"/>
        <v>1050</v>
      </c>
      <c r="O134" s="75">
        <f t="shared" si="11"/>
        <v>57.851239669421481</v>
      </c>
      <c r="P134" s="75">
        <f>VLOOKUP($A134,'Data Vlaue (Cr)'!$C:$FB,119)</f>
        <v>0.59</v>
      </c>
      <c r="Q134" s="75">
        <f>VLOOKUP($A134,'Data Vlaue (Cr)'!$C:$FB,122)*100</f>
        <v>-10.61</v>
      </c>
      <c r="R134" s="75">
        <f>VLOOKUP($A134,'Data Vlaue (Cr)'!$C:$FB,125)</f>
        <v>0.35</v>
      </c>
      <c r="S134" s="75">
        <f>VLOOKUP($A134,'Data Vlaue (Cr)'!$C:$FB,128)*100</f>
        <v>-12.5</v>
      </c>
    </row>
    <row r="135" spans="1:19" x14ac:dyDescent="0.25">
      <c r="A135" s="96" t="str">
        <f>'Data Vlaue (Cr)'!C126</f>
        <v>MANKIND</v>
      </c>
      <c r="B135" s="75">
        <f>VLOOKUP($A135,'Data Vlaue (Cr)'!$C:$FB,2)</f>
        <v>225</v>
      </c>
      <c r="C135" s="75">
        <f>VLOOKUP($A135,'Data Vlaue (Cr)'!$C:$FB,8)</f>
        <v>2142</v>
      </c>
      <c r="D135" s="75">
        <f>VLOOKUP($A135,'Data Vlaue (Cr)'!$C:$FB,4)</f>
        <v>2147.6999999999998</v>
      </c>
      <c r="E135" s="75">
        <f>VLOOKUP($A135,'Data Vlaue (Cr)'!$C:$FB,5)</f>
        <v>2117.6</v>
      </c>
      <c r="F135" s="75">
        <f t="shared" si="6"/>
        <v>5.6999999999998181</v>
      </c>
      <c r="G135" s="75">
        <f t="shared" si="7"/>
        <v>1.4014992782977096</v>
      </c>
      <c r="H135" s="75">
        <f>VLOOKUP($A135,'Data Vlaue (Cr)'!$C:$FB,99)</f>
        <v>918</v>
      </c>
      <c r="I135" s="75">
        <f>VLOOKUP($A135,'Data Vlaue (Cr)'!$C:$FB,100)</f>
        <v>947</v>
      </c>
      <c r="J135" s="75">
        <f t="shared" si="8"/>
        <v>-29</v>
      </c>
      <c r="K135" s="75">
        <f t="shared" si="9"/>
        <v>-3.159041394335512</v>
      </c>
      <c r="L135" s="75">
        <f>VLOOKUP($A135,'Data Vlaue (Cr)'!$C:$FB,67)</f>
        <v>467</v>
      </c>
      <c r="M135" s="75">
        <f>VLOOKUP($A135,'Data Vlaue (Cr)'!$C:$FB,68)</f>
        <v>379</v>
      </c>
      <c r="N135" s="75">
        <f t="shared" si="10"/>
        <v>88</v>
      </c>
      <c r="O135" s="75">
        <f t="shared" si="11"/>
        <v>18.843683083511777</v>
      </c>
      <c r="P135" s="75">
        <f>VLOOKUP($A135,'Data Vlaue (Cr)'!$C:$FB,119)</f>
        <v>0.53</v>
      </c>
      <c r="Q135" s="75">
        <f>VLOOKUP($A135,'Data Vlaue (Cr)'!$C:$FB,122)*100</f>
        <v>10.42</v>
      </c>
      <c r="R135" s="75">
        <f>VLOOKUP($A135,'Data Vlaue (Cr)'!$C:$FB,125)</f>
        <v>0.34</v>
      </c>
      <c r="S135" s="75">
        <f>VLOOKUP($A135,'Data Vlaue (Cr)'!$C:$FB,128)*100</f>
        <v>-29.17</v>
      </c>
    </row>
    <row r="136" spans="1:19" x14ac:dyDescent="0.25">
      <c r="A136" s="96" t="str">
        <f>'Data Vlaue (Cr)'!C127</f>
        <v>MARICO</v>
      </c>
      <c r="B136" s="75">
        <f>VLOOKUP($A136,'Data Vlaue (Cr)'!$C:$FB,2)</f>
        <v>1200</v>
      </c>
      <c r="C136" s="75">
        <f>VLOOKUP($A136,'Data Vlaue (Cr)'!$C:$FB,8)</f>
        <v>742.45</v>
      </c>
      <c r="D136" s="75">
        <f>VLOOKUP($A136,'Data Vlaue (Cr)'!$C:$FB,4)</f>
        <v>742.95</v>
      </c>
      <c r="E136" s="75">
        <f>VLOOKUP($A136,'Data Vlaue (Cr)'!$C:$FB,5)</f>
        <v>739</v>
      </c>
      <c r="F136" s="75">
        <f t="shared" si="6"/>
        <v>0.5</v>
      </c>
      <c r="G136" s="75">
        <f t="shared" si="7"/>
        <v>0.5316643111918764</v>
      </c>
      <c r="H136" s="75">
        <f>VLOOKUP($A136,'Data Vlaue (Cr)'!$C:$FB,99)</f>
        <v>3244</v>
      </c>
      <c r="I136" s="75">
        <f>VLOOKUP($A136,'Data Vlaue (Cr)'!$C:$FB,100)</f>
        <v>3300</v>
      </c>
      <c r="J136" s="75">
        <f t="shared" si="8"/>
        <v>-56</v>
      </c>
      <c r="K136" s="75">
        <f t="shared" si="9"/>
        <v>-1.726263871763255</v>
      </c>
      <c r="L136" s="75">
        <f>VLOOKUP($A136,'Data Vlaue (Cr)'!$C:$FB,67)</f>
        <v>627</v>
      </c>
      <c r="M136" s="75">
        <f>VLOOKUP($A136,'Data Vlaue (Cr)'!$C:$FB,68)</f>
        <v>551</v>
      </c>
      <c r="N136" s="75">
        <f t="shared" si="10"/>
        <v>76</v>
      </c>
      <c r="O136" s="75">
        <f t="shared" si="11"/>
        <v>12.121212121212121</v>
      </c>
      <c r="P136" s="75">
        <f>VLOOKUP($A136,'Data Vlaue (Cr)'!$C:$FB,119)</f>
        <v>0.65</v>
      </c>
      <c r="Q136" s="75">
        <f>VLOOKUP($A136,'Data Vlaue (Cr)'!$C:$FB,122)*100</f>
        <v>6.5600000000000005</v>
      </c>
      <c r="R136" s="75">
        <f>VLOOKUP($A136,'Data Vlaue (Cr)'!$C:$FB,125)</f>
        <v>0.41</v>
      </c>
      <c r="S136" s="75">
        <f>VLOOKUP($A136,'Data Vlaue (Cr)'!$C:$FB,128)*100</f>
        <v>32.26</v>
      </c>
    </row>
    <row r="137" spans="1:19" x14ac:dyDescent="0.25">
      <c r="A137" s="96" t="str">
        <f>'Data Vlaue (Cr)'!C128</f>
        <v>MARUTI</v>
      </c>
      <c r="B137" s="75">
        <f>VLOOKUP($A137,'Data Vlaue (Cr)'!$C:$FB,2)</f>
        <v>50</v>
      </c>
      <c r="C137" s="75">
        <f>VLOOKUP($A137,'Data Vlaue (Cr)'!$C:$FB,8)</f>
        <v>16329</v>
      </c>
      <c r="D137" s="75">
        <f>VLOOKUP($A137,'Data Vlaue (Cr)'!$C:$FB,4)</f>
        <v>16367</v>
      </c>
      <c r="E137" s="75">
        <f>VLOOKUP($A137,'Data Vlaue (Cr)'!$C:$FB,5)</f>
        <v>16409</v>
      </c>
      <c r="F137" s="75">
        <f t="shared" si="6"/>
        <v>38</v>
      </c>
      <c r="G137" s="75">
        <f t="shared" si="7"/>
        <v>-0.25661391825013746</v>
      </c>
      <c r="H137" s="75">
        <f>VLOOKUP($A137,'Data Vlaue (Cr)'!$C:$FB,99)</f>
        <v>9734</v>
      </c>
      <c r="I137" s="75">
        <f>VLOOKUP($A137,'Data Vlaue (Cr)'!$C:$FB,100)</f>
        <v>9824</v>
      </c>
      <c r="J137" s="75">
        <f t="shared" si="8"/>
        <v>-90</v>
      </c>
      <c r="K137" s="75">
        <f t="shared" si="9"/>
        <v>-0.92459420587630992</v>
      </c>
      <c r="L137" s="75">
        <f>VLOOKUP($A137,'Data Vlaue (Cr)'!$C:$FB,67)</f>
        <v>9249</v>
      </c>
      <c r="M137" s="75">
        <f>VLOOKUP($A137,'Data Vlaue (Cr)'!$C:$FB,68)</f>
        <v>6127</v>
      </c>
      <c r="N137" s="75">
        <f t="shared" si="10"/>
        <v>3122</v>
      </c>
      <c r="O137" s="75">
        <f t="shared" si="11"/>
        <v>33.755000540598985</v>
      </c>
      <c r="P137" s="75">
        <f>VLOOKUP($A137,'Data Vlaue (Cr)'!$C:$FB,119)</f>
        <v>0.92</v>
      </c>
      <c r="Q137" s="75">
        <f>VLOOKUP($A137,'Data Vlaue (Cr)'!$C:$FB,122)*100</f>
        <v>-3.16</v>
      </c>
      <c r="R137" s="75">
        <f>VLOOKUP($A137,'Data Vlaue (Cr)'!$C:$FB,125)</f>
        <v>1.1000000000000001</v>
      </c>
      <c r="S137" s="75">
        <f>VLOOKUP($A137,'Data Vlaue (Cr)'!$C:$FB,128)*100</f>
        <v>42.86</v>
      </c>
    </row>
    <row r="138" spans="1:19" x14ac:dyDescent="0.25">
      <c r="A138" s="96" t="str">
        <f>'Data Vlaue (Cr)'!C129</f>
        <v>MAXHEALTH</v>
      </c>
      <c r="B138" s="75">
        <f>VLOOKUP($A138,'Data Vlaue (Cr)'!$C:$FB,2)</f>
        <v>525</v>
      </c>
      <c r="C138" s="75">
        <f>VLOOKUP($A138,'Data Vlaue (Cr)'!$C:$FB,8)</f>
        <v>1048.5</v>
      </c>
      <c r="D138" s="75">
        <f>VLOOKUP($A138,'Data Vlaue (Cr)'!$C:$FB,4)</f>
        <v>1052</v>
      </c>
      <c r="E138" s="75">
        <f>VLOOKUP($A138,'Data Vlaue (Cr)'!$C:$FB,5)</f>
        <v>1033.8</v>
      </c>
      <c r="F138" s="75">
        <f t="shared" si="6"/>
        <v>3.5</v>
      </c>
      <c r="G138" s="75">
        <f t="shared" si="7"/>
        <v>1.7300380228136927</v>
      </c>
      <c r="H138" s="75">
        <f>VLOOKUP($A138,'Data Vlaue (Cr)'!$C:$FB,99)</f>
        <v>3209</v>
      </c>
      <c r="I138" s="75">
        <f>VLOOKUP($A138,'Data Vlaue (Cr)'!$C:$FB,100)</f>
        <v>3248</v>
      </c>
      <c r="J138" s="75">
        <f t="shared" si="8"/>
        <v>-39</v>
      </c>
      <c r="K138" s="75">
        <f t="shared" si="9"/>
        <v>-1.2153318790900591</v>
      </c>
      <c r="L138" s="75">
        <f>VLOOKUP($A138,'Data Vlaue (Cr)'!$C:$FB,67)</f>
        <v>2556</v>
      </c>
      <c r="M138" s="75">
        <f>VLOOKUP($A138,'Data Vlaue (Cr)'!$C:$FB,68)</f>
        <v>3899</v>
      </c>
      <c r="N138" s="75">
        <f t="shared" si="10"/>
        <v>-1343</v>
      </c>
      <c r="O138" s="75">
        <f t="shared" si="11"/>
        <v>-52.543035993740219</v>
      </c>
      <c r="P138" s="75">
        <f>VLOOKUP($A138,'Data Vlaue (Cr)'!$C:$FB,119)</f>
        <v>0.57999999999999996</v>
      </c>
      <c r="Q138" s="75">
        <f>VLOOKUP($A138,'Data Vlaue (Cr)'!$C:$FB,122)*100</f>
        <v>9.43</v>
      </c>
      <c r="R138" s="75">
        <f>VLOOKUP($A138,'Data Vlaue (Cr)'!$C:$FB,125)</f>
        <v>0.39</v>
      </c>
      <c r="S138" s="75">
        <f>VLOOKUP($A138,'Data Vlaue (Cr)'!$C:$FB,128)*100</f>
        <v>-70.23</v>
      </c>
    </row>
    <row r="139" spans="1:19" x14ac:dyDescent="0.25">
      <c r="A139" s="96" t="str">
        <f>'Data Vlaue (Cr)'!C130</f>
        <v>MAZDOCK</v>
      </c>
      <c r="B139" s="75">
        <f>VLOOKUP($A139,'Data Vlaue (Cr)'!$C:$FB,2)</f>
        <v>175</v>
      </c>
      <c r="C139" s="75">
        <f>VLOOKUP($A139,'Data Vlaue (Cr)'!$C:$FB,8)</f>
        <v>2358</v>
      </c>
      <c r="D139" s="75">
        <f>VLOOKUP($A139,'Data Vlaue (Cr)'!$C:$FB,4)</f>
        <v>2366.4</v>
      </c>
      <c r="E139" s="75">
        <f>VLOOKUP($A139,'Data Vlaue (Cr)'!$C:$FB,5)</f>
        <v>2362.6</v>
      </c>
      <c r="F139" s="75">
        <f t="shared" si="6"/>
        <v>8.4000000000000909</v>
      </c>
      <c r="G139" s="75">
        <f t="shared" si="7"/>
        <v>0.16058147396890557</v>
      </c>
      <c r="H139" s="75">
        <f>VLOOKUP($A139,'Data Vlaue (Cr)'!$C:$FB,99)</f>
        <v>2489</v>
      </c>
      <c r="I139" s="75">
        <f>VLOOKUP($A139,'Data Vlaue (Cr)'!$C:$FB,100)</f>
        <v>2504</v>
      </c>
      <c r="J139" s="75">
        <f t="shared" si="8"/>
        <v>-15</v>
      </c>
      <c r="K139" s="75">
        <f t="shared" si="9"/>
        <v>-0.60265166733627962</v>
      </c>
      <c r="L139" s="75">
        <f>VLOOKUP($A139,'Data Vlaue (Cr)'!$C:$FB,67)</f>
        <v>1298</v>
      </c>
      <c r="M139" s="75">
        <f>VLOOKUP($A139,'Data Vlaue (Cr)'!$C:$FB,68)</f>
        <v>1529</v>
      </c>
      <c r="N139" s="75">
        <f t="shared" si="10"/>
        <v>-231</v>
      </c>
      <c r="O139" s="75">
        <f t="shared" si="11"/>
        <v>-17.796610169491526</v>
      </c>
      <c r="P139" s="75">
        <f>VLOOKUP($A139,'Data Vlaue (Cr)'!$C:$FB,119)</f>
        <v>0.45</v>
      </c>
      <c r="Q139" s="75">
        <f>VLOOKUP($A139,'Data Vlaue (Cr)'!$C:$FB,122)*100</f>
        <v>4.6500000000000004</v>
      </c>
      <c r="R139" s="75">
        <f>VLOOKUP($A139,'Data Vlaue (Cr)'!$C:$FB,125)</f>
        <v>0.47</v>
      </c>
      <c r="S139" s="75">
        <f>VLOOKUP($A139,'Data Vlaue (Cr)'!$C:$FB,128)*100</f>
        <v>-21.67</v>
      </c>
    </row>
    <row r="140" spans="1:19" x14ac:dyDescent="0.25">
      <c r="A140" s="96" t="str">
        <f>'Data Vlaue (Cr)'!C131</f>
        <v>MCX</v>
      </c>
      <c r="B140" s="75">
        <f>VLOOKUP($A140,'Data Vlaue (Cr)'!$C:$FB,2)</f>
        <v>125</v>
      </c>
      <c r="C140" s="75">
        <f>VLOOKUP($A140,'Data Vlaue (Cr)'!$C:$FB,8)</f>
        <v>10172</v>
      </c>
      <c r="D140" s="75">
        <f>VLOOKUP($A140,'Data Vlaue (Cr)'!$C:$FB,4)</f>
        <v>10194</v>
      </c>
      <c r="E140" s="75">
        <f>VLOOKUP($A140,'Data Vlaue (Cr)'!$C:$FB,5)</f>
        <v>10066</v>
      </c>
      <c r="F140" s="75">
        <f t="shared" ref="F140:F176" si="12">D140-C140</f>
        <v>22</v>
      </c>
      <c r="G140" s="75">
        <f t="shared" ref="G140:G176" si="13">(D140-E140)/D140*100</f>
        <v>1.2556405728860114</v>
      </c>
      <c r="H140" s="75">
        <f>VLOOKUP($A140,'Data Vlaue (Cr)'!$C:$FB,99)</f>
        <v>7907</v>
      </c>
      <c r="I140" s="75">
        <f>VLOOKUP($A140,'Data Vlaue (Cr)'!$C:$FB,100)</f>
        <v>8182</v>
      </c>
      <c r="J140" s="75">
        <f t="shared" ref="J140:J176" si="14">H140-I140</f>
        <v>-275</v>
      </c>
      <c r="K140" s="75">
        <f t="shared" ref="K140:K176" si="15">J140/H140*100</f>
        <v>-3.4779309472619193</v>
      </c>
      <c r="L140" s="75">
        <f>VLOOKUP($A140,'Data Vlaue (Cr)'!$C:$FB,67)</f>
        <v>11045</v>
      </c>
      <c r="M140" s="75">
        <f>VLOOKUP($A140,'Data Vlaue (Cr)'!$C:$FB,68)</f>
        <v>6468</v>
      </c>
      <c r="N140" s="75">
        <f t="shared" ref="N140:N176" si="16">L140-M140</f>
        <v>4577</v>
      </c>
      <c r="O140" s="75">
        <f t="shared" ref="O140:O176" si="17">N140/L140*100</f>
        <v>41.439565414214577</v>
      </c>
      <c r="P140" s="75">
        <f>VLOOKUP($A140,'Data Vlaue (Cr)'!$C:$FB,119)</f>
        <v>0.67</v>
      </c>
      <c r="Q140" s="75">
        <f>VLOOKUP($A140,'Data Vlaue (Cr)'!$C:$FB,122)*100</f>
        <v>4.6899999999999995</v>
      </c>
      <c r="R140" s="75">
        <f>VLOOKUP($A140,'Data Vlaue (Cr)'!$C:$FB,125)</f>
        <v>0.67</v>
      </c>
      <c r="S140" s="75">
        <f>VLOOKUP($A140,'Data Vlaue (Cr)'!$C:$FB,128)*100</f>
        <v>3.08</v>
      </c>
    </row>
    <row r="141" spans="1:19" x14ac:dyDescent="0.25">
      <c r="A141" s="96" t="str">
        <f>'Data Vlaue (Cr)'!C132</f>
        <v>MFSL</v>
      </c>
      <c r="B141" s="75">
        <f>VLOOKUP($A141,'Data Vlaue (Cr)'!$C:$FB,2)</f>
        <v>400</v>
      </c>
      <c r="C141" s="75">
        <f>VLOOKUP($A141,'Data Vlaue (Cr)'!$C:$FB,8)</f>
        <v>1686.6</v>
      </c>
      <c r="D141" s="75">
        <f>VLOOKUP($A141,'Data Vlaue (Cr)'!$C:$FB,4)</f>
        <v>1688.8</v>
      </c>
      <c r="E141" s="75">
        <f>VLOOKUP($A141,'Data Vlaue (Cr)'!$C:$FB,5)</f>
        <v>1668.5</v>
      </c>
      <c r="F141" s="75">
        <f t="shared" si="12"/>
        <v>2.2000000000000455</v>
      </c>
      <c r="G141" s="75">
        <f t="shared" si="13"/>
        <v>1.2020369493131191</v>
      </c>
      <c r="H141" s="75">
        <f>VLOOKUP($A141,'Data Vlaue (Cr)'!$C:$FB,99)</f>
        <v>1827</v>
      </c>
      <c r="I141" s="75">
        <f>VLOOKUP($A141,'Data Vlaue (Cr)'!$C:$FB,100)</f>
        <v>1825</v>
      </c>
      <c r="J141" s="75">
        <f t="shared" si="14"/>
        <v>2</v>
      </c>
      <c r="K141" s="75">
        <f t="shared" si="15"/>
        <v>0.10946907498631638</v>
      </c>
      <c r="L141" s="75">
        <f>VLOOKUP($A141,'Data Vlaue (Cr)'!$C:$FB,67)</f>
        <v>495</v>
      </c>
      <c r="M141" s="75">
        <f>VLOOKUP($A141,'Data Vlaue (Cr)'!$C:$FB,68)</f>
        <v>633</v>
      </c>
      <c r="N141" s="75">
        <f t="shared" si="16"/>
        <v>-138</v>
      </c>
      <c r="O141" s="75">
        <f t="shared" si="17"/>
        <v>-27.878787878787882</v>
      </c>
      <c r="P141" s="75">
        <f>VLOOKUP($A141,'Data Vlaue (Cr)'!$C:$FB,119)</f>
        <v>0.55000000000000004</v>
      </c>
      <c r="Q141" s="75">
        <f>VLOOKUP($A141,'Data Vlaue (Cr)'!$C:$FB,122)*100</f>
        <v>3.7699999999999996</v>
      </c>
      <c r="R141" s="75">
        <f>VLOOKUP($A141,'Data Vlaue (Cr)'!$C:$FB,125)</f>
        <v>0.5</v>
      </c>
      <c r="S141" s="75">
        <f>VLOOKUP($A141,'Data Vlaue (Cr)'!$C:$FB,128)*100</f>
        <v>-18.029999999999998</v>
      </c>
    </row>
    <row r="142" spans="1:19" x14ac:dyDescent="0.25">
      <c r="A142" s="96" t="str">
        <f>'Data Vlaue (Cr)'!C133</f>
        <v>MIDCPNIFTY</v>
      </c>
      <c r="B142" s="75">
        <f>VLOOKUP($A142,'Data Vlaue (Cr)'!$C:$FB,2)</f>
        <v>140</v>
      </c>
      <c r="C142" s="75">
        <f>VLOOKUP($A142,'Data Vlaue (Cr)'!$C:$FB,8)</f>
        <v>13745.15</v>
      </c>
      <c r="D142" s="75">
        <f>VLOOKUP($A142,'Data Vlaue (Cr)'!$C:$FB,4)</f>
        <v>13777.4</v>
      </c>
      <c r="E142" s="75">
        <f>VLOOKUP($A142,'Data Vlaue (Cr)'!$C:$FB,5)</f>
        <v>13686.05</v>
      </c>
      <c r="F142" s="75">
        <f t="shared" si="12"/>
        <v>32.25</v>
      </c>
      <c r="G142" s="75">
        <f t="shared" si="13"/>
        <v>0.66304237374250852</v>
      </c>
      <c r="H142" s="75">
        <f>VLOOKUP($A142,'Data Vlaue (Cr)'!$C:$FB,99)</f>
        <v>30875</v>
      </c>
      <c r="I142" s="75">
        <f>VLOOKUP($A142,'Data Vlaue (Cr)'!$C:$FB,100)</f>
        <v>30906</v>
      </c>
      <c r="J142" s="75">
        <f t="shared" si="14"/>
        <v>-31</v>
      </c>
      <c r="K142" s="75">
        <f t="shared" si="15"/>
        <v>-0.10040485829959514</v>
      </c>
      <c r="L142" s="75">
        <f>VLOOKUP($A142,'Data Vlaue (Cr)'!$C:$FB,67)</f>
        <v>74355</v>
      </c>
      <c r="M142" s="75">
        <f>VLOOKUP($A142,'Data Vlaue (Cr)'!$C:$FB,68)</f>
        <v>60179</v>
      </c>
      <c r="N142" s="75">
        <f t="shared" si="16"/>
        <v>14176</v>
      </c>
      <c r="O142" s="75">
        <f t="shared" si="17"/>
        <v>19.065294869208525</v>
      </c>
      <c r="P142" s="75">
        <f>VLOOKUP($A142,'Data Vlaue (Cr)'!$C:$FB,119)</f>
        <v>0.93</v>
      </c>
      <c r="Q142" s="75">
        <f>VLOOKUP($A142,'Data Vlaue (Cr)'!$C:$FB,122)*100</f>
        <v>8.14</v>
      </c>
      <c r="R142" s="75">
        <f>VLOOKUP($A142,'Data Vlaue (Cr)'!$C:$FB,125)</f>
        <v>0.9</v>
      </c>
      <c r="S142" s="75">
        <f>VLOOKUP($A142,'Data Vlaue (Cr)'!$C:$FB,128)*100</f>
        <v>20</v>
      </c>
    </row>
    <row r="143" spans="1:19" x14ac:dyDescent="0.25">
      <c r="A143" s="96" t="str">
        <f>'Data Vlaue (Cr)'!C134</f>
        <v>MOTHERSON</v>
      </c>
      <c r="B143" s="75">
        <f>VLOOKUP($A143,'Data Vlaue (Cr)'!$C:$FB,2)</f>
        <v>6150</v>
      </c>
      <c r="C143" s="75">
        <f>VLOOKUP($A143,'Data Vlaue (Cr)'!$C:$FB,8)</f>
        <v>117.15</v>
      </c>
      <c r="D143" s="75">
        <f>VLOOKUP($A143,'Data Vlaue (Cr)'!$C:$FB,4)</f>
        <v>117.39</v>
      </c>
      <c r="E143" s="75">
        <f>VLOOKUP($A143,'Data Vlaue (Cr)'!$C:$FB,5)</f>
        <v>119.73</v>
      </c>
      <c r="F143" s="75">
        <f t="shared" si="12"/>
        <v>0.23999999999999488</v>
      </c>
      <c r="G143" s="75">
        <f t="shared" si="13"/>
        <v>-1.9933554817275778</v>
      </c>
      <c r="H143" s="75">
        <f>VLOOKUP($A143,'Data Vlaue (Cr)'!$C:$FB,99)</f>
        <v>3419</v>
      </c>
      <c r="I143" s="75">
        <f>VLOOKUP($A143,'Data Vlaue (Cr)'!$C:$FB,100)</f>
        <v>3512</v>
      </c>
      <c r="J143" s="75">
        <f t="shared" si="14"/>
        <v>-93</v>
      </c>
      <c r="K143" s="75"/>
      <c r="L143" s="75">
        <f>VLOOKUP($A143,'Data Vlaue (Cr)'!$C:$FB,67)</f>
        <v>1822</v>
      </c>
      <c r="M143" s="75">
        <f>VLOOKUP($A143,'Data Vlaue (Cr)'!$C:$FB,68)</f>
        <v>837</v>
      </c>
      <c r="N143" s="75">
        <f t="shared" si="16"/>
        <v>985</v>
      </c>
      <c r="O143" s="75">
        <f t="shared" si="17"/>
        <v>54.061470911086715</v>
      </c>
      <c r="P143" s="75">
        <f>VLOOKUP($A143,'Data Vlaue (Cr)'!$C:$FB,119)</f>
        <v>0.68</v>
      </c>
      <c r="Q143" s="75">
        <f>VLOOKUP($A143,'Data Vlaue (Cr)'!$C:$FB,122)*100</f>
        <v>-13.919999999999998</v>
      </c>
      <c r="R143" s="75">
        <f>VLOOKUP($A143,'Data Vlaue (Cr)'!$C:$FB,125)</f>
        <v>0.81</v>
      </c>
      <c r="S143" s="75">
        <f>VLOOKUP($A143,'Data Vlaue (Cr)'!$C:$FB,128)*100</f>
        <v>76.09</v>
      </c>
    </row>
    <row r="144" spans="1:19" x14ac:dyDescent="0.25">
      <c r="A144" s="96" t="str">
        <f>'Data Vlaue (Cr)'!C135</f>
        <v>MPHASIS</v>
      </c>
      <c r="B144" s="75">
        <f>VLOOKUP($A144,'Data Vlaue (Cr)'!$C:$FB,2)</f>
        <v>275</v>
      </c>
      <c r="C144" s="75">
        <f>VLOOKUP($A144,'Data Vlaue (Cr)'!$C:$FB,8)</f>
        <v>2887.9</v>
      </c>
      <c r="D144" s="75">
        <f>VLOOKUP($A144,'Data Vlaue (Cr)'!$C:$FB,4)</f>
        <v>2891.1</v>
      </c>
      <c r="E144" s="75">
        <f>VLOOKUP($A144,'Data Vlaue (Cr)'!$C:$FB,5)</f>
        <v>2868.4</v>
      </c>
      <c r="F144" s="75">
        <f t="shared" si="12"/>
        <v>3.1999999999998181</v>
      </c>
      <c r="G144" s="75">
        <f t="shared" si="13"/>
        <v>0.78516827505101228</v>
      </c>
      <c r="H144" s="75">
        <f>VLOOKUP($A144,'Data Vlaue (Cr)'!$C:$FB,99)</f>
        <v>2612</v>
      </c>
      <c r="I144" s="75">
        <f>VLOOKUP($A144,'Data Vlaue (Cr)'!$C:$FB,100)</f>
        <v>2551</v>
      </c>
      <c r="J144" s="75">
        <f t="shared" si="14"/>
        <v>61</v>
      </c>
      <c r="K144" s="75">
        <f t="shared" si="15"/>
        <v>2.335375191424196</v>
      </c>
      <c r="L144" s="75">
        <f>VLOOKUP($A144,'Data Vlaue (Cr)'!$C:$FB,67)</f>
        <v>1516</v>
      </c>
      <c r="M144" s="75">
        <f>VLOOKUP($A144,'Data Vlaue (Cr)'!$C:$FB,68)</f>
        <v>615</v>
      </c>
      <c r="N144" s="75">
        <f t="shared" si="16"/>
        <v>901</v>
      </c>
      <c r="O144" s="75">
        <f t="shared" si="17"/>
        <v>59.432717678100268</v>
      </c>
      <c r="P144" s="75">
        <f>VLOOKUP($A144,'Data Vlaue (Cr)'!$C:$FB,119)</f>
        <v>0.75</v>
      </c>
      <c r="Q144" s="75">
        <f>VLOOKUP($A144,'Data Vlaue (Cr)'!$C:$FB,122)*100</f>
        <v>-2.6</v>
      </c>
      <c r="R144" s="75">
        <f>VLOOKUP($A144,'Data Vlaue (Cr)'!$C:$FB,125)</f>
        <v>0.22</v>
      </c>
      <c r="S144" s="75">
        <f>VLOOKUP($A144,'Data Vlaue (Cr)'!$C:$FB,128)*100</f>
        <v>-21.43</v>
      </c>
    </row>
    <row r="145" spans="1:19" x14ac:dyDescent="0.25">
      <c r="A145" s="96" t="str">
        <f>'Data Vlaue (Cr)'!C136</f>
        <v>MUTHOOTFIN</v>
      </c>
      <c r="B145" s="75">
        <f>VLOOKUP($A145,'Data Vlaue (Cr)'!$C:$FB,2)</f>
        <v>275</v>
      </c>
      <c r="C145" s="75">
        <f>VLOOKUP($A145,'Data Vlaue (Cr)'!$C:$FB,8)</f>
        <v>3749.9</v>
      </c>
      <c r="D145" s="75">
        <f>VLOOKUP($A145,'Data Vlaue (Cr)'!$C:$FB,4)</f>
        <v>3750.9</v>
      </c>
      <c r="E145" s="75">
        <f>VLOOKUP($A145,'Data Vlaue (Cr)'!$C:$FB,5)</f>
        <v>3769.2</v>
      </c>
      <c r="F145" s="75">
        <f t="shared" si="12"/>
        <v>1</v>
      </c>
      <c r="G145" s="75">
        <f t="shared" si="13"/>
        <v>-0.48788290810204821</v>
      </c>
      <c r="H145" s="75">
        <f>VLOOKUP($A145,'Data Vlaue (Cr)'!$C:$FB,99)</f>
        <v>3203</v>
      </c>
      <c r="I145" s="75">
        <f>VLOOKUP($A145,'Data Vlaue (Cr)'!$C:$FB,100)</f>
        <v>3168</v>
      </c>
      <c r="J145" s="75">
        <f t="shared" si="14"/>
        <v>35</v>
      </c>
      <c r="K145" s="75">
        <f t="shared" si="15"/>
        <v>1.0927255697783327</v>
      </c>
      <c r="L145" s="75">
        <f>VLOOKUP($A145,'Data Vlaue (Cr)'!$C:$FB,67)</f>
        <v>2774</v>
      </c>
      <c r="M145" s="75">
        <f>VLOOKUP($A145,'Data Vlaue (Cr)'!$C:$FB,68)</f>
        <v>4168</v>
      </c>
      <c r="N145" s="75">
        <f t="shared" si="16"/>
        <v>-1394</v>
      </c>
      <c r="O145" s="75">
        <f t="shared" si="17"/>
        <v>-50.25234318673396</v>
      </c>
      <c r="P145" s="75">
        <f>VLOOKUP($A145,'Data Vlaue (Cr)'!$C:$FB,119)</f>
        <v>0.52</v>
      </c>
      <c r="Q145" s="75">
        <f>VLOOKUP($A145,'Data Vlaue (Cr)'!$C:$FB,122)*100</f>
        <v>0</v>
      </c>
      <c r="R145" s="75">
        <f>VLOOKUP($A145,'Data Vlaue (Cr)'!$C:$FB,125)</f>
        <v>0.69</v>
      </c>
      <c r="S145" s="75">
        <f>VLOOKUP($A145,'Data Vlaue (Cr)'!$C:$FB,128)*100</f>
        <v>68.289999999999992</v>
      </c>
    </row>
    <row r="146" spans="1:19" x14ac:dyDescent="0.25">
      <c r="A146" s="96" t="str">
        <f>'Data Vlaue (Cr)'!C137</f>
        <v>NATIONALUM</v>
      </c>
      <c r="B146" s="75">
        <f>VLOOKUP($A146,'Data Vlaue (Cr)'!$C:$FB,2)</f>
        <v>3750</v>
      </c>
      <c r="C146" s="75">
        <f>VLOOKUP($A146,'Data Vlaue (Cr)'!$C:$FB,8)</f>
        <v>279.25</v>
      </c>
      <c r="D146" s="75">
        <f>VLOOKUP($A146,'Data Vlaue (Cr)'!$C:$FB,4)</f>
        <v>279.55</v>
      </c>
      <c r="E146" s="75">
        <f>VLOOKUP($A146,'Data Vlaue (Cr)'!$C:$FB,5)</f>
        <v>279.7</v>
      </c>
      <c r="F146" s="75">
        <f t="shared" si="12"/>
        <v>0.30000000000001137</v>
      </c>
      <c r="G146" s="75">
        <f t="shared" si="13"/>
        <v>-5.3657664103014584E-2</v>
      </c>
      <c r="H146" s="75">
        <f>VLOOKUP($A146,'Data Vlaue (Cr)'!$C:$FB,99)</f>
        <v>3368</v>
      </c>
      <c r="I146" s="75">
        <f>VLOOKUP($A146,'Data Vlaue (Cr)'!$C:$FB,100)</f>
        <v>3384</v>
      </c>
      <c r="J146" s="75">
        <f t="shared" si="14"/>
        <v>-16</v>
      </c>
      <c r="K146" s="75">
        <f t="shared" si="15"/>
        <v>-0.47505938242280288</v>
      </c>
      <c r="L146" s="75">
        <f>VLOOKUP($A146,'Data Vlaue (Cr)'!$C:$FB,67)</f>
        <v>2759</v>
      </c>
      <c r="M146" s="75">
        <f>VLOOKUP($A146,'Data Vlaue (Cr)'!$C:$FB,68)</f>
        <v>2745</v>
      </c>
      <c r="N146" s="75">
        <f t="shared" si="16"/>
        <v>14</v>
      </c>
      <c r="O146" s="75">
        <f t="shared" si="17"/>
        <v>0.50743022834360274</v>
      </c>
      <c r="P146" s="75">
        <f>VLOOKUP($A146,'Data Vlaue (Cr)'!$C:$FB,119)</f>
        <v>0.88</v>
      </c>
      <c r="Q146" s="75">
        <f>VLOOKUP($A146,'Data Vlaue (Cr)'!$C:$FB,122)*100</f>
        <v>3.53</v>
      </c>
      <c r="R146" s="75">
        <f>VLOOKUP($A146,'Data Vlaue (Cr)'!$C:$FB,125)</f>
        <v>0.6</v>
      </c>
      <c r="S146" s="75">
        <f>VLOOKUP($A146,'Data Vlaue (Cr)'!$C:$FB,128)*100</f>
        <v>17.649999999999999</v>
      </c>
    </row>
    <row r="147" spans="1:19" x14ac:dyDescent="0.25">
      <c r="A147" s="96" t="str">
        <f>'Data Vlaue (Cr)'!C138</f>
        <v>NAUKRI</v>
      </c>
      <c r="B147" s="75">
        <f>VLOOKUP($A147,'Data Vlaue (Cr)'!$C:$FB,2)</f>
        <v>375</v>
      </c>
      <c r="C147" s="75">
        <f>VLOOKUP($A147,'Data Vlaue (Cr)'!$C:$FB,8)</f>
        <v>1333.7</v>
      </c>
      <c r="D147" s="75">
        <f>VLOOKUP($A147,'Data Vlaue (Cr)'!$C:$FB,4)</f>
        <v>1336.5</v>
      </c>
      <c r="E147" s="75">
        <f>VLOOKUP($A147,'Data Vlaue (Cr)'!$C:$FB,5)</f>
        <v>1343.2</v>
      </c>
      <c r="F147" s="75">
        <f t="shared" si="12"/>
        <v>2.7999999999999545</v>
      </c>
      <c r="G147" s="75">
        <f t="shared" si="13"/>
        <v>-0.50130939019828247</v>
      </c>
      <c r="H147" s="75">
        <f>VLOOKUP($A147,'Data Vlaue (Cr)'!$C:$FB,99)</f>
        <v>1813</v>
      </c>
      <c r="I147" s="75">
        <f>VLOOKUP($A147,'Data Vlaue (Cr)'!$C:$FB,100)</f>
        <v>1818</v>
      </c>
      <c r="J147" s="75">
        <f t="shared" si="14"/>
        <v>-5</v>
      </c>
      <c r="K147" s="75">
        <f t="shared" si="15"/>
        <v>-0.27578599007170435</v>
      </c>
      <c r="L147" s="75">
        <f>VLOOKUP($A147,'Data Vlaue (Cr)'!$C:$FB,67)</f>
        <v>440</v>
      </c>
      <c r="M147" s="75">
        <f>VLOOKUP($A147,'Data Vlaue (Cr)'!$C:$FB,68)</f>
        <v>415</v>
      </c>
      <c r="N147" s="75">
        <f t="shared" si="16"/>
        <v>25</v>
      </c>
      <c r="O147" s="75">
        <f t="shared" si="17"/>
        <v>5.6818181818181817</v>
      </c>
      <c r="P147" s="75">
        <f>VLOOKUP($A147,'Data Vlaue (Cr)'!$C:$FB,119)</f>
        <v>0.81</v>
      </c>
      <c r="Q147" s="75">
        <f>VLOOKUP($A147,'Data Vlaue (Cr)'!$C:$FB,122)*100</f>
        <v>-3.5700000000000003</v>
      </c>
      <c r="R147" s="75">
        <f>VLOOKUP($A147,'Data Vlaue (Cr)'!$C:$FB,125)</f>
        <v>0.22</v>
      </c>
      <c r="S147" s="75">
        <f>VLOOKUP($A147,'Data Vlaue (Cr)'!$C:$FB,128)*100</f>
        <v>-29.03</v>
      </c>
    </row>
    <row r="148" spans="1:19" x14ac:dyDescent="0.25">
      <c r="A148" s="96" t="str">
        <f>'Data Vlaue (Cr)'!C139</f>
        <v>NBCC</v>
      </c>
      <c r="B148" s="75">
        <f>VLOOKUP($A148,'Data Vlaue (Cr)'!$C:$FB,2)</f>
        <v>6500</v>
      </c>
      <c r="C148" s="75">
        <f>VLOOKUP($A148,'Data Vlaue (Cr)'!$C:$FB,8)</f>
        <v>108.26</v>
      </c>
      <c r="D148" s="75">
        <f>VLOOKUP($A148,'Data Vlaue (Cr)'!$C:$FB,4)</f>
        <v>108.37</v>
      </c>
      <c r="E148" s="75">
        <f>VLOOKUP($A148,'Data Vlaue (Cr)'!$C:$FB,5)</f>
        <v>109.71</v>
      </c>
      <c r="F148" s="75">
        <f t="shared" si="12"/>
        <v>0.10999999999999943</v>
      </c>
      <c r="G148" s="75">
        <f t="shared" si="13"/>
        <v>-1.2365045676847735</v>
      </c>
      <c r="H148" s="75">
        <f>VLOOKUP($A148,'Data Vlaue (Cr)'!$C:$FB,99)</f>
        <v>1910</v>
      </c>
      <c r="I148" s="75">
        <f>VLOOKUP($A148,'Data Vlaue (Cr)'!$C:$FB,100)</f>
        <v>1833</v>
      </c>
      <c r="J148" s="75">
        <f t="shared" si="14"/>
        <v>77</v>
      </c>
      <c r="K148" s="75">
        <f t="shared" si="15"/>
        <v>4.0314136125654452</v>
      </c>
      <c r="L148" s="75">
        <f>VLOOKUP($A148,'Data Vlaue (Cr)'!$C:$FB,67)</f>
        <v>858</v>
      </c>
      <c r="M148" s="75">
        <f>VLOOKUP($A148,'Data Vlaue (Cr)'!$C:$FB,68)</f>
        <v>860</v>
      </c>
      <c r="N148" s="75">
        <f t="shared" si="16"/>
        <v>-2</v>
      </c>
      <c r="O148" s="75">
        <f t="shared" si="17"/>
        <v>-0.23310023310023309</v>
      </c>
      <c r="P148" s="75">
        <f>VLOOKUP($A148,'Data Vlaue (Cr)'!$C:$FB,119)</f>
        <v>0.39</v>
      </c>
      <c r="Q148" s="75">
        <f>VLOOKUP($A148,'Data Vlaue (Cr)'!$C:$FB,122)*100</f>
        <v>-2.5</v>
      </c>
      <c r="R148" s="75">
        <f>VLOOKUP($A148,'Data Vlaue (Cr)'!$C:$FB,125)</f>
        <v>0.35</v>
      </c>
      <c r="S148" s="75">
        <f>VLOOKUP($A148,'Data Vlaue (Cr)'!$C:$FB,128)*100</f>
        <v>25</v>
      </c>
    </row>
    <row r="149" spans="1:19" x14ac:dyDescent="0.25">
      <c r="A149" s="96" t="str">
        <f>'Data Vlaue (Cr)'!C140</f>
        <v>NCC</v>
      </c>
      <c r="B149" s="75">
        <f>VLOOKUP($A149,'Data Vlaue (Cr)'!$C:$FB,2)</f>
        <v>2700</v>
      </c>
      <c r="C149" s="75">
        <f>VLOOKUP($A149,'Data Vlaue (Cr)'!$C:$FB,8)</f>
        <v>153.07</v>
      </c>
      <c r="D149" s="75">
        <f>VLOOKUP($A149,'Data Vlaue (Cr)'!$C:$FB,4)</f>
        <v>153.30000000000001</v>
      </c>
      <c r="E149" s="75">
        <f>VLOOKUP($A149,'Data Vlaue (Cr)'!$C:$FB,5)</f>
        <v>155.97</v>
      </c>
      <c r="F149" s="75">
        <f t="shared" si="12"/>
        <v>0.23000000000001819</v>
      </c>
      <c r="G149" s="75">
        <f t="shared" si="13"/>
        <v>-1.7416829745596787</v>
      </c>
      <c r="H149" s="75">
        <f>VLOOKUP($A149,'Data Vlaue (Cr)'!$C:$FB,99)</f>
        <v>861</v>
      </c>
      <c r="I149" s="75">
        <f>VLOOKUP($A149,'Data Vlaue (Cr)'!$C:$FB,100)</f>
        <v>858</v>
      </c>
      <c r="J149" s="75">
        <f t="shared" si="14"/>
        <v>3</v>
      </c>
      <c r="K149" s="75">
        <f t="shared" si="15"/>
        <v>0.34843205574912894</v>
      </c>
      <c r="L149" s="75">
        <f>VLOOKUP($A149,'Data Vlaue (Cr)'!$C:$FB,67)</f>
        <v>329</v>
      </c>
      <c r="M149" s="75">
        <f>VLOOKUP($A149,'Data Vlaue (Cr)'!$C:$FB,68)</f>
        <v>309</v>
      </c>
      <c r="N149" s="75">
        <f t="shared" si="16"/>
        <v>20</v>
      </c>
      <c r="O149" s="75">
        <f t="shared" si="17"/>
        <v>6.0790273556231007</v>
      </c>
      <c r="P149" s="75">
        <f>VLOOKUP($A149,'Data Vlaue (Cr)'!$C:$FB,119)</f>
        <v>0.42</v>
      </c>
      <c r="Q149" s="75">
        <f>VLOOKUP($A149,'Data Vlaue (Cr)'!$C:$FB,122)*100</f>
        <v>0</v>
      </c>
      <c r="R149" s="75">
        <f>VLOOKUP($A149,'Data Vlaue (Cr)'!$C:$FB,125)</f>
        <v>0.55000000000000004</v>
      </c>
      <c r="S149" s="75">
        <f>VLOOKUP($A149,'Data Vlaue (Cr)'!$C:$FB,128)*100</f>
        <v>22.220000000000002</v>
      </c>
    </row>
    <row r="150" spans="1:19" x14ac:dyDescent="0.25">
      <c r="A150" s="96" t="str">
        <f>'Data Vlaue (Cr)'!C141</f>
        <v>NESTLEIND</v>
      </c>
      <c r="B150" s="75">
        <f>VLOOKUP($A150,'Data Vlaue (Cr)'!$C:$FB,2)</f>
        <v>500</v>
      </c>
      <c r="C150" s="75">
        <f>VLOOKUP($A150,'Data Vlaue (Cr)'!$C:$FB,8)</f>
        <v>1233.5</v>
      </c>
      <c r="D150" s="75">
        <f>VLOOKUP($A150,'Data Vlaue (Cr)'!$C:$FB,4)</f>
        <v>1236.8</v>
      </c>
      <c r="E150" s="75">
        <f>VLOOKUP($A150,'Data Vlaue (Cr)'!$C:$FB,5)</f>
        <v>1235.9000000000001</v>
      </c>
      <c r="F150" s="75">
        <f t="shared" si="12"/>
        <v>3.2999999999999545</v>
      </c>
      <c r="G150" s="75">
        <f t="shared" si="13"/>
        <v>7.2768434670105395E-2</v>
      </c>
      <c r="H150" s="75">
        <f>VLOOKUP($A150,'Data Vlaue (Cr)'!$C:$FB,99)</f>
        <v>3232</v>
      </c>
      <c r="I150" s="75">
        <f>VLOOKUP($A150,'Data Vlaue (Cr)'!$C:$FB,100)</f>
        <v>3224</v>
      </c>
      <c r="J150" s="75">
        <f t="shared" si="14"/>
        <v>8</v>
      </c>
      <c r="K150" s="75">
        <f t="shared" si="15"/>
        <v>0.24752475247524752</v>
      </c>
      <c r="L150" s="75">
        <f>VLOOKUP($A150,'Data Vlaue (Cr)'!$C:$FB,67)</f>
        <v>727</v>
      </c>
      <c r="M150" s="75">
        <f>VLOOKUP($A150,'Data Vlaue (Cr)'!$C:$FB,68)</f>
        <v>1047</v>
      </c>
      <c r="N150" s="75">
        <f t="shared" si="16"/>
        <v>-320</v>
      </c>
      <c r="O150" s="75">
        <f t="shared" si="17"/>
        <v>-44.016506189821179</v>
      </c>
      <c r="P150" s="75">
        <f>VLOOKUP($A150,'Data Vlaue (Cr)'!$C:$FB,119)</f>
        <v>0.31</v>
      </c>
      <c r="Q150" s="75">
        <f>VLOOKUP($A150,'Data Vlaue (Cr)'!$C:$FB,122)*100</f>
        <v>0</v>
      </c>
      <c r="R150" s="75">
        <f>VLOOKUP($A150,'Data Vlaue (Cr)'!$C:$FB,125)</f>
        <v>0.26</v>
      </c>
      <c r="S150" s="75">
        <f>VLOOKUP($A150,'Data Vlaue (Cr)'!$C:$FB,128)*100</f>
        <v>-27.779999999999998</v>
      </c>
    </row>
    <row r="151" spans="1:19" x14ac:dyDescent="0.25">
      <c r="A151" s="96" t="str">
        <f>'Data Vlaue (Cr)'!C142</f>
        <v>NHPC</v>
      </c>
      <c r="B151" s="75">
        <f>VLOOKUP($A151,'Data Vlaue (Cr)'!$C:$FB,2)</f>
        <v>6400</v>
      </c>
      <c r="C151" s="75">
        <f>VLOOKUP($A151,'Data Vlaue (Cr)'!$C:$FB,8)</f>
        <v>75.040000000000006</v>
      </c>
      <c r="D151" s="75">
        <f>VLOOKUP($A151,'Data Vlaue (Cr)'!$C:$FB,4)</f>
        <v>75.239999999999995</v>
      </c>
      <c r="E151" s="75">
        <f>VLOOKUP($A151,'Data Vlaue (Cr)'!$C:$FB,5)</f>
        <v>75.569999999999993</v>
      </c>
      <c r="F151" s="75">
        <f t="shared" si="12"/>
        <v>0.19999999999998863</v>
      </c>
      <c r="G151" s="75">
        <f t="shared" si="13"/>
        <v>-0.43859649122806788</v>
      </c>
      <c r="H151" s="75">
        <f>VLOOKUP($A151,'Data Vlaue (Cr)'!$C:$FB,99)</f>
        <v>1083</v>
      </c>
      <c r="I151" s="75">
        <f>VLOOKUP($A151,'Data Vlaue (Cr)'!$C:$FB,100)</f>
        <v>1068</v>
      </c>
      <c r="J151" s="75">
        <f t="shared" si="14"/>
        <v>15</v>
      </c>
      <c r="K151" s="75">
        <f t="shared" si="15"/>
        <v>1.3850415512465373</v>
      </c>
      <c r="L151" s="75">
        <f>VLOOKUP($A151,'Data Vlaue (Cr)'!$C:$FB,67)</f>
        <v>321</v>
      </c>
      <c r="M151" s="75">
        <f>VLOOKUP($A151,'Data Vlaue (Cr)'!$C:$FB,68)</f>
        <v>288</v>
      </c>
      <c r="N151" s="75">
        <f t="shared" si="16"/>
        <v>33</v>
      </c>
      <c r="O151" s="75">
        <f t="shared" si="17"/>
        <v>10.2803738317757</v>
      </c>
      <c r="P151" s="75">
        <f>VLOOKUP($A151,'Data Vlaue (Cr)'!$C:$FB,119)</f>
        <v>0.44</v>
      </c>
      <c r="Q151" s="75">
        <f>VLOOKUP($A151,'Data Vlaue (Cr)'!$C:$FB,122)*100</f>
        <v>-2.2200000000000002</v>
      </c>
      <c r="R151" s="75">
        <f>VLOOKUP($A151,'Data Vlaue (Cr)'!$C:$FB,125)</f>
        <v>0.27</v>
      </c>
      <c r="S151" s="75">
        <f>VLOOKUP($A151,'Data Vlaue (Cr)'!$C:$FB,128)*100</f>
        <v>-10</v>
      </c>
    </row>
    <row r="152" spans="1:19" x14ac:dyDescent="0.25">
      <c r="A152" s="96" t="str">
        <f>'Data Vlaue (Cr)'!C143</f>
        <v>NIFTY</v>
      </c>
      <c r="B152" s="75">
        <f>VLOOKUP($A152,'Data Vlaue (Cr)'!$C:$FB,2)</f>
        <v>75</v>
      </c>
      <c r="C152" s="75">
        <f>VLOOKUP($A152,'Data Vlaue (Cr)'!$C:$FB,8)</f>
        <v>25815.55</v>
      </c>
      <c r="D152" s="75">
        <f>VLOOKUP($A152,'Data Vlaue (Cr)'!$C:$FB,4)</f>
        <v>25880.6</v>
      </c>
      <c r="E152" s="75">
        <f>VLOOKUP($A152,'Data Vlaue (Cr)'!$C:$FB,5)</f>
        <v>25897.8</v>
      </c>
      <c r="F152" s="75">
        <f t="shared" si="12"/>
        <v>65.049999999999272</v>
      </c>
      <c r="G152" s="75">
        <f t="shared" si="13"/>
        <v>-6.6459046544518785E-2</v>
      </c>
      <c r="H152" s="75">
        <f>VLOOKUP($A152,'Data Vlaue (Cr)'!$C:$FB,99)</f>
        <v>1258077</v>
      </c>
      <c r="I152" s="75">
        <f>VLOOKUP($A152,'Data Vlaue (Cr)'!$C:$FB,100)</f>
        <v>1172529</v>
      </c>
      <c r="J152" s="75">
        <f t="shared" si="14"/>
        <v>85548</v>
      </c>
      <c r="K152" s="75">
        <f t="shared" si="15"/>
        <v>6.7999017548210485</v>
      </c>
      <c r="L152" s="75">
        <f>VLOOKUP($A152,'Data Vlaue (Cr)'!$C:$FB,67)</f>
        <v>10851376</v>
      </c>
      <c r="M152" s="75">
        <f>VLOOKUP($A152,'Data Vlaue (Cr)'!$C:$FB,68)</f>
        <v>9171367</v>
      </c>
      <c r="N152" s="75">
        <f t="shared" si="16"/>
        <v>1680009</v>
      </c>
      <c r="O152" s="75">
        <f t="shared" si="17"/>
        <v>15.48199048673643</v>
      </c>
      <c r="P152" s="75">
        <f>VLOOKUP($A152,'Data Vlaue (Cr)'!$C:$FB,119)</f>
        <v>0.83</v>
      </c>
      <c r="Q152" s="75">
        <f>VLOOKUP($A152,'Data Vlaue (Cr)'!$C:$FB,122)*100</f>
        <v>7.79</v>
      </c>
      <c r="R152" s="75">
        <f>VLOOKUP($A152,'Data Vlaue (Cr)'!$C:$FB,125)</f>
        <v>0.91</v>
      </c>
      <c r="S152" s="75">
        <f>VLOOKUP($A152,'Data Vlaue (Cr)'!$C:$FB,128)*100</f>
        <v>-7.1400000000000006</v>
      </c>
    </row>
    <row r="153" spans="1:19" x14ac:dyDescent="0.25">
      <c r="A153" s="96" t="str">
        <f>'Data Vlaue (Cr)'!C144</f>
        <v>NIFTYNXT50</v>
      </c>
      <c r="B153" s="75">
        <f>VLOOKUP($A153,'Data Vlaue (Cr)'!$C:$FB,2)</f>
        <v>25</v>
      </c>
      <c r="C153" s="75">
        <f>VLOOKUP($A153,'Data Vlaue (Cr)'!$C:$FB,8)</f>
        <v>67830.25</v>
      </c>
      <c r="D153" s="75">
        <f>VLOOKUP($A153,'Data Vlaue (Cr)'!$C:$FB,4)</f>
        <v>67881</v>
      </c>
      <c r="E153" s="75">
        <f>VLOOKUP($A153,'Data Vlaue (Cr)'!$C:$FB,5)</f>
        <v>68220</v>
      </c>
      <c r="F153" s="75">
        <f t="shared" si="12"/>
        <v>50.75</v>
      </c>
      <c r="G153" s="75">
        <f t="shared" si="13"/>
        <v>-0.49940336765810761</v>
      </c>
      <c r="H153" s="75">
        <f>VLOOKUP($A153,'Data Vlaue (Cr)'!$C:$FB,99)</f>
        <v>440</v>
      </c>
      <c r="I153" s="75">
        <f>VLOOKUP($A153,'Data Vlaue (Cr)'!$C:$FB,100)</f>
        <v>412</v>
      </c>
      <c r="J153" s="75">
        <f t="shared" si="14"/>
        <v>28</v>
      </c>
      <c r="K153" s="75">
        <f t="shared" si="15"/>
        <v>6.3636363636363633</v>
      </c>
      <c r="L153" s="75">
        <f>VLOOKUP($A153,'Data Vlaue (Cr)'!$C:$FB,67)</f>
        <v>266</v>
      </c>
      <c r="M153" s="75">
        <f>VLOOKUP($A153,'Data Vlaue (Cr)'!$C:$FB,68)</f>
        <v>182</v>
      </c>
      <c r="N153" s="75">
        <f t="shared" si="16"/>
        <v>84</v>
      </c>
      <c r="O153" s="75">
        <f t="shared" si="17"/>
        <v>31.578947368421051</v>
      </c>
      <c r="P153" s="75">
        <f>VLOOKUP($A153,'Data Vlaue (Cr)'!$C:$FB,119)</f>
        <v>0.84</v>
      </c>
      <c r="Q153" s="75">
        <f>VLOOKUP($A153,'Data Vlaue (Cr)'!$C:$FB,122)*100</f>
        <v>-9.68</v>
      </c>
      <c r="R153" s="75">
        <f>VLOOKUP($A153,'Data Vlaue (Cr)'!$C:$FB,125)</f>
        <v>0.7</v>
      </c>
      <c r="S153" s="75">
        <f>VLOOKUP($A153,'Data Vlaue (Cr)'!$C:$FB,128)*100</f>
        <v>-48.53</v>
      </c>
    </row>
    <row r="154" spans="1:19" x14ac:dyDescent="0.25">
      <c r="A154" s="96" t="str">
        <f>'Data Vlaue (Cr)'!C145</f>
        <v>NMDC</v>
      </c>
      <c r="B154" s="75">
        <f>VLOOKUP($A154,'Data Vlaue (Cr)'!$C:$FB,2)</f>
        <v>6750</v>
      </c>
      <c r="C154" s="75">
        <f>VLOOKUP($A154,'Data Vlaue (Cr)'!$C:$FB,8)</f>
        <v>76.510000000000005</v>
      </c>
      <c r="D154" s="75">
        <f>VLOOKUP($A154,'Data Vlaue (Cr)'!$C:$FB,4)</f>
        <v>76.72</v>
      </c>
      <c r="E154" s="75">
        <f>VLOOKUP($A154,'Data Vlaue (Cr)'!$C:$FB,5)</f>
        <v>77.349999999999994</v>
      </c>
      <c r="F154" s="75">
        <f t="shared" si="12"/>
        <v>0.20999999999999375</v>
      </c>
      <c r="G154" s="75">
        <f t="shared" si="13"/>
        <v>-0.821167883211673</v>
      </c>
      <c r="H154" s="75">
        <f>VLOOKUP($A154,'Data Vlaue (Cr)'!$C:$FB,99)</f>
        <v>3984</v>
      </c>
      <c r="I154" s="75">
        <f>VLOOKUP($A154,'Data Vlaue (Cr)'!$C:$FB,100)</f>
        <v>3973</v>
      </c>
      <c r="J154" s="75">
        <f t="shared" si="14"/>
        <v>11</v>
      </c>
      <c r="K154" s="75">
        <f t="shared" si="15"/>
        <v>0.27610441767068272</v>
      </c>
      <c r="L154" s="75">
        <f>VLOOKUP($A154,'Data Vlaue (Cr)'!$C:$FB,67)</f>
        <v>778</v>
      </c>
      <c r="M154" s="75">
        <f>VLOOKUP($A154,'Data Vlaue (Cr)'!$C:$FB,68)</f>
        <v>941</v>
      </c>
      <c r="N154" s="75">
        <f t="shared" si="16"/>
        <v>-163</v>
      </c>
      <c r="O154" s="75">
        <f t="shared" si="17"/>
        <v>-20.951156812339331</v>
      </c>
      <c r="P154" s="75">
        <f>VLOOKUP($A154,'Data Vlaue (Cr)'!$C:$FB,119)</f>
        <v>0.68</v>
      </c>
      <c r="Q154" s="75">
        <f>VLOOKUP($A154,'Data Vlaue (Cr)'!$C:$FB,122)*100</f>
        <v>0</v>
      </c>
      <c r="R154" s="75">
        <f>VLOOKUP($A154,'Data Vlaue (Cr)'!$C:$FB,125)</f>
        <v>0.54</v>
      </c>
      <c r="S154" s="75">
        <f>VLOOKUP($A154,'Data Vlaue (Cr)'!$C:$FB,128)*100</f>
        <v>68.75</v>
      </c>
    </row>
    <row r="155" spans="1:19" x14ac:dyDescent="0.25">
      <c r="A155" s="96" t="str">
        <f>'Data Vlaue (Cr)'!C146</f>
        <v>NTPC</v>
      </c>
      <c r="B155" s="75">
        <f>VLOOKUP($A155,'Data Vlaue (Cr)'!$C:$FB,2)</f>
        <v>1500</v>
      </c>
      <c r="C155" s="75">
        <f>VLOOKUP($A155,'Data Vlaue (Cr)'!$C:$FB,8)</f>
        <v>318.5</v>
      </c>
      <c r="D155" s="75">
        <f>VLOOKUP($A155,'Data Vlaue (Cr)'!$C:$FB,4)</f>
        <v>319.10000000000002</v>
      </c>
      <c r="E155" s="75">
        <f>VLOOKUP($A155,'Data Vlaue (Cr)'!$C:$FB,5)</f>
        <v>321.5</v>
      </c>
      <c r="F155" s="75">
        <f t="shared" si="12"/>
        <v>0.60000000000002274</v>
      </c>
      <c r="G155" s="75">
        <f t="shared" si="13"/>
        <v>-0.75211532434972639</v>
      </c>
      <c r="H155" s="75">
        <f>VLOOKUP($A155,'Data Vlaue (Cr)'!$C:$FB,99)</f>
        <v>4816</v>
      </c>
      <c r="I155" s="75">
        <f>VLOOKUP($A155,'Data Vlaue (Cr)'!$C:$FB,100)</f>
        <v>4738</v>
      </c>
      <c r="J155" s="75">
        <f t="shared" si="14"/>
        <v>78</v>
      </c>
      <c r="K155" s="75">
        <f t="shared" si="15"/>
        <v>1.6196013289036544</v>
      </c>
      <c r="L155" s="75">
        <f>VLOOKUP($A155,'Data Vlaue (Cr)'!$C:$FB,67)</f>
        <v>1452</v>
      </c>
      <c r="M155" s="75">
        <f>VLOOKUP($A155,'Data Vlaue (Cr)'!$C:$FB,68)</f>
        <v>879</v>
      </c>
      <c r="N155" s="75">
        <f t="shared" si="16"/>
        <v>573</v>
      </c>
      <c r="O155" s="75">
        <f t="shared" si="17"/>
        <v>39.462809917355372</v>
      </c>
      <c r="P155" s="75">
        <f>VLOOKUP($A155,'Data Vlaue (Cr)'!$C:$FB,119)</f>
        <v>0.6</v>
      </c>
      <c r="Q155" s="75">
        <f>VLOOKUP($A155,'Data Vlaue (Cr)'!$C:$FB,122)*100</f>
        <v>-3.2300000000000004</v>
      </c>
      <c r="R155" s="75">
        <f>VLOOKUP($A155,'Data Vlaue (Cr)'!$C:$FB,125)</f>
        <v>0.56000000000000005</v>
      </c>
      <c r="S155" s="75">
        <f>VLOOKUP($A155,'Data Vlaue (Cr)'!$C:$FB,128)*100</f>
        <v>7.6899999999999995</v>
      </c>
    </row>
    <row r="156" spans="1:19" x14ac:dyDescent="0.25">
      <c r="A156" s="96" t="str">
        <f>'Data Vlaue (Cr)'!C147</f>
        <v>NUVAMA</v>
      </c>
      <c r="B156" s="75">
        <f>VLOOKUP($A156,'Data Vlaue (Cr)'!$C:$FB,2)</f>
        <v>75</v>
      </c>
      <c r="C156" s="75">
        <f>VLOOKUP($A156,'Data Vlaue (Cr)'!$C:$FB,8)</f>
        <v>7301.5</v>
      </c>
      <c r="D156" s="75">
        <f>VLOOKUP($A156,'Data Vlaue (Cr)'!$C:$FB,4)</f>
        <v>7331.5</v>
      </c>
      <c r="E156" s="75">
        <f>VLOOKUP($A156,'Data Vlaue (Cr)'!$C:$FB,5)</f>
        <v>7201.5</v>
      </c>
      <c r="F156" s="75">
        <f t="shared" si="12"/>
        <v>30</v>
      </c>
      <c r="G156" s="75">
        <f t="shared" si="13"/>
        <v>1.7731705653686147</v>
      </c>
      <c r="H156" s="75">
        <f>VLOOKUP($A156,'Data Vlaue (Cr)'!$C:$FB,99)</f>
        <v>812</v>
      </c>
      <c r="I156" s="75">
        <f>VLOOKUP($A156,'Data Vlaue (Cr)'!$C:$FB,100)</f>
        <v>647</v>
      </c>
      <c r="J156" s="75">
        <f t="shared" si="14"/>
        <v>165</v>
      </c>
      <c r="K156" s="75">
        <f t="shared" si="15"/>
        <v>20.320197044334975</v>
      </c>
      <c r="L156" s="75">
        <f>VLOOKUP($A156,'Data Vlaue (Cr)'!$C:$FB,67)</f>
        <v>3912</v>
      </c>
      <c r="M156" s="75">
        <f>VLOOKUP($A156,'Data Vlaue (Cr)'!$C:$FB,68)</f>
        <v>406</v>
      </c>
      <c r="N156" s="75">
        <f t="shared" si="16"/>
        <v>3506</v>
      </c>
      <c r="O156" s="75">
        <f t="shared" si="17"/>
        <v>89.621676891615536</v>
      </c>
      <c r="P156" s="75">
        <f>VLOOKUP($A156,'Data Vlaue (Cr)'!$C:$FB,119)</f>
        <v>0.52</v>
      </c>
      <c r="Q156" s="75">
        <f>VLOOKUP($A156,'Data Vlaue (Cr)'!$C:$FB,122)*100</f>
        <v>-16.13</v>
      </c>
      <c r="R156" s="75">
        <f>VLOOKUP($A156,'Data Vlaue (Cr)'!$C:$FB,125)</f>
        <v>0.31</v>
      </c>
      <c r="S156" s="75">
        <f>VLOOKUP($A156,'Data Vlaue (Cr)'!$C:$FB,128)*100</f>
        <v>-66.67</v>
      </c>
    </row>
    <row r="157" spans="1:19" x14ac:dyDescent="0.25">
      <c r="A157" s="96" t="str">
        <f>'Data Vlaue (Cr)'!C148</f>
        <v>NYKAA</v>
      </c>
      <c r="B157" s="75">
        <f>VLOOKUP($A157,'Data Vlaue (Cr)'!$C:$FB,2)</f>
        <v>3125</v>
      </c>
      <c r="C157" s="75">
        <f>VLOOKUP($A157,'Data Vlaue (Cr)'!$C:$FB,8)</f>
        <v>244.1</v>
      </c>
      <c r="D157" s="75">
        <f>VLOOKUP($A157,'Data Vlaue (Cr)'!$C:$FB,4)</f>
        <v>245.05</v>
      </c>
      <c r="E157" s="75">
        <f>VLOOKUP($A157,'Data Vlaue (Cr)'!$C:$FB,5)</f>
        <v>246.05</v>
      </c>
      <c r="F157" s="75">
        <f t="shared" si="12"/>
        <v>0.95000000000001705</v>
      </c>
      <c r="G157" s="75">
        <f t="shared" si="13"/>
        <v>-0.4080799836768006</v>
      </c>
      <c r="H157" s="75">
        <f>VLOOKUP($A157,'Data Vlaue (Cr)'!$C:$FB,99)</f>
        <v>2194</v>
      </c>
      <c r="I157" s="75">
        <f>VLOOKUP($A157,'Data Vlaue (Cr)'!$C:$FB,100)</f>
        <v>2159</v>
      </c>
      <c r="J157" s="75">
        <f t="shared" si="14"/>
        <v>35</v>
      </c>
      <c r="K157" s="75">
        <f t="shared" si="15"/>
        <v>1.5952597994530537</v>
      </c>
      <c r="L157" s="75">
        <f>VLOOKUP($A157,'Data Vlaue (Cr)'!$C:$FB,67)</f>
        <v>848</v>
      </c>
      <c r="M157" s="75">
        <f>VLOOKUP($A157,'Data Vlaue (Cr)'!$C:$FB,68)</f>
        <v>520</v>
      </c>
      <c r="N157" s="75">
        <f t="shared" si="16"/>
        <v>328</v>
      </c>
      <c r="O157" s="75">
        <f t="shared" si="17"/>
        <v>38.679245283018872</v>
      </c>
      <c r="P157" s="75">
        <f>VLOOKUP($A157,'Data Vlaue (Cr)'!$C:$FB,119)</f>
        <v>0.41</v>
      </c>
      <c r="Q157" s="75">
        <f>VLOOKUP($A157,'Data Vlaue (Cr)'!$C:$FB,122)*100</f>
        <v>0</v>
      </c>
      <c r="R157" s="75">
        <f>VLOOKUP($A157,'Data Vlaue (Cr)'!$C:$FB,125)</f>
        <v>0.45</v>
      </c>
      <c r="S157" s="75">
        <f>VLOOKUP($A157,'Data Vlaue (Cr)'!$C:$FB,128)*100</f>
        <v>-4.26</v>
      </c>
    </row>
    <row r="158" spans="1:19" x14ac:dyDescent="0.25">
      <c r="A158" s="96" t="str">
        <f>'Data Vlaue (Cr)'!C149</f>
        <v>OBEROIRLTY</v>
      </c>
      <c r="B158" s="75">
        <f>VLOOKUP($A158,'Data Vlaue (Cr)'!$C:$FB,2)</f>
        <v>350</v>
      </c>
      <c r="C158" s="75">
        <f>VLOOKUP($A158,'Data Vlaue (Cr)'!$C:$FB,8)</f>
        <v>1658.2</v>
      </c>
      <c r="D158" s="75">
        <f>VLOOKUP($A158,'Data Vlaue (Cr)'!$C:$FB,4)</f>
        <v>1653.8</v>
      </c>
      <c r="E158" s="75">
        <f>VLOOKUP($A158,'Data Vlaue (Cr)'!$C:$FB,5)</f>
        <v>1609.6</v>
      </c>
      <c r="F158" s="75">
        <f t="shared" si="12"/>
        <v>-4.4000000000000909</v>
      </c>
      <c r="G158" s="75">
        <f t="shared" si="13"/>
        <v>2.6726327246341786</v>
      </c>
      <c r="H158" s="75">
        <f>VLOOKUP($A158,'Data Vlaue (Cr)'!$C:$FB,99)</f>
        <v>1339</v>
      </c>
      <c r="I158" s="75">
        <f>VLOOKUP($A158,'Data Vlaue (Cr)'!$C:$FB,100)</f>
        <v>1357</v>
      </c>
      <c r="J158" s="75">
        <f t="shared" si="14"/>
        <v>-18</v>
      </c>
      <c r="K158" s="75">
        <f t="shared" si="15"/>
        <v>-1.344286781179985</v>
      </c>
      <c r="L158" s="75">
        <f>VLOOKUP($A158,'Data Vlaue (Cr)'!$C:$FB,67)</f>
        <v>999</v>
      </c>
      <c r="M158" s="75">
        <f>VLOOKUP($A158,'Data Vlaue (Cr)'!$C:$FB,68)</f>
        <v>412</v>
      </c>
      <c r="N158" s="75">
        <f t="shared" si="16"/>
        <v>587</v>
      </c>
      <c r="O158" s="75">
        <f t="shared" si="17"/>
        <v>58.758758758758759</v>
      </c>
      <c r="P158" s="75">
        <f>VLOOKUP($A158,'Data Vlaue (Cr)'!$C:$FB,119)</f>
        <v>0.72</v>
      </c>
      <c r="Q158" s="75">
        <f>VLOOKUP($A158,'Data Vlaue (Cr)'!$C:$FB,122)*100</f>
        <v>16.13</v>
      </c>
      <c r="R158" s="75">
        <f>VLOOKUP($A158,'Data Vlaue (Cr)'!$C:$FB,125)</f>
        <v>0.57999999999999996</v>
      </c>
      <c r="S158" s="75">
        <f>VLOOKUP($A158,'Data Vlaue (Cr)'!$C:$FB,128)*100</f>
        <v>-18.310000000000002</v>
      </c>
    </row>
    <row r="159" spans="1:19" x14ac:dyDescent="0.25">
      <c r="A159" s="96" t="str">
        <f>'Data Vlaue (Cr)'!C150</f>
        <v>OFSS</v>
      </c>
      <c r="B159" s="75">
        <f>VLOOKUP($A159,'Data Vlaue (Cr)'!$C:$FB,2)</f>
        <v>75</v>
      </c>
      <c r="C159" s="75">
        <f>VLOOKUP($A159,'Data Vlaue (Cr)'!$C:$FB,8)</f>
        <v>7662.5</v>
      </c>
      <c r="D159" s="75">
        <f>VLOOKUP($A159,'Data Vlaue (Cr)'!$C:$FB,4)</f>
        <v>7684.5</v>
      </c>
      <c r="E159" s="75">
        <f>VLOOKUP($A159,'Data Vlaue (Cr)'!$C:$FB,5)</f>
        <v>7727.5</v>
      </c>
      <c r="F159" s="75">
        <f t="shared" si="12"/>
        <v>22</v>
      </c>
      <c r="G159" s="75">
        <f t="shared" si="13"/>
        <v>-0.55956796148090315</v>
      </c>
      <c r="H159" s="75">
        <f>VLOOKUP($A159,'Data Vlaue (Cr)'!$C:$FB,99)</f>
        <v>2178</v>
      </c>
      <c r="I159" s="75">
        <f>VLOOKUP($A159,'Data Vlaue (Cr)'!$C:$FB,100)</f>
        <v>2116</v>
      </c>
      <c r="J159" s="75">
        <f t="shared" si="14"/>
        <v>62</v>
      </c>
      <c r="K159" s="75">
        <f t="shared" si="15"/>
        <v>2.8466483011937558</v>
      </c>
      <c r="L159" s="75">
        <f>VLOOKUP($A159,'Data Vlaue (Cr)'!$C:$FB,67)</f>
        <v>1610</v>
      </c>
      <c r="M159" s="75">
        <f>VLOOKUP($A159,'Data Vlaue (Cr)'!$C:$FB,68)</f>
        <v>1074</v>
      </c>
      <c r="N159" s="75">
        <f t="shared" si="16"/>
        <v>536</v>
      </c>
      <c r="O159" s="75">
        <f t="shared" si="17"/>
        <v>33.29192546583851</v>
      </c>
      <c r="P159" s="75">
        <f>VLOOKUP($A159,'Data Vlaue (Cr)'!$C:$FB,119)</f>
        <v>0.56000000000000005</v>
      </c>
      <c r="Q159" s="75">
        <f>VLOOKUP($A159,'Data Vlaue (Cr)'!$C:$FB,122)*100</f>
        <v>-12.5</v>
      </c>
      <c r="R159" s="75">
        <f>VLOOKUP($A159,'Data Vlaue (Cr)'!$C:$FB,125)</f>
        <v>0.77</v>
      </c>
      <c r="S159" s="75">
        <f>VLOOKUP($A159,'Data Vlaue (Cr)'!$C:$FB,128)*100</f>
        <v>37.5</v>
      </c>
    </row>
    <row r="160" spans="1:19" x14ac:dyDescent="0.25">
      <c r="A160" s="96" t="str">
        <f>'Data Vlaue (Cr)'!C151</f>
        <v>OIL</v>
      </c>
      <c r="B160" s="75">
        <f>VLOOKUP($A160,'Data Vlaue (Cr)'!$C:$FB,2)</f>
        <v>1400</v>
      </c>
      <c r="C160" s="75">
        <f>VLOOKUP($A160,'Data Vlaue (Cr)'!$C:$FB,8)</f>
        <v>399.85</v>
      </c>
      <c r="D160" s="75">
        <f>VLOOKUP($A160,'Data Vlaue (Cr)'!$C:$FB,4)</f>
        <v>401.4</v>
      </c>
      <c r="E160" s="75">
        <f>VLOOKUP($A160,'Data Vlaue (Cr)'!$C:$FB,5)</f>
        <v>398.25</v>
      </c>
      <c r="F160" s="75">
        <f t="shared" si="12"/>
        <v>1.5499999999999545</v>
      </c>
      <c r="G160" s="75">
        <f t="shared" si="13"/>
        <v>0.78475336322869405</v>
      </c>
      <c r="H160" s="75">
        <f>VLOOKUP($A160,'Data Vlaue (Cr)'!$C:$FB,99)</f>
        <v>885</v>
      </c>
      <c r="I160" s="75">
        <f>VLOOKUP($A160,'Data Vlaue (Cr)'!$C:$FB,100)</f>
        <v>895</v>
      </c>
      <c r="J160" s="75">
        <f t="shared" si="14"/>
        <v>-10</v>
      </c>
      <c r="K160" s="75">
        <f t="shared" si="15"/>
        <v>-1.1299435028248588</v>
      </c>
      <c r="L160" s="75">
        <f>VLOOKUP($A160,'Data Vlaue (Cr)'!$C:$FB,67)</f>
        <v>220</v>
      </c>
      <c r="M160" s="75">
        <f>VLOOKUP($A160,'Data Vlaue (Cr)'!$C:$FB,68)</f>
        <v>250</v>
      </c>
      <c r="N160" s="75">
        <f t="shared" si="16"/>
        <v>-30</v>
      </c>
      <c r="O160" s="75">
        <f t="shared" si="17"/>
        <v>-13.636363636363635</v>
      </c>
      <c r="P160" s="75">
        <f>VLOOKUP($A160,'Data Vlaue (Cr)'!$C:$FB,119)</f>
        <v>0.55000000000000004</v>
      </c>
      <c r="Q160" s="75">
        <f>VLOOKUP($A160,'Data Vlaue (Cr)'!$C:$FB,122)*100</f>
        <v>3.7699999999999996</v>
      </c>
      <c r="R160" s="75">
        <f>VLOOKUP($A160,'Data Vlaue (Cr)'!$C:$FB,125)</f>
        <v>0.31</v>
      </c>
      <c r="S160" s="75">
        <f>VLOOKUP($A160,'Data Vlaue (Cr)'!$C:$FB,128)*100</f>
        <v>-8.82</v>
      </c>
    </row>
    <row r="161" spans="1:19" x14ac:dyDescent="0.25">
      <c r="A161" s="96" t="str">
        <f>'Data Vlaue (Cr)'!C152</f>
        <v>ONGC</v>
      </c>
      <c r="B161" s="75">
        <f>VLOOKUP($A161,'Data Vlaue (Cr)'!$C:$FB,2)</f>
        <v>2250</v>
      </c>
      <c r="C161" s="75">
        <f>VLOOKUP($A161,'Data Vlaue (Cr)'!$C:$FB,8)</f>
        <v>232</v>
      </c>
      <c r="D161" s="75">
        <f>VLOOKUP($A161,'Data Vlaue (Cr)'!$C:$FB,4)</f>
        <v>232.2</v>
      </c>
      <c r="E161" s="75">
        <f>VLOOKUP($A161,'Data Vlaue (Cr)'!$C:$FB,5)</f>
        <v>233.14</v>
      </c>
      <c r="F161" s="75">
        <f t="shared" si="12"/>
        <v>0.19999999999998863</v>
      </c>
      <c r="G161" s="75">
        <f t="shared" si="13"/>
        <v>-0.40482342807924104</v>
      </c>
      <c r="H161" s="75">
        <f>VLOOKUP($A161,'Data Vlaue (Cr)'!$C:$FB,99)</f>
        <v>4444</v>
      </c>
      <c r="I161" s="75">
        <f>VLOOKUP($A161,'Data Vlaue (Cr)'!$C:$FB,100)</f>
        <v>4439</v>
      </c>
      <c r="J161" s="75">
        <f t="shared" si="14"/>
        <v>5</v>
      </c>
      <c r="K161" s="75">
        <f t="shared" si="15"/>
        <v>0.11251125112511251</v>
      </c>
      <c r="L161" s="75">
        <f>VLOOKUP($A161,'Data Vlaue (Cr)'!$C:$FB,67)</f>
        <v>1273</v>
      </c>
      <c r="M161" s="75">
        <f>VLOOKUP($A161,'Data Vlaue (Cr)'!$C:$FB,68)</f>
        <v>1600</v>
      </c>
      <c r="N161" s="75">
        <f t="shared" si="16"/>
        <v>-327</v>
      </c>
      <c r="O161" s="75">
        <f t="shared" si="17"/>
        <v>-25.687352710133542</v>
      </c>
      <c r="P161" s="75">
        <f>VLOOKUP($A161,'Data Vlaue (Cr)'!$C:$FB,119)</f>
        <v>0.41</v>
      </c>
      <c r="Q161" s="75">
        <f>VLOOKUP($A161,'Data Vlaue (Cr)'!$C:$FB,122)*100</f>
        <v>0</v>
      </c>
      <c r="R161" s="75">
        <f>VLOOKUP($A161,'Data Vlaue (Cr)'!$C:$FB,125)</f>
        <v>0.49</v>
      </c>
      <c r="S161" s="75">
        <f>VLOOKUP($A161,'Data Vlaue (Cr)'!$C:$FB,128)*100</f>
        <v>-26.87</v>
      </c>
    </row>
    <row r="162" spans="1:19" x14ac:dyDescent="0.25">
      <c r="A162" s="96" t="str">
        <f>'Data Vlaue (Cr)'!C153</f>
        <v>PAGEIND</v>
      </c>
      <c r="B162" s="75">
        <f>VLOOKUP($A162,'Data Vlaue (Cr)'!$C:$FB,2)</f>
        <v>15</v>
      </c>
      <c r="C162" s="75">
        <f>VLOOKUP($A162,'Data Vlaue (Cr)'!$C:$FB,8)</f>
        <v>35695</v>
      </c>
      <c r="D162" s="75">
        <f>VLOOKUP($A162,'Data Vlaue (Cr)'!$C:$FB,4)</f>
        <v>35840</v>
      </c>
      <c r="E162" s="75">
        <f>VLOOKUP($A162,'Data Vlaue (Cr)'!$C:$FB,5)</f>
        <v>36085</v>
      </c>
      <c r="F162" s="75">
        <f t="shared" si="12"/>
        <v>145</v>
      </c>
      <c r="G162" s="75">
        <f t="shared" si="13"/>
        <v>-0.68359375</v>
      </c>
      <c r="H162" s="75">
        <f>VLOOKUP($A162,'Data Vlaue (Cr)'!$C:$FB,99)</f>
        <v>1651</v>
      </c>
      <c r="I162" s="75">
        <f>VLOOKUP($A162,'Data Vlaue (Cr)'!$C:$FB,100)</f>
        <v>1632</v>
      </c>
      <c r="J162" s="75">
        <f t="shared" si="14"/>
        <v>19</v>
      </c>
      <c r="K162" s="75">
        <f t="shared" si="15"/>
        <v>1.1508176862507571</v>
      </c>
      <c r="L162" s="75">
        <f>VLOOKUP($A162,'Data Vlaue (Cr)'!$C:$FB,67)</f>
        <v>1078</v>
      </c>
      <c r="M162" s="75">
        <f>VLOOKUP($A162,'Data Vlaue (Cr)'!$C:$FB,68)</f>
        <v>775</v>
      </c>
      <c r="N162" s="75">
        <f t="shared" si="16"/>
        <v>303</v>
      </c>
      <c r="O162" s="75">
        <f t="shared" si="17"/>
        <v>28.107606679035253</v>
      </c>
      <c r="P162" s="75">
        <f>VLOOKUP($A162,'Data Vlaue (Cr)'!$C:$FB,119)</f>
        <v>0.42</v>
      </c>
      <c r="Q162" s="75">
        <f>VLOOKUP($A162,'Data Vlaue (Cr)'!$C:$FB,122)*100</f>
        <v>2.44</v>
      </c>
      <c r="R162" s="75">
        <f>VLOOKUP($A162,'Data Vlaue (Cr)'!$C:$FB,125)</f>
        <v>0.97</v>
      </c>
      <c r="S162" s="75">
        <f>VLOOKUP($A162,'Data Vlaue (Cr)'!$C:$FB,128)*100</f>
        <v>304.17</v>
      </c>
    </row>
    <row r="163" spans="1:19" x14ac:dyDescent="0.25">
      <c r="A163" s="96" t="str">
        <f>'Data Vlaue (Cr)'!C154</f>
        <v>PATANJALI</v>
      </c>
      <c r="B163" s="75">
        <f>VLOOKUP($A163,'Data Vlaue (Cr)'!$C:$FB,2)</f>
        <v>900</v>
      </c>
      <c r="C163" s="75">
        <f>VLOOKUP($A163,'Data Vlaue (Cr)'!$C:$FB,8)</f>
        <v>550.29999999999995</v>
      </c>
      <c r="D163" s="75">
        <f>VLOOKUP($A163,'Data Vlaue (Cr)'!$C:$FB,4)</f>
        <v>552.15</v>
      </c>
      <c r="E163" s="75">
        <f>VLOOKUP($A163,'Data Vlaue (Cr)'!$C:$FB,5)</f>
        <v>544.6</v>
      </c>
      <c r="F163" s="75">
        <f t="shared" si="12"/>
        <v>1.8500000000000227</v>
      </c>
      <c r="G163" s="75">
        <f t="shared" si="13"/>
        <v>1.3673820519786208</v>
      </c>
      <c r="H163" s="75">
        <f>VLOOKUP($A163,'Data Vlaue (Cr)'!$C:$FB,99)</f>
        <v>2755</v>
      </c>
      <c r="I163" s="75">
        <f>VLOOKUP($A163,'Data Vlaue (Cr)'!$C:$FB,100)</f>
        <v>2708</v>
      </c>
      <c r="J163" s="75">
        <f t="shared" si="14"/>
        <v>47</v>
      </c>
      <c r="K163" s="75">
        <f t="shared" si="15"/>
        <v>1.7059891107078042</v>
      </c>
      <c r="L163" s="75">
        <f>VLOOKUP($A163,'Data Vlaue (Cr)'!$C:$FB,67)</f>
        <v>2203</v>
      </c>
      <c r="M163" s="75">
        <f>VLOOKUP($A163,'Data Vlaue (Cr)'!$C:$FB,68)</f>
        <v>1352</v>
      </c>
      <c r="N163" s="75">
        <f t="shared" si="16"/>
        <v>851</v>
      </c>
      <c r="O163" s="75">
        <f t="shared" si="17"/>
        <v>38.6291420789832</v>
      </c>
      <c r="P163" s="75">
        <f>VLOOKUP($A163,'Data Vlaue (Cr)'!$C:$FB,119)</f>
        <v>0.56000000000000005</v>
      </c>
      <c r="Q163" s="75">
        <f>VLOOKUP($A163,'Data Vlaue (Cr)'!$C:$FB,122)*100</f>
        <v>16.669999999999998</v>
      </c>
      <c r="R163" s="75">
        <f>VLOOKUP($A163,'Data Vlaue (Cr)'!$C:$FB,125)</f>
        <v>0.46</v>
      </c>
      <c r="S163" s="75">
        <f>VLOOKUP($A163,'Data Vlaue (Cr)'!$C:$FB,128)*100</f>
        <v>43.75</v>
      </c>
    </row>
    <row r="164" spans="1:19" x14ac:dyDescent="0.25">
      <c r="A164" s="96" t="str">
        <f>'Data Vlaue (Cr)'!C155</f>
        <v>PAYTM</v>
      </c>
      <c r="B164" s="75">
        <f>VLOOKUP($A164,'Data Vlaue (Cr)'!$C:$FB,2)</f>
        <v>725</v>
      </c>
      <c r="C164" s="75">
        <f>VLOOKUP($A164,'Data Vlaue (Cr)'!$C:$FB,8)</f>
        <v>1286.0999999999999</v>
      </c>
      <c r="D164" s="75">
        <f>VLOOKUP($A164,'Data Vlaue (Cr)'!$C:$FB,4)</f>
        <v>1290.5</v>
      </c>
      <c r="E164" s="75">
        <f>VLOOKUP($A164,'Data Vlaue (Cr)'!$C:$FB,5)</f>
        <v>1272.7</v>
      </c>
      <c r="F164" s="75">
        <f t="shared" si="12"/>
        <v>4.4000000000000909</v>
      </c>
      <c r="G164" s="75">
        <f t="shared" si="13"/>
        <v>1.3793103448275827</v>
      </c>
      <c r="H164" s="75">
        <f>VLOOKUP($A164,'Data Vlaue (Cr)'!$C:$FB,99)</f>
        <v>4615</v>
      </c>
      <c r="I164" s="75">
        <f>VLOOKUP($A164,'Data Vlaue (Cr)'!$C:$FB,100)</f>
        <v>4591</v>
      </c>
      <c r="J164" s="75">
        <f t="shared" si="14"/>
        <v>24</v>
      </c>
      <c r="K164" s="75">
        <f t="shared" si="15"/>
        <v>0.52004333694474547</v>
      </c>
      <c r="L164" s="75">
        <f>VLOOKUP($A164,'Data Vlaue (Cr)'!$C:$FB,67)</f>
        <v>3594</v>
      </c>
      <c r="M164" s="75">
        <f>VLOOKUP($A164,'Data Vlaue (Cr)'!$C:$FB,68)</f>
        <v>2009</v>
      </c>
      <c r="N164" s="75">
        <f t="shared" si="16"/>
        <v>1585</v>
      </c>
      <c r="O164" s="75">
        <f t="shared" si="17"/>
        <v>44.101279910962717</v>
      </c>
      <c r="P164" s="75">
        <f>VLOOKUP($A164,'Data Vlaue (Cr)'!$C:$FB,119)</f>
        <v>0.56999999999999995</v>
      </c>
      <c r="Q164" s="75">
        <f>VLOOKUP($A164,'Data Vlaue (Cr)'!$C:$FB,122)*100</f>
        <v>5.56</v>
      </c>
      <c r="R164" s="75">
        <f>VLOOKUP($A164,'Data Vlaue (Cr)'!$C:$FB,125)</f>
        <v>0.45</v>
      </c>
      <c r="S164" s="75">
        <f>VLOOKUP($A164,'Data Vlaue (Cr)'!$C:$FB,128)*100</f>
        <v>2.27</v>
      </c>
    </row>
    <row r="165" spans="1:19" x14ac:dyDescent="0.25">
      <c r="A165" s="96" t="str">
        <f>'Data Vlaue (Cr)'!C156</f>
        <v>PERSISTENT</v>
      </c>
      <c r="B165" s="75">
        <f>VLOOKUP($A165,'Data Vlaue (Cr)'!$C:$FB,2)</f>
        <v>100</v>
      </c>
      <c r="C165" s="75">
        <f>VLOOKUP($A165,'Data Vlaue (Cr)'!$C:$FB,8)</f>
        <v>6318.5</v>
      </c>
      <c r="D165" s="75">
        <f>VLOOKUP($A165,'Data Vlaue (Cr)'!$C:$FB,4)</f>
        <v>6338</v>
      </c>
      <c r="E165" s="75">
        <f>VLOOKUP($A165,'Data Vlaue (Cr)'!$C:$FB,5)</f>
        <v>6289</v>
      </c>
      <c r="F165" s="75">
        <f t="shared" si="12"/>
        <v>19.5</v>
      </c>
      <c r="G165" s="75">
        <f t="shared" si="13"/>
        <v>0.77311454717576522</v>
      </c>
      <c r="H165" s="75">
        <f>VLOOKUP($A165,'Data Vlaue (Cr)'!$C:$FB,99)</f>
        <v>2582</v>
      </c>
      <c r="I165" s="75">
        <f>VLOOKUP($A165,'Data Vlaue (Cr)'!$C:$FB,100)</f>
        <v>2569</v>
      </c>
      <c r="J165" s="75">
        <f t="shared" si="14"/>
        <v>13</v>
      </c>
      <c r="K165" s="75">
        <f t="shared" si="15"/>
        <v>0.50348567002323785</v>
      </c>
      <c r="L165" s="75">
        <f>VLOOKUP($A165,'Data Vlaue (Cr)'!$C:$FB,67)</f>
        <v>1804</v>
      </c>
      <c r="M165" s="75">
        <f>VLOOKUP($A165,'Data Vlaue (Cr)'!$C:$FB,68)</f>
        <v>1469</v>
      </c>
      <c r="N165" s="75">
        <f t="shared" si="16"/>
        <v>335</v>
      </c>
      <c r="O165" s="75">
        <f t="shared" si="17"/>
        <v>18.569844789356985</v>
      </c>
      <c r="P165" s="75">
        <f>VLOOKUP($A165,'Data Vlaue (Cr)'!$C:$FB,119)</f>
        <v>0.62</v>
      </c>
      <c r="Q165" s="75">
        <f>VLOOKUP($A165,'Data Vlaue (Cr)'!$C:$FB,122)*100</f>
        <v>6.9</v>
      </c>
      <c r="R165" s="75">
        <f>VLOOKUP($A165,'Data Vlaue (Cr)'!$C:$FB,125)</f>
        <v>0.47</v>
      </c>
      <c r="S165" s="75">
        <f>VLOOKUP($A165,'Data Vlaue (Cr)'!$C:$FB,128)*100</f>
        <v>0</v>
      </c>
    </row>
    <row r="166" spans="1:19" x14ac:dyDescent="0.25">
      <c r="A166" s="96" t="str">
        <f>'Data Vlaue (Cr)'!C157</f>
        <v>PETRONET</v>
      </c>
      <c r="B166" s="75">
        <f>VLOOKUP($A166,'Data Vlaue (Cr)'!$C:$FB,2)</f>
        <v>1800</v>
      </c>
      <c r="C166" s="75">
        <f>VLOOKUP($A166,'Data Vlaue (Cr)'!$C:$FB,8)</f>
        <v>268.8</v>
      </c>
      <c r="D166" s="75">
        <f>VLOOKUP($A166,'Data Vlaue (Cr)'!$C:$FB,4)</f>
        <v>269.60000000000002</v>
      </c>
      <c r="E166" s="75">
        <f>VLOOKUP($A166,'Data Vlaue (Cr)'!$C:$FB,5)</f>
        <v>269.45</v>
      </c>
      <c r="F166" s="75">
        <f t="shared" si="12"/>
        <v>0.80000000000001137</v>
      </c>
      <c r="G166" s="75">
        <f t="shared" si="13"/>
        <v>5.5637982195858339E-2</v>
      </c>
      <c r="H166" s="75">
        <f>VLOOKUP($A166,'Data Vlaue (Cr)'!$C:$FB,99)</f>
        <v>2215</v>
      </c>
      <c r="I166" s="75">
        <f>VLOOKUP($A166,'Data Vlaue (Cr)'!$C:$FB,100)</f>
        <v>2209</v>
      </c>
      <c r="J166" s="75">
        <f t="shared" si="14"/>
        <v>6</v>
      </c>
      <c r="K166" s="75">
        <f t="shared" si="15"/>
        <v>0.27088036117381487</v>
      </c>
      <c r="L166" s="75">
        <f>VLOOKUP($A166,'Data Vlaue (Cr)'!$C:$FB,67)</f>
        <v>315</v>
      </c>
      <c r="M166" s="75">
        <f>VLOOKUP($A166,'Data Vlaue (Cr)'!$C:$FB,68)</f>
        <v>352</v>
      </c>
      <c r="N166" s="75">
        <f t="shared" si="16"/>
        <v>-37</v>
      </c>
      <c r="O166" s="75">
        <f t="shared" si="17"/>
        <v>-11.746031746031745</v>
      </c>
      <c r="P166" s="75">
        <f>VLOOKUP($A166,'Data Vlaue (Cr)'!$C:$FB,119)</f>
        <v>1.02</v>
      </c>
      <c r="Q166" s="75">
        <f>VLOOKUP($A166,'Data Vlaue (Cr)'!$C:$FB,122)*100</f>
        <v>0.9900000000000001</v>
      </c>
      <c r="R166" s="75">
        <f>VLOOKUP($A166,'Data Vlaue (Cr)'!$C:$FB,125)</f>
        <v>0.52</v>
      </c>
      <c r="S166" s="75">
        <f>VLOOKUP($A166,'Data Vlaue (Cr)'!$C:$FB,128)*100</f>
        <v>-25.71</v>
      </c>
    </row>
    <row r="167" spans="1:19" x14ac:dyDescent="0.25">
      <c r="A167" s="96" t="str">
        <f>'Data Vlaue (Cr)'!C158</f>
        <v>PFC</v>
      </c>
      <c r="B167" s="75">
        <f>VLOOKUP($A167,'Data Vlaue (Cr)'!$C:$FB,2)</f>
        <v>1300</v>
      </c>
      <c r="C167" s="75">
        <f>VLOOKUP($A167,'Data Vlaue (Cr)'!$C:$FB,8)</f>
        <v>335.05</v>
      </c>
      <c r="D167" s="75">
        <f>VLOOKUP($A167,'Data Vlaue (Cr)'!$C:$FB,4)</f>
        <v>336.1</v>
      </c>
      <c r="E167" s="75">
        <f>VLOOKUP($A167,'Data Vlaue (Cr)'!$C:$FB,5)</f>
        <v>336.75</v>
      </c>
      <c r="F167" s="75">
        <f t="shared" si="12"/>
        <v>1.0500000000000114</v>
      </c>
      <c r="G167" s="75">
        <f t="shared" si="13"/>
        <v>-0.1933948229693476</v>
      </c>
      <c r="H167" s="75">
        <f>VLOOKUP($A167,'Data Vlaue (Cr)'!$C:$FB,99)</f>
        <v>5660</v>
      </c>
      <c r="I167" s="75">
        <f>VLOOKUP($A167,'Data Vlaue (Cr)'!$C:$FB,100)</f>
        <v>5578</v>
      </c>
      <c r="J167" s="75">
        <f t="shared" si="14"/>
        <v>82</v>
      </c>
      <c r="K167" s="75">
        <f t="shared" si="15"/>
        <v>1.4487632508833921</v>
      </c>
      <c r="L167" s="75">
        <f>VLOOKUP($A167,'Data Vlaue (Cr)'!$C:$FB,67)</f>
        <v>2329</v>
      </c>
      <c r="M167" s="75">
        <f>VLOOKUP($A167,'Data Vlaue (Cr)'!$C:$FB,68)</f>
        <v>1396</v>
      </c>
      <c r="N167" s="75">
        <f t="shared" si="16"/>
        <v>933</v>
      </c>
      <c r="O167" s="75">
        <f t="shared" si="17"/>
        <v>40.060111635895232</v>
      </c>
      <c r="P167" s="75">
        <f>VLOOKUP($A167,'Data Vlaue (Cr)'!$C:$FB,119)</f>
        <v>0.61</v>
      </c>
      <c r="Q167" s="75">
        <f>VLOOKUP($A167,'Data Vlaue (Cr)'!$C:$FB,122)*100</f>
        <v>3.39</v>
      </c>
      <c r="R167" s="75">
        <f>VLOOKUP($A167,'Data Vlaue (Cr)'!$C:$FB,125)</f>
        <v>0.41</v>
      </c>
      <c r="S167" s="75">
        <f>VLOOKUP($A167,'Data Vlaue (Cr)'!$C:$FB,128)*100</f>
        <v>7.89</v>
      </c>
    </row>
    <row r="168" spans="1:19" x14ac:dyDescent="0.25">
      <c r="A168" s="96" t="str">
        <f>'Data Vlaue (Cr)'!C159</f>
        <v>PGEL</v>
      </c>
      <c r="B168" s="75">
        <f>VLOOKUP($A168,'Data Vlaue (Cr)'!$C:$FB,2)</f>
        <v>700</v>
      </c>
      <c r="C168" s="75">
        <f>VLOOKUP($A168,'Data Vlaue (Cr)'!$C:$FB,8)</f>
        <v>566.35</v>
      </c>
      <c r="D168" s="75">
        <f>VLOOKUP($A168,'Data Vlaue (Cr)'!$C:$FB,4)</f>
        <v>566.29999999999995</v>
      </c>
      <c r="E168" s="75">
        <f>VLOOKUP($A168,'Data Vlaue (Cr)'!$C:$FB,5)</f>
        <v>563.65</v>
      </c>
      <c r="F168" s="75">
        <f t="shared" si="12"/>
        <v>-5.0000000000068212E-2</v>
      </c>
      <c r="G168" s="75">
        <f t="shared" si="13"/>
        <v>0.46794984990287436</v>
      </c>
      <c r="H168" s="75">
        <f>VLOOKUP($A168,'Data Vlaue (Cr)'!$C:$FB,99)</f>
        <v>1373</v>
      </c>
      <c r="I168" s="75">
        <f>VLOOKUP($A168,'Data Vlaue (Cr)'!$C:$FB,100)</f>
        <v>1391</v>
      </c>
      <c r="J168" s="75">
        <f t="shared" si="14"/>
        <v>-18</v>
      </c>
      <c r="K168" s="75">
        <f t="shared" si="15"/>
        <v>-1.3109978150036417</v>
      </c>
      <c r="L168" s="75">
        <f>VLOOKUP($A168,'Data Vlaue (Cr)'!$C:$FB,67)</f>
        <v>600</v>
      </c>
      <c r="M168" s="75">
        <f>VLOOKUP($A168,'Data Vlaue (Cr)'!$C:$FB,68)</f>
        <v>678</v>
      </c>
      <c r="N168" s="75">
        <f t="shared" si="16"/>
        <v>-78</v>
      </c>
      <c r="O168" s="75">
        <f t="shared" si="17"/>
        <v>-13</v>
      </c>
      <c r="P168" s="75">
        <f>VLOOKUP($A168,'Data Vlaue (Cr)'!$C:$FB,119)</f>
        <v>0.66</v>
      </c>
      <c r="Q168" s="75">
        <f>VLOOKUP($A168,'Data Vlaue (Cr)'!$C:$FB,122)*100</f>
        <v>4.7600000000000007</v>
      </c>
      <c r="R168" s="75">
        <f>VLOOKUP($A168,'Data Vlaue (Cr)'!$C:$FB,125)</f>
        <v>0.36</v>
      </c>
      <c r="S168" s="75">
        <f>VLOOKUP($A168,'Data Vlaue (Cr)'!$C:$FB,128)*100</f>
        <v>-12.2</v>
      </c>
    </row>
    <row r="169" spans="1:19" x14ac:dyDescent="0.25">
      <c r="A169" s="96" t="str">
        <f>'Data Vlaue (Cr)'!C160</f>
        <v>PHOENIXLTD</v>
      </c>
      <c r="B169" s="75">
        <f>VLOOKUP($A169,'Data Vlaue (Cr)'!$C:$FB,2)</f>
        <v>350</v>
      </c>
      <c r="C169" s="75">
        <f>VLOOKUP($A169,'Data Vlaue (Cr)'!$C:$FB,8)</f>
        <v>1798</v>
      </c>
      <c r="D169" s="75">
        <f>VLOOKUP($A169,'Data Vlaue (Cr)'!$C:$FB,4)</f>
        <v>1802.6</v>
      </c>
      <c r="E169" s="75">
        <f>VLOOKUP($A169,'Data Vlaue (Cr)'!$C:$FB,5)</f>
        <v>1782.5</v>
      </c>
      <c r="F169" s="75">
        <f t="shared" si="12"/>
        <v>4.5999999999999091</v>
      </c>
      <c r="G169" s="75">
        <f t="shared" si="13"/>
        <v>1.1150560301786259</v>
      </c>
      <c r="H169" s="75">
        <f>VLOOKUP($A169,'Data Vlaue (Cr)'!$C:$FB,99)</f>
        <v>964</v>
      </c>
      <c r="I169" s="75">
        <f>VLOOKUP($A169,'Data Vlaue (Cr)'!$C:$FB,100)</f>
        <v>965</v>
      </c>
      <c r="J169" s="75">
        <f t="shared" si="14"/>
        <v>-1</v>
      </c>
      <c r="K169" s="75">
        <f t="shared" si="15"/>
        <v>-0.1037344398340249</v>
      </c>
      <c r="L169" s="75">
        <f>VLOOKUP($A169,'Data Vlaue (Cr)'!$C:$FB,67)</f>
        <v>292</v>
      </c>
      <c r="M169" s="75">
        <f>VLOOKUP($A169,'Data Vlaue (Cr)'!$C:$FB,68)</f>
        <v>223</v>
      </c>
      <c r="N169" s="75">
        <f t="shared" si="16"/>
        <v>69</v>
      </c>
      <c r="O169" s="75">
        <f t="shared" si="17"/>
        <v>23.63013698630137</v>
      </c>
      <c r="P169" s="75">
        <f>VLOOKUP($A169,'Data Vlaue (Cr)'!$C:$FB,119)</f>
        <v>0.53</v>
      </c>
      <c r="Q169" s="75">
        <f>VLOOKUP($A169,'Data Vlaue (Cr)'!$C:$FB,122)*100</f>
        <v>3.92</v>
      </c>
      <c r="R169" s="75">
        <f>VLOOKUP($A169,'Data Vlaue (Cr)'!$C:$FB,125)</f>
        <v>0.37</v>
      </c>
      <c r="S169" s="75">
        <f>VLOOKUP($A169,'Data Vlaue (Cr)'!$C:$FB,128)*100</f>
        <v>-11.899999999999999</v>
      </c>
    </row>
    <row r="170" spans="1:19" x14ac:dyDescent="0.25">
      <c r="A170" s="96" t="str">
        <f>'Data Vlaue (Cr)'!C161</f>
        <v>PIDILITIND</v>
      </c>
      <c r="B170" s="75">
        <f>VLOOKUP($A170,'Data Vlaue (Cr)'!$C:$FB,2)</f>
        <v>500</v>
      </c>
      <c r="C170" s="75">
        <f>VLOOKUP($A170,'Data Vlaue (Cr)'!$C:$FB,8)</f>
        <v>1451.6</v>
      </c>
      <c r="D170" s="75">
        <f>VLOOKUP($A170,'Data Vlaue (Cr)'!$C:$FB,4)</f>
        <v>1455</v>
      </c>
      <c r="E170" s="75">
        <f>VLOOKUP($A170,'Data Vlaue (Cr)'!$C:$FB,5)</f>
        <v>1452.6</v>
      </c>
      <c r="F170" s="75">
        <f t="shared" si="12"/>
        <v>3.4000000000000909</v>
      </c>
      <c r="G170" s="75">
        <f t="shared" si="13"/>
        <v>0.16494845360825366</v>
      </c>
      <c r="H170" s="75">
        <f>VLOOKUP($A170,'Data Vlaue (Cr)'!$C:$FB,99)</f>
        <v>1437</v>
      </c>
      <c r="I170" s="75">
        <f>VLOOKUP($A170,'Data Vlaue (Cr)'!$C:$FB,100)</f>
        <v>1409</v>
      </c>
      <c r="J170" s="75">
        <f t="shared" si="14"/>
        <v>28</v>
      </c>
      <c r="K170" s="75">
        <f t="shared" si="15"/>
        <v>1.9485038274182327</v>
      </c>
      <c r="L170" s="75">
        <f>VLOOKUP($A170,'Data Vlaue (Cr)'!$C:$FB,67)</f>
        <v>308</v>
      </c>
      <c r="M170" s="75">
        <f>VLOOKUP($A170,'Data Vlaue (Cr)'!$C:$FB,68)</f>
        <v>518</v>
      </c>
      <c r="N170" s="75">
        <f t="shared" si="16"/>
        <v>-210</v>
      </c>
      <c r="O170" s="75">
        <f t="shared" si="17"/>
        <v>-68.181818181818173</v>
      </c>
      <c r="P170" s="75">
        <f>VLOOKUP($A170,'Data Vlaue (Cr)'!$C:$FB,119)</f>
        <v>0.72</v>
      </c>
      <c r="Q170" s="75">
        <f>VLOOKUP($A170,'Data Vlaue (Cr)'!$C:$FB,122)*100</f>
        <v>-2.7</v>
      </c>
      <c r="R170" s="75">
        <f>VLOOKUP($A170,'Data Vlaue (Cr)'!$C:$FB,125)</f>
        <v>0.5</v>
      </c>
      <c r="S170" s="75">
        <f>VLOOKUP($A170,'Data Vlaue (Cr)'!$C:$FB,128)*100</f>
        <v>-33.33</v>
      </c>
    </row>
    <row r="171" spans="1:19" x14ac:dyDescent="0.25">
      <c r="A171" s="96" t="str">
        <f>'Data Vlaue (Cr)'!C162</f>
        <v>PIIND</v>
      </c>
      <c r="B171" s="75">
        <f>VLOOKUP($A171,'Data Vlaue (Cr)'!$C:$FB,2)</f>
        <v>175</v>
      </c>
      <c r="C171" s="75">
        <f>VLOOKUP($A171,'Data Vlaue (Cr)'!$C:$FB,8)</f>
        <v>3213.8</v>
      </c>
      <c r="D171" s="75">
        <f>VLOOKUP($A171,'Data Vlaue (Cr)'!$C:$FB,4)</f>
        <v>3225.3</v>
      </c>
      <c r="E171" s="75">
        <f>VLOOKUP($A171,'Data Vlaue (Cr)'!$C:$FB,5)</f>
        <v>3216.6</v>
      </c>
      <c r="F171" s="75">
        <f t="shared" si="12"/>
        <v>11.5</v>
      </c>
      <c r="G171" s="75">
        <f t="shared" si="13"/>
        <v>0.26974234954888759</v>
      </c>
      <c r="H171" s="75">
        <f>VLOOKUP($A171,'Data Vlaue (Cr)'!$C:$FB,99)</f>
        <v>1436</v>
      </c>
      <c r="I171" s="75">
        <f>VLOOKUP($A171,'Data Vlaue (Cr)'!$C:$FB,100)</f>
        <v>1446</v>
      </c>
      <c r="J171" s="75">
        <f t="shared" si="14"/>
        <v>-10</v>
      </c>
      <c r="K171" s="75">
        <f t="shared" si="15"/>
        <v>-0.69637883008356549</v>
      </c>
      <c r="L171" s="75">
        <f>VLOOKUP($A171,'Data Vlaue (Cr)'!$C:$FB,67)</f>
        <v>445</v>
      </c>
      <c r="M171" s="75">
        <f>VLOOKUP($A171,'Data Vlaue (Cr)'!$C:$FB,68)</f>
        <v>574</v>
      </c>
      <c r="N171" s="75">
        <f t="shared" si="16"/>
        <v>-129</v>
      </c>
      <c r="O171" s="75">
        <f t="shared" si="17"/>
        <v>-28.988764044943821</v>
      </c>
      <c r="P171" s="75">
        <f>VLOOKUP($A171,'Data Vlaue (Cr)'!$C:$FB,119)</f>
        <v>0.69</v>
      </c>
      <c r="Q171" s="75">
        <f>VLOOKUP($A171,'Data Vlaue (Cr)'!$C:$FB,122)*100</f>
        <v>9.5200000000000014</v>
      </c>
      <c r="R171" s="75">
        <f>VLOOKUP($A171,'Data Vlaue (Cr)'!$C:$FB,125)</f>
        <v>0.78</v>
      </c>
      <c r="S171" s="75">
        <f>VLOOKUP($A171,'Data Vlaue (Cr)'!$C:$FB,128)*100</f>
        <v>18.18</v>
      </c>
    </row>
    <row r="172" spans="1:19" x14ac:dyDescent="0.25">
      <c r="A172" s="96" t="str">
        <f>'Data Vlaue (Cr)'!C163</f>
        <v>PNB</v>
      </c>
      <c r="B172" s="75">
        <f>VLOOKUP($A172,'Data Vlaue (Cr)'!$C:$FB,2)</f>
        <v>8000</v>
      </c>
      <c r="C172" s="75">
        <f>VLOOKUP($A172,'Data Vlaue (Cr)'!$C:$FB,8)</f>
        <v>118.9</v>
      </c>
      <c r="D172" s="75">
        <f>VLOOKUP($A172,'Data Vlaue (Cr)'!$C:$FB,4)</f>
        <v>119.06</v>
      </c>
      <c r="E172" s="75">
        <f>VLOOKUP($A172,'Data Vlaue (Cr)'!$C:$FB,5)</f>
        <v>119.75</v>
      </c>
      <c r="F172" s="75">
        <f t="shared" si="12"/>
        <v>0.15999999999999659</v>
      </c>
      <c r="G172" s="75">
        <f t="shared" si="13"/>
        <v>-0.57953972786829977</v>
      </c>
      <c r="H172" s="75">
        <f>VLOOKUP($A172,'Data Vlaue (Cr)'!$C:$FB,99)</f>
        <v>6352</v>
      </c>
      <c r="I172" s="75">
        <f>VLOOKUP($A172,'Data Vlaue (Cr)'!$C:$FB,100)</f>
        <v>6305</v>
      </c>
      <c r="J172" s="75">
        <f t="shared" si="14"/>
        <v>47</v>
      </c>
      <c r="K172" s="75">
        <f t="shared" si="15"/>
        <v>0.73992443324937029</v>
      </c>
      <c r="L172" s="75">
        <f>VLOOKUP($A172,'Data Vlaue (Cr)'!$C:$FB,67)</f>
        <v>2765</v>
      </c>
      <c r="M172" s="75">
        <f>VLOOKUP($A172,'Data Vlaue (Cr)'!$C:$FB,68)</f>
        <v>4017</v>
      </c>
      <c r="N172" s="75">
        <f t="shared" si="16"/>
        <v>-1252</v>
      </c>
      <c r="O172" s="75">
        <f t="shared" si="17"/>
        <v>-45.280289330922244</v>
      </c>
      <c r="P172" s="75">
        <f>VLOOKUP($A172,'Data Vlaue (Cr)'!$C:$FB,119)</f>
        <v>0.55000000000000004</v>
      </c>
      <c r="Q172" s="75">
        <f>VLOOKUP($A172,'Data Vlaue (Cr)'!$C:$FB,122)*100</f>
        <v>0</v>
      </c>
      <c r="R172" s="75">
        <f>VLOOKUP($A172,'Data Vlaue (Cr)'!$C:$FB,125)</f>
        <v>0.5</v>
      </c>
      <c r="S172" s="75">
        <f>VLOOKUP($A172,'Data Vlaue (Cr)'!$C:$FB,128)*100</f>
        <v>19.05</v>
      </c>
    </row>
    <row r="173" spans="1:19" x14ac:dyDescent="0.25">
      <c r="A173" s="96" t="str">
        <f>'Data Vlaue (Cr)'!C164</f>
        <v>PNBHOUSING</v>
      </c>
      <c r="B173" s="75">
        <f>VLOOKUP($A173,'Data Vlaue (Cr)'!$C:$FB,2)</f>
        <v>650</v>
      </c>
      <c r="C173" s="75">
        <f>VLOOKUP($A173,'Data Vlaue (Cr)'!$C:$FB,8)</f>
        <v>896.15</v>
      </c>
      <c r="D173" s="75">
        <f>VLOOKUP($A173,'Data Vlaue (Cr)'!$C:$FB,4)</f>
        <v>898.8</v>
      </c>
      <c r="E173" s="75">
        <f>VLOOKUP($A173,'Data Vlaue (Cr)'!$C:$FB,5)</f>
        <v>897.8</v>
      </c>
      <c r="F173" s="75">
        <f t="shared" si="12"/>
        <v>2.6499999999999773</v>
      </c>
      <c r="G173" s="75">
        <f t="shared" si="13"/>
        <v>0.11125945705384957</v>
      </c>
      <c r="H173" s="75">
        <f>VLOOKUP($A173,'Data Vlaue (Cr)'!$C:$FB,99)</f>
        <v>2596</v>
      </c>
      <c r="I173" s="75">
        <f>VLOOKUP($A173,'Data Vlaue (Cr)'!$C:$FB,100)</f>
        <v>2578</v>
      </c>
      <c r="J173" s="75">
        <f t="shared" si="14"/>
        <v>18</v>
      </c>
      <c r="K173" s="75">
        <f t="shared" si="15"/>
        <v>0.69337442218798151</v>
      </c>
      <c r="L173" s="75">
        <f>VLOOKUP($A173,'Data Vlaue (Cr)'!$C:$FB,67)</f>
        <v>1206</v>
      </c>
      <c r="M173" s="75">
        <f>VLOOKUP($A173,'Data Vlaue (Cr)'!$C:$FB,68)</f>
        <v>961</v>
      </c>
      <c r="N173" s="75">
        <f t="shared" si="16"/>
        <v>245</v>
      </c>
      <c r="O173" s="75">
        <f t="shared" si="17"/>
        <v>20.315091210613598</v>
      </c>
      <c r="P173" s="75">
        <f>VLOOKUP($A173,'Data Vlaue (Cr)'!$C:$FB,119)</f>
        <v>0.57999999999999996</v>
      </c>
      <c r="Q173" s="75">
        <f>VLOOKUP($A173,'Data Vlaue (Cr)'!$C:$FB,122)*100</f>
        <v>-6.45</v>
      </c>
      <c r="R173" s="75">
        <f>VLOOKUP($A173,'Data Vlaue (Cr)'!$C:$FB,125)</f>
        <v>0.53</v>
      </c>
      <c r="S173" s="75">
        <f>VLOOKUP($A173,'Data Vlaue (Cr)'!$C:$FB,128)*100</f>
        <v>8.16</v>
      </c>
    </row>
    <row r="174" spans="1:19" x14ac:dyDescent="0.25">
      <c r="A174" s="96" t="str">
        <f>'Data Vlaue (Cr)'!C165</f>
        <v>POLICYBZR</v>
      </c>
      <c r="B174" s="75">
        <f>VLOOKUP($A174,'Data Vlaue (Cr)'!$C:$FB,2)</f>
        <v>350</v>
      </c>
      <c r="C174" s="75">
        <f>VLOOKUP($A174,'Data Vlaue (Cr)'!$C:$FB,8)</f>
        <v>1834.4</v>
      </c>
      <c r="D174" s="75">
        <f>VLOOKUP($A174,'Data Vlaue (Cr)'!$C:$FB,4)</f>
        <v>1839.4</v>
      </c>
      <c r="E174" s="75">
        <f>VLOOKUP($A174,'Data Vlaue (Cr)'!$C:$FB,5)</f>
        <v>1770.4</v>
      </c>
      <c r="F174" s="75">
        <f t="shared" si="12"/>
        <v>5</v>
      </c>
      <c r="G174" s="75">
        <f t="shared" si="13"/>
        <v>3.7512232249646624</v>
      </c>
      <c r="H174" s="75">
        <f>VLOOKUP($A174,'Data Vlaue (Cr)'!$C:$FB,99)</f>
        <v>2196</v>
      </c>
      <c r="I174" s="75">
        <f>VLOOKUP($A174,'Data Vlaue (Cr)'!$C:$FB,100)</f>
        <v>2256</v>
      </c>
      <c r="J174" s="75">
        <f t="shared" si="14"/>
        <v>-60</v>
      </c>
      <c r="K174" s="75">
        <f t="shared" si="15"/>
        <v>-2.7322404371584699</v>
      </c>
      <c r="L174" s="75">
        <f>VLOOKUP($A174,'Data Vlaue (Cr)'!$C:$FB,67)</f>
        <v>2660</v>
      </c>
      <c r="M174" s="75">
        <f>VLOOKUP($A174,'Data Vlaue (Cr)'!$C:$FB,68)</f>
        <v>4451</v>
      </c>
      <c r="N174" s="75">
        <f t="shared" si="16"/>
        <v>-1791</v>
      </c>
      <c r="O174" s="75">
        <f t="shared" si="17"/>
        <v>-67.330827067669176</v>
      </c>
      <c r="P174" s="75">
        <f>VLOOKUP($A174,'Data Vlaue (Cr)'!$C:$FB,119)</f>
        <v>0.7</v>
      </c>
      <c r="Q174" s="75">
        <f>VLOOKUP($A174,'Data Vlaue (Cr)'!$C:$FB,122)*100</f>
        <v>12.9</v>
      </c>
      <c r="R174" s="75">
        <f>VLOOKUP($A174,'Data Vlaue (Cr)'!$C:$FB,125)</f>
        <v>0.6</v>
      </c>
      <c r="S174" s="75">
        <f>VLOOKUP($A174,'Data Vlaue (Cr)'!$C:$FB,128)*100</f>
        <v>-45.95</v>
      </c>
    </row>
    <row r="175" spans="1:19" x14ac:dyDescent="0.25">
      <c r="A175" s="96" t="str">
        <f>'Data Vlaue (Cr)'!C166</f>
        <v>POLYCAB</v>
      </c>
      <c r="B175" s="75">
        <f>VLOOKUP($A175,'Data Vlaue (Cr)'!$C:$FB,2)</f>
        <v>125</v>
      </c>
      <c r="C175" s="75">
        <f>VLOOKUP($A175,'Data Vlaue (Cr)'!$C:$FB,8)</f>
        <v>7099</v>
      </c>
      <c r="D175" s="75">
        <f>VLOOKUP($A175,'Data Vlaue (Cr)'!$C:$FB,4)</f>
        <v>7122</v>
      </c>
      <c r="E175" s="75">
        <f>VLOOKUP($A175,'Data Vlaue (Cr)'!$C:$FB,5)</f>
        <v>7103</v>
      </c>
      <c r="F175" s="75">
        <f t="shared" si="12"/>
        <v>23</v>
      </c>
      <c r="G175" s="75">
        <f t="shared" si="13"/>
        <v>0.26677899466442012</v>
      </c>
      <c r="H175" s="75">
        <f>VLOOKUP($A175,'Data Vlaue (Cr)'!$C:$FB,99)</f>
        <v>2748</v>
      </c>
      <c r="I175" s="75">
        <f>VLOOKUP($A175,'Data Vlaue (Cr)'!$C:$FB,100)</f>
        <v>2860</v>
      </c>
      <c r="J175" s="75">
        <f t="shared" si="14"/>
        <v>-112</v>
      </c>
      <c r="K175" s="75">
        <f t="shared" si="15"/>
        <v>-4.0756914119359537</v>
      </c>
      <c r="L175" s="75">
        <f>VLOOKUP($A175,'Data Vlaue (Cr)'!$C:$FB,67)</f>
        <v>2540</v>
      </c>
      <c r="M175" s="75">
        <f>VLOOKUP($A175,'Data Vlaue (Cr)'!$C:$FB,68)</f>
        <v>7971</v>
      </c>
      <c r="N175" s="75">
        <f t="shared" si="16"/>
        <v>-5431</v>
      </c>
      <c r="O175" s="75">
        <f t="shared" si="17"/>
        <v>-213.81889763779526</v>
      </c>
      <c r="P175" s="75">
        <f>VLOOKUP($A175,'Data Vlaue (Cr)'!$C:$FB,119)</f>
        <v>0.61</v>
      </c>
      <c r="Q175" s="75">
        <f>VLOOKUP($A175,'Data Vlaue (Cr)'!$C:$FB,122)*100</f>
        <v>-7.580000000000001</v>
      </c>
      <c r="R175" s="75">
        <f>VLOOKUP($A175,'Data Vlaue (Cr)'!$C:$FB,125)</f>
        <v>0.8</v>
      </c>
      <c r="S175" s="75">
        <f>VLOOKUP($A175,'Data Vlaue (Cr)'!$C:$FB,128)*100</f>
        <v>-33.879999999999995</v>
      </c>
    </row>
    <row r="176" spans="1:19" x14ac:dyDescent="0.25">
      <c r="A176" s="96" t="str">
        <f>'Data Vlaue (Cr)'!C167</f>
        <v>POWERGRID</v>
      </c>
      <c r="B176" s="75">
        <f>VLOOKUP($A176,'Data Vlaue (Cr)'!$C:$FB,2)</f>
        <v>1900</v>
      </c>
      <c r="C176" s="75">
        <f>VLOOKUP($A176,'Data Vlaue (Cr)'!$C:$FB,8)</f>
        <v>257.95</v>
      </c>
      <c r="D176" s="75">
        <f>VLOOKUP($A176,'Data Vlaue (Cr)'!$C:$FB,4)</f>
        <v>258.75</v>
      </c>
      <c r="E176" s="75">
        <f>VLOOKUP($A176,'Data Vlaue (Cr)'!$C:$FB,5)</f>
        <v>261.89999999999998</v>
      </c>
      <c r="F176" s="75">
        <f t="shared" si="12"/>
        <v>0.80000000000001137</v>
      </c>
      <c r="G176" s="75">
        <f t="shared" si="13"/>
        <v>-1.2173913043478173</v>
      </c>
      <c r="H176" s="75">
        <f>VLOOKUP($A176,'Data Vlaue (Cr)'!$C:$FB,99)</f>
        <v>3774</v>
      </c>
      <c r="I176" s="75">
        <f>VLOOKUP($A176,'Data Vlaue (Cr)'!$C:$FB,100)</f>
        <v>3588</v>
      </c>
      <c r="J176" s="75">
        <f t="shared" si="14"/>
        <v>186</v>
      </c>
      <c r="K176" s="75">
        <f t="shared" si="15"/>
        <v>4.9284578696343404</v>
      </c>
      <c r="L176" s="75">
        <f>VLOOKUP($A176,'Data Vlaue (Cr)'!$C:$FB,67)</f>
        <v>1700</v>
      </c>
      <c r="M176" s="75">
        <f>VLOOKUP($A176,'Data Vlaue (Cr)'!$C:$FB,68)</f>
        <v>746</v>
      </c>
      <c r="N176" s="75">
        <f t="shared" si="16"/>
        <v>954</v>
      </c>
      <c r="O176" s="75">
        <f t="shared" si="17"/>
        <v>56.117647058823529</v>
      </c>
      <c r="P176" s="75">
        <f>VLOOKUP($A176,'Data Vlaue (Cr)'!$C:$FB,119)</f>
        <v>0.59</v>
      </c>
      <c r="Q176" s="75">
        <f>VLOOKUP($A176,'Data Vlaue (Cr)'!$C:$FB,122)*100</f>
        <v>-3.2800000000000002</v>
      </c>
      <c r="R176" s="75">
        <f>VLOOKUP($A176,'Data Vlaue (Cr)'!$C:$FB,125)</f>
        <v>0.5</v>
      </c>
      <c r="S176" s="75">
        <f>VLOOKUP($A176,'Data Vlaue (Cr)'!$C:$FB,128)*100</f>
        <v>42.86</v>
      </c>
    </row>
    <row r="177" spans="1:19" x14ac:dyDescent="0.25">
      <c r="A177" s="96" t="str">
        <f>'Data Vlaue (Cr)'!C168</f>
        <v>POWERINDIA</v>
      </c>
      <c r="B177" s="75">
        <f>VLOOKUP($A177,'Data Vlaue (Cr)'!$C:$FB,2)</f>
        <v>50</v>
      </c>
      <c r="C177" s="75">
        <f>VLOOKUP($A177,'Data Vlaue (Cr)'!$C:$FB,8)</f>
        <v>18160</v>
      </c>
      <c r="D177" s="75">
        <f>VLOOKUP($A177,'Data Vlaue (Cr)'!$C:$FB,4)</f>
        <v>18210</v>
      </c>
      <c r="E177" s="75">
        <f>VLOOKUP($A177,'Data Vlaue (Cr)'!$C:$FB,5)</f>
        <v>19215</v>
      </c>
      <c r="F177" s="75">
        <f t="shared" ref="F177:F185" si="18">D177-C177</f>
        <v>50</v>
      </c>
      <c r="G177" s="75">
        <f t="shared" ref="G177:G185" si="19">(D177-E177)/D177*100</f>
        <v>-5.5189456342668866</v>
      </c>
      <c r="H177" s="75">
        <f>VLOOKUP($A177,'Data Vlaue (Cr)'!$C:$FB,99)</f>
        <v>2107</v>
      </c>
      <c r="I177" s="75">
        <f>VLOOKUP($A177,'Data Vlaue (Cr)'!$C:$FB,100)</f>
        <v>1801</v>
      </c>
      <c r="J177" s="75">
        <f t="shared" ref="J177:J185" si="20">H177-I177</f>
        <v>306</v>
      </c>
      <c r="K177" s="75">
        <f t="shared" ref="K177:K185" si="21">J177/H177*100</f>
        <v>14.523018509729473</v>
      </c>
      <c r="L177" s="75">
        <f>VLOOKUP($A177,'Data Vlaue (Cr)'!$C:$FB,67)</f>
        <v>5531</v>
      </c>
      <c r="M177" s="75">
        <f>VLOOKUP($A177,'Data Vlaue (Cr)'!$C:$FB,68)</f>
        <v>1117</v>
      </c>
      <c r="N177" s="75">
        <f t="shared" ref="N177:N185" si="22">L177-M177</f>
        <v>4414</v>
      </c>
      <c r="O177" s="75">
        <f t="shared" ref="O177:O185" si="23">N177/L177*100</f>
        <v>79.804736937262703</v>
      </c>
      <c r="P177" s="75">
        <f>VLOOKUP($A177,'Data Vlaue (Cr)'!$C:$FB,119)</f>
        <v>0.32</v>
      </c>
      <c r="Q177" s="75">
        <f>VLOOKUP($A177,'Data Vlaue (Cr)'!$C:$FB,122)*100</f>
        <v>-15.790000000000001</v>
      </c>
      <c r="R177" s="75">
        <f>VLOOKUP($A177,'Data Vlaue (Cr)'!$C:$FB,125)</f>
        <v>0.79</v>
      </c>
      <c r="S177" s="75">
        <f>VLOOKUP($A177,'Data Vlaue (Cr)'!$C:$FB,128)*100</f>
        <v>182.14</v>
      </c>
    </row>
    <row r="178" spans="1:19" x14ac:dyDescent="0.25">
      <c r="A178" s="96" t="str">
        <f>'Data Vlaue (Cr)'!C169</f>
        <v>PPLPHARMA</v>
      </c>
      <c r="B178" s="75">
        <f>VLOOKUP($A178,'Data Vlaue (Cr)'!$C:$FB,2)</f>
        <v>2500</v>
      </c>
      <c r="C178" s="75">
        <f>VLOOKUP($A178,'Data Vlaue (Cr)'!$C:$FB,8)</f>
        <v>166.52</v>
      </c>
      <c r="D178" s="75">
        <f>VLOOKUP($A178,'Data Vlaue (Cr)'!$C:$FB,4)</f>
        <v>167.19</v>
      </c>
      <c r="E178" s="75">
        <f>VLOOKUP($A178,'Data Vlaue (Cr)'!$C:$FB,5)</f>
        <v>168.2</v>
      </c>
      <c r="F178" s="75">
        <f t="shared" si="18"/>
        <v>0.66999999999998749</v>
      </c>
      <c r="G178" s="75">
        <f t="shared" si="19"/>
        <v>-0.60410311621507928</v>
      </c>
      <c r="H178" s="75">
        <f>VLOOKUP($A178,'Data Vlaue (Cr)'!$C:$FB,99)</f>
        <v>912</v>
      </c>
      <c r="I178" s="75">
        <f>VLOOKUP($A178,'Data Vlaue (Cr)'!$C:$FB,100)</f>
        <v>906</v>
      </c>
      <c r="J178" s="75">
        <f t="shared" si="20"/>
        <v>6</v>
      </c>
      <c r="K178" s="75">
        <f t="shared" si="21"/>
        <v>0.6578947368421052</v>
      </c>
      <c r="L178" s="75">
        <f>VLOOKUP($A178,'Data Vlaue (Cr)'!$C:$FB,67)</f>
        <v>279</v>
      </c>
      <c r="M178" s="75">
        <f>VLOOKUP($A178,'Data Vlaue (Cr)'!$C:$FB,68)</f>
        <v>257</v>
      </c>
      <c r="N178" s="75">
        <f t="shared" si="22"/>
        <v>22</v>
      </c>
      <c r="O178" s="75">
        <f t="shared" si="23"/>
        <v>7.8853046594982077</v>
      </c>
      <c r="P178" s="75">
        <f>VLOOKUP($A178,'Data Vlaue (Cr)'!$C:$FB,119)</f>
        <v>0.42</v>
      </c>
      <c r="Q178" s="75">
        <f>VLOOKUP($A178,'Data Vlaue (Cr)'!$C:$FB,122)*100</f>
        <v>-2.33</v>
      </c>
      <c r="R178" s="75">
        <f>VLOOKUP($A178,'Data Vlaue (Cr)'!$C:$FB,125)</f>
        <v>0.27</v>
      </c>
      <c r="S178" s="75">
        <f>VLOOKUP($A178,'Data Vlaue (Cr)'!$C:$FB,128)*100</f>
        <v>-32.5</v>
      </c>
    </row>
    <row r="179" spans="1:19" x14ac:dyDescent="0.25">
      <c r="A179" s="96" t="str">
        <f>'Data Vlaue (Cr)'!C170</f>
        <v>PRESTIGE</v>
      </c>
      <c r="B179" s="75">
        <f>VLOOKUP($A179,'Data Vlaue (Cr)'!$C:$FB,2)</f>
        <v>450</v>
      </c>
      <c r="C179" s="75">
        <f>VLOOKUP($A179,'Data Vlaue (Cr)'!$C:$FB,8)</f>
        <v>1600.2</v>
      </c>
      <c r="D179" s="75">
        <f>VLOOKUP($A179,'Data Vlaue (Cr)'!$C:$FB,4)</f>
        <v>1605.1</v>
      </c>
      <c r="E179" s="75">
        <f>VLOOKUP($A179,'Data Vlaue (Cr)'!$C:$FB,5)</f>
        <v>1613.2</v>
      </c>
      <c r="F179" s="75">
        <f t="shared" si="18"/>
        <v>4.8999999999998636</v>
      </c>
      <c r="G179" s="75">
        <f t="shared" si="19"/>
        <v>-0.50464145536104521</v>
      </c>
      <c r="H179" s="75">
        <f>VLOOKUP($A179,'Data Vlaue (Cr)'!$C:$FB,99)</f>
        <v>1202</v>
      </c>
      <c r="I179" s="75">
        <f>VLOOKUP($A179,'Data Vlaue (Cr)'!$C:$FB,100)</f>
        <v>1198</v>
      </c>
      <c r="J179" s="75">
        <f t="shared" si="20"/>
        <v>4</v>
      </c>
      <c r="K179" s="75">
        <f t="shared" si="21"/>
        <v>0.33277870216306155</v>
      </c>
      <c r="L179" s="75">
        <f>VLOOKUP($A179,'Data Vlaue (Cr)'!$C:$FB,67)</f>
        <v>417</v>
      </c>
      <c r="M179" s="75">
        <f>VLOOKUP($A179,'Data Vlaue (Cr)'!$C:$FB,68)</f>
        <v>284</v>
      </c>
      <c r="N179" s="75">
        <f t="shared" si="22"/>
        <v>133</v>
      </c>
      <c r="O179" s="75">
        <f t="shared" si="23"/>
        <v>31.894484412470025</v>
      </c>
      <c r="P179" s="75">
        <f>VLOOKUP($A179,'Data Vlaue (Cr)'!$C:$FB,119)</f>
        <v>0.65</v>
      </c>
      <c r="Q179" s="75">
        <f>VLOOKUP($A179,'Data Vlaue (Cr)'!$C:$FB,122)*100</f>
        <v>0</v>
      </c>
      <c r="R179" s="75">
        <f>VLOOKUP($A179,'Data Vlaue (Cr)'!$C:$FB,125)</f>
        <v>0.41</v>
      </c>
      <c r="S179" s="75">
        <f>VLOOKUP($A179,'Data Vlaue (Cr)'!$C:$FB,128)*100</f>
        <v>-19.61</v>
      </c>
    </row>
    <row r="180" spans="1:19" x14ac:dyDescent="0.25">
      <c r="A180" s="96" t="str">
        <f>'Data Vlaue (Cr)'!C171</f>
        <v>RBLBANK</v>
      </c>
      <c r="B180" s="75">
        <f>VLOOKUP($A180,'Data Vlaue (Cr)'!$C:$FB,2)</f>
        <v>3175</v>
      </c>
      <c r="C180" s="75">
        <f>VLOOKUP($A180,'Data Vlaue (Cr)'!$C:$FB,8)</f>
        <v>298.75</v>
      </c>
      <c r="D180" s="75">
        <f>VLOOKUP($A180,'Data Vlaue (Cr)'!$C:$FB,4)</f>
        <v>299.05</v>
      </c>
      <c r="E180" s="75">
        <f>VLOOKUP($A180,'Data Vlaue (Cr)'!$C:$FB,5)</f>
        <v>298</v>
      </c>
      <c r="F180" s="75">
        <f t="shared" si="18"/>
        <v>0.30000000000001137</v>
      </c>
      <c r="G180" s="75">
        <f t="shared" si="19"/>
        <v>0.3511118542049862</v>
      </c>
      <c r="H180" s="75">
        <f>VLOOKUP($A180,'Data Vlaue (Cr)'!$C:$FB,99)</f>
        <v>3640</v>
      </c>
      <c r="I180" s="75">
        <f>VLOOKUP($A180,'Data Vlaue (Cr)'!$C:$FB,100)</f>
        <v>3651</v>
      </c>
      <c r="J180" s="75">
        <f t="shared" si="20"/>
        <v>-11</v>
      </c>
      <c r="K180" s="75">
        <f t="shared" si="21"/>
        <v>-0.30219780219780223</v>
      </c>
      <c r="L180" s="75">
        <f>VLOOKUP($A180,'Data Vlaue (Cr)'!$C:$FB,67)</f>
        <v>679</v>
      </c>
      <c r="M180" s="75">
        <f>VLOOKUP($A180,'Data Vlaue (Cr)'!$C:$FB,68)</f>
        <v>1361</v>
      </c>
      <c r="N180" s="75">
        <f t="shared" si="22"/>
        <v>-682</v>
      </c>
      <c r="O180" s="75">
        <f t="shared" si="23"/>
        <v>-100.44182621502209</v>
      </c>
      <c r="P180" s="75">
        <f>VLOOKUP($A180,'Data Vlaue (Cr)'!$C:$FB,119)</f>
        <v>0.64</v>
      </c>
      <c r="Q180" s="75">
        <f>VLOOKUP($A180,'Data Vlaue (Cr)'!$C:$FB,122)*100</f>
        <v>1.59</v>
      </c>
      <c r="R180" s="75">
        <f>VLOOKUP($A180,'Data Vlaue (Cr)'!$C:$FB,125)</f>
        <v>0.49</v>
      </c>
      <c r="S180" s="75">
        <f>VLOOKUP($A180,'Data Vlaue (Cr)'!$C:$FB,128)*100</f>
        <v>-49.480000000000004</v>
      </c>
    </row>
    <row r="181" spans="1:19" x14ac:dyDescent="0.25">
      <c r="A181" s="96" t="str">
        <f>'Data Vlaue (Cr)'!C172</f>
        <v>RECLTD</v>
      </c>
      <c r="B181" s="75">
        <f>VLOOKUP($A181,'Data Vlaue (Cr)'!$C:$FB,2)</f>
        <v>1275</v>
      </c>
      <c r="C181" s="75">
        <f>VLOOKUP($A181,'Data Vlaue (Cr)'!$C:$FB,8)</f>
        <v>337</v>
      </c>
      <c r="D181" s="75">
        <f>VLOOKUP($A181,'Data Vlaue (Cr)'!$C:$FB,4)</f>
        <v>337.8</v>
      </c>
      <c r="E181" s="75">
        <f>VLOOKUP($A181,'Data Vlaue (Cr)'!$C:$FB,5)</f>
        <v>334.5</v>
      </c>
      <c r="F181" s="75">
        <f t="shared" si="18"/>
        <v>0.80000000000001137</v>
      </c>
      <c r="G181" s="75">
        <f t="shared" si="19"/>
        <v>0.97690941385435504</v>
      </c>
      <c r="H181" s="75">
        <f>VLOOKUP($A181,'Data Vlaue (Cr)'!$C:$FB,99)</f>
        <v>6190</v>
      </c>
      <c r="I181" s="75">
        <f>VLOOKUP($A181,'Data Vlaue (Cr)'!$C:$FB,100)</f>
        <v>6250</v>
      </c>
      <c r="J181" s="75">
        <f t="shared" si="20"/>
        <v>-60</v>
      </c>
      <c r="K181" s="75">
        <f t="shared" si="21"/>
        <v>-0.96930533117932149</v>
      </c>
      <c r="L181" s="75">
        <f>VLOOKUP($A181,'Data Vlaue (Cr)'!$C:$FB,67)</f>
        <v>1787</v>
      </c>
      <c r="M181" s="75">
        <f>VLOOKUP($A181,'Data Vlaue (Cr)'!$C:$FB,68)</f>
        <v>1770</v>
      </c>
      <c r="N181" s="75">
        <f t="shared" si="22"/>
        <v>17</v>
      </c>
      <c r="O181" s="75">
        <f t="shared" si="23"/>
        <v>0.9513150531617236</v>
      </c>
      <c r="P181" s="75">
        <f>VLOOKUP($A181,'Data Vlaue (Cr)'!$C:$FB,119)</f>
        <v>0.63</v>
      </c>
      <c r="Q181" s="75">
        <f>VLOOKUP($A181,'Data Vlaue (Cr)'!$C:$FB,122)*100</f>
        <v>3.2800000000000002</v>
      </c>
      <c r="R181" s="75">
        <f>VLOOKUP($A181,'Data Vlaue (Cr)'!$C:$FB,125)</f>
        <v>0.42</v>
      </c>
      <c r="S181" s="75">
        <f>VLOOKUP($A181,'Data Vlaue (Cr)'!$C:$FB,128)*100</f>
        <v>-6.67</v>
      </c>
    </row>
    <row r="182" spans="1:19" x14ac:dyDescent="0.25">
      <c r="A182" s="96" t="str">
        <f>'Data Vlaue (Cr)'!C173</f>
        <v>RELIANCE</v>
      </c>
      <c r="B182" s="75">
        <f>VLOOKUP($A182,'Data Vlaue (Cr)'!$C:$FB,2)</f>
        <v>500</v>
      </c>
      <c r="C182" s="75">
        <f>VLOOKUP($A182,'Data Vlaue (Cr)'!$C:$FB,8)</f>
        <v>1544.4</v>
      </c>
      <c r="D182" s="75">
        <f>VLOOKUP($A182,'Data Vlaue (Cr)'!$C:$FB,4)</f>
        <v>1548.1</v>
      </c>
      <c r="E182" s="75">
        <f>VLOOKUP($A182,'Data Vlaue (Cr)'!$C:$FB,5)</f>
        <v>1548.8</v>
      </c>
      <c r="F182" s="75">
        <f t="shared" si="18"/>
        <v>3.6999999999998181</v>
      </c>
      <c r="G182" s="75">
        <f t="shared" si="19"/>
        <v>-4.5216717266329406E-2</v>
      </c>
      <c r="H182" s="75">
        <f>VLOOKUP($A182,'Data Vlaue (Cr)'!$C:$FB,99)</f>
        <v>27597</v>
      </c>
      <c r="I182" s="75">
        <f>VLOOKUP($A182,'Data Vlaue (Cr)'!$C:$FB,100)</f>
        <v>27648</v>
      </c>
      <c r="J182" s="75">
        <f t="shared" si="20"/>
        <v>-51</v>
      </c>
      <c r="K182" s="75">
        <f t="shared" si="21"/>
        <v>-0.18480269594521143</v>
      </c>
      <c r="L182" s="75">
        <f>VLOOKUP($A182,'Data Vlaue (Cr)'!$C:$FB,67)</f>
        <v>12505</v>
      </c>
      <c r="M182" s="75">
        <f>VLOOKUP($A182,'Data Vlaue (Cr)'!$C:$FB,68)</f>
        <v>9459</v>
      </c>
      <c r="N182" s="75">
        <f t="shared" si="22"/>
        <v>3046</v>
      </c>
      <c r="O182" s="75">
        <f t="shared" si="23"/>
        <v>24.358256697321071</v>
      </c>
      <c r="P182" s="75">
        <f>VLOOKUP($A182,'Data Vlaue (Cr)'!$C:$FB,119)</f>
        <v>0.53</v>
      </c>
      <c r="Q182" s="75">
        <f>VLOOKUP($A182,'Data Vlaue (Cr)'!$C:$FB,122)*100</f>
        <v>0</v>
      </c>
      <c r="R182" s="75">
        <f>VLOOKUP($A182,'Data Vlaue (Cr)'!$C:$FB,125)</f>
        <v>0.57999999999999996</v>
      </c>
      <c r="S182" s="75">
        <f>VLOOKUP($A182,'Data Vlaue (Cr)'!$C:$FB,128)*100</f>
        <v>-4.92</v>
      </c>
    </row>
    <row r="183" spans="1:19" x14ac:dyDescent="0.25">
      <c r="A183" s="96" t="str">
        <f>'Data Vlaue (Cr)'!C174</f>
        <v>RVNL</v>
      </c>
      <c r="B183" s="75">
        <f>VLOOKUP($A183,'Data Vlaue (Cr)'!$C:$FB,2)</f>
        <v>1375</v>
      </c>
      <c r="C183" s="75">
        <f>VLOOKUP($A183,'Data Vlaue (Cr)'!$C:$FB,8)</f>
        <v>305.95</v>
      </c>
      <c r="D183" s="75">
        <f>VLOOKUP($A183,'Data Vlaue (Cr)'!$C:$FB,4)</f>
        <v>304.60000000000002</v>
      </c>
      <c r="E183" s="75">
        <f>VLOOKUP($A183,'Data Vlaue (Cr)'!$C:$FB,5)</f>
        <v>305.39999999999998</v>
      </c>
      <c r="F183" s="75">
        <f t="shared" si="18"/>
        <v>-1.3499999999999659</v>
      </c>
      <c r="G183" s="75">
        <f t="shared" si="19"/>
        <v>-0.26263952724883599</v>
      </c>
      <c r="H183" s="75">
        <f>VLOOKUP($A183,'Data Vlaue (Cr)'!$C:$FB,99)</f>
        <v>2445</v>
      </c>
      <c r="I183" s="75">
        <f>VLOOKUP($A183,'Data Vlaue (Cr)'!$C:$FB,100)</f>
        <v>2420</v>
      </c>
      <c r="J183" s="75">
        <f t="shared" si="20"/>
        <v>25</v>
      </c>
      <c r="K183" s="75">
        <f t="shared" si="21"/>
        <v>1.0224948875255624</v>
      </c>
      <c r="L183" s="75">
        <f>VLOOKUP($A183,'Data Vlaue (Cr)'!$C:$FB,67)</f>
        <v>494</v>
      </c>
      <c r="M183" s="75">
        <f>VLOOKUP($A183,'Data Vlaue (Cr)'!$C:$FB,68)</f>
        <v>473</v>
      </c>
      <c r="N183" s="75">
        <f t="shared" si="22"/>
        <v>21</v>
      </c>
      <c r="O183" s="75">
        <f t="shared" si="23"/>
        <v>4.2510121457489873</v>
      </c>
      <c r="P183" s="75">
        <f>VLOOKUP($A183,'Data Vlaue (Cr)'!$C:$FB,119)</f>
        <v>0.46</v>
      </c>
      <c r="Q183" s="75">
        <f>VLOOKUP($A183,'Data Vlaue (Cr)'!$C:$FB,122)*100</f>
        <v>0</v>
      </c>
      <c r="R183" s="75">
        <f>VLOOKUP($A183,'Data Vlaue (Cr)'!$C:$FB,125)</f>
        <v>0.27</v>
      </c>
      <c r="S183" s="75">
        <f>VLOOKUP($A183,'Data Vlaue (Cr)'!$C:$FB,128)*100</f>
        <v>22.73</v>
      </c>
    </row>
    <row r="184" spans="1:19" x14ac:dyDescent="0.25">
      <c r="A184" s="96" t="str">
        <f>'Data Vlaue (Cr)'!C175</f>
        <v>SAIL</v>
      </c>
      <c r="B184" s="75">
        <f>VLOOKUP($A184,'Data Vlaue (Cr)'!$C:$FB,2)</f>
        <v>4700</v>
      </c>
      <c r="C184" s="75">
        <f>VLOOKUP($A184,'Data Vlaue (Cr)'!$C:$FB,8)</f>
        <v>127.27</v>
      </c>
      <c r="D184" s="75">
        <f>VLOOKUP($A184,'Data Vlaue (Cr)'!$C:$FB,4)</f>
        <v>127.26</v>
      </c>
      <c r="E184" s="75">
        <f>VLOOKUP($A184,'Data Vlaue (Cr)'!$C:$FB,5)</f>
        <v>130.31</v>
      </c>
      <c r="F184" s="75">
        <f t="shared" si="18"/>
        <v>-9.9999999999909051E-3</v>
      </c>
      <c r="G184" s="75">
        <f t="shared" si="19"/>
        <v>-2.3966682382523943</v>
      </c>
      <c r="H184" s="75">
        <f>VLOOKUP($A184,'Data Vlaue (Cr)'!$C:$FB,99)</f>
        <v>3368</v>
      </c>
      <c r="I184" s="75">
        <f>VLOOKUP($A184,'Data Vlaue (Cr)'!$C:$FB,100)</f>
        <v>3289</v>
      </c>
      <c r="J184" s="75">
        <f t="shared" si="20"/>
        <v>79</v>
      </c>
      <c r="K184" s="75">
        <f t="shared" si="21"/>
        <v>2.3456057007125888</v>
      </c>
      <c r="L184" s="75">
        <f>VLOOKUP($A184,'Data Vlaue (Cr)'!$C:$FB,67)</f>
        <v>1136</v>
      </c>
      <c r="M184" s="75">
        <f>VLOOKUP($A184,'Data Vlaue (Cr)'!$C:$FB,68)</f>
        <v>542</v>
      </c>
      <c r="N184" s="75">
        <f t="shared" si="22"/>
        <v>594</v>
      </c>
      <c r="O184" s="75">
        <f t="shared" si="23"/>
        <v>52.2887323943662</v>
      </c>
      <c r="P184" s="75">
        <f>VLOOKUP($A184,'Data Vlaue (Cr)'!$C:$FB,119)</f>
        <v>0.55000000000000004</v>
      </c>
      <c r="Q184" s="75">
        <f>VLOOKUP($A184,'Data Vlaue (Cr)'!$C:$FB,122)*100</f>
        <v>-1.79</v>
      </c>
      <c r="R184" s="75">
        <f>VLOOKUP($A184,'Data Vlaue (Cr)'!$C:$FB,125)</f>
        <v>0.47</v>
      </c>
      <c r="S184" s="75">
        <f>VLOOKUP($A184,'Data Vlaue (Cr)'!$C:$FB,128)*100</f>
        <v>51.61</v>
      </c>
    </row>
    <row r="185" spans="1:19" x14ac:dyDescent="0.25">
      <c r="A185" s="96" t="str">
        <f>'Data Vlaue (Cr)'!C176</f>
        <v>SAMMAANCAP</v>
      </c>
      <c r="B185" s="75">
        <f>VLOOKUP($A185,'Data Vlaue (Cr)'!$C:$FB,2)</f>
        <v>4300</v>
      </c>
      <c r="C185" s="75">
        <f>VLOOKUP($A185,'Data Vlaue (Cr)'!$C:$FB,8)</f>
        <v>143.47999999999999</v>
      </c>
      <c r="D185" s="75">
        <f>VLOOKUP($A185,'Data Vlaue (Cr)'!$C:$FB,4)</f>
        <v>144.03</v>
      </c>
      <c r="E185" s="75">
        <f>VLOOKUP($A185,'Data Vlaue (Cr)'!$C:$FB,5)</f>
        <v>146.19</v>
      </c>
      <c r="F185" s="75">
        <f t="shared" si="18"/>
        <v>0.55000000000001137</v>
      </c>
      <c r="G185" s="75">
        <f t="shared" si="19"/>
        <v>-1.4996875650906036</v>
      </c>
      <c r="H185" s="75">
        <f>VLOOKUP($A185,'Data Vlaue (Cr)'!$C:$FB,99)</f>
        <v>3307</v>
      </c>
      <c r="I185" s="75">
        <f>VLOOKUP($A185,'Data Vlaue (Cr)'!$C:$FB,100)</f>
        <v>3177</v>
      </c>
      <c r="J185" s="75">
        <f t="shared" si="20"/>
        <v>130</v>
      </c>
      <c r="K185" s="75">
        <f t="shared" si="21"/>
        <v>3.9310553371635923</v>
      </c>
      <c r="L185" s="75">
        <f>VLOOKUP($A185,'Data Vlaue (Cr)'!$C:$FB,67)</f>
        <v>4143</v>
      </c>
      <c r="M185" s="75">
        <f>VLOOKUP($A185,'Data Vlaue (Cr)'!$C:$FB,68)</f>
        <v>6036</v>
      </c>
      <c r="N185" s="75">
        <f t="shared" si="22"/>
        <v>-1893</v>
      </c>
      <c r="O185" s="75">
        <f t="shared" si="23"/>
        <v>-45.691527878349021</v>
      </c>
      <c r="P185" s="75">
        <f>VLOOKUP($A185,'Data Vlaue (Cr)'!$C:$FB,119)</f>
        <v>0.71</v>
      </c>
      <c r="Q185" s="75">
        <f>VLOOKUP($A185,'Data Vlaue (Cr)'!$C:$FB,122)*100</f>
        <v>12.7</v>
      </c>
      <c r="R185" s="75">
        <f>VLOOKUP($A185,'Data Vlaue (Cr)'!$C:$FB,125)</f>
        <v>0.99</v>
      </c>
      <c r="S185" s="75">
        <f>VLOOKUP($A185,'Data Vlaue (Cr)'!$C:$FB,128)*100</f>
        <v>73.680000000000007</v>
      </c>
    </row>
    <row r="186" spans="1:19" x14ac:dyDescent="0.25">
      <c r="A186" s="96" t="str">
        <f>'Data Vlaue (Cr)'!C177</f>
        <v>SBICARD</v>
      </c>
      <c r="B186" s="75">
        <f>VLOOKUP($A186,'Data Vlaue (Cr)'!$C:$FB,2)</f>
        <v>800</v>
      </c>
      <c r="C186" s="75">
        <f>VLOOKUP($A186,'Data Vlaue (Cr)'!$C:$FB,8)</f>
        <v>848.15</v>
      </c>
      <c r="D186" s="75">
        <f>VLOOKUP($A186,'Data Vlaue (Cr)'!$C:$FB,4)</f>
        <v>851.15</v>
      </c>
      <c r="E186" s="75">
        <f>VLOOKUP($A186,'Data Vlaue (Cr)'!$C:$FB,5)</f>
        <v>836.55</v>
      </c>
      <c r="F186" s="75">
        <f t="shared" ref="F186:F193" si="24">D186-C186</f>
        <v>3</v>
      </c>
      <c r="G186" s="75">
        <f t="shared" ref="G186:G193" si="25">(D186-E186)/D186*100</f>
        <v>1.7153263232097777</v>
      </c>
      <c r="H186" s="75">
        <f>VLOOKUP($A186,'Data Vlaue (Cr)'!$C:$FB,99)</f>
        <v>2274</v>
      </c>
      <c r="I186" s="75">
        <f>VLOOKUP($A186,'Data Vlaue (Cr)'!$C:$FB,100)</f>
        <v>2370</v>
      </c>
      <c r="J186" s="75">
        <f t="shared" ref="J186:J193" si="26">H186-I186</f>
        <v>-96</v>
      </c>
      <c r="K186" s="75">
        <f t="shared" ref="K186:K193" si="27">J186/H186*100</f>
        <v>-4.2216358839050132</v>
      </c>
      <c r="L186" s="75">
        <f>VLOOKUP($A186,'Data Vlaue (Cr)'!$C:$FB,67)</f>
        <v>1520</v>
      </c>
      <c r="M186" s="75">
        <f>VLOOKUP($A186,'Data Vlaue (Cr)'!$C:$FB,68)</f>
        <v>1376</v>
      </c>
      <c r="N186" s="75">
        <f t="shared" ref="N186:N193" si="28">L186-M186</f>
        <v>144</v>
      </c>
      <c r="O186" s="75">
        <f t="shared" ref="O186:O193" si="29">N186/L186*100</f>
        <v>9.4736842105263168</v>
      </c>
      <c r="P186" s="75">
        <f>VLOOKUP($A186,'Data Vlaue (Cr)'!$C:$FB,119)</f>
        <v>0.72</v>
      </c>
      <c r="Q186" s="75">
        <f>VLOOKUP($A186,'Data Vlaue (Cr)'!$C:$FB,122)*100</f>
        <v>9.09</v>
      </c>
      <c r="R186" s="75">
        <f>VLOOKUP($A186,'Data Vlaue (Cr)'!$C:$FB,125)</f>
        <v>0.52</v>
      </c>
      <c r="S186" s="75">
        <f>VLOOKUP($A186,'Data Vlaue (Cr)'!$C:$FB,128)*100</f>
        <v>-41.57</v>
      </c>
    </row>
    <row r="187" spans="1:19" x14ac:dyDescent="0.25">
      <c r="A187" s="96" t="str">
        <f>'Data Vlaue (Cr)'!C178</f>
        <v>SBILIFE</v>
      </c>
      <c r="B187" s="75">
        <f>VLOOKUP($A187,'Data Vlaue (Cr)'!$C:$FB,2)</f>
        <v>375</v>
      </c>
      <c r="C187" s="75">
        <f>VLOOKUP($A187,'Data Vlaue (Cr)'!$C:$FB,8)</f>
        <v>2014.4</v>
      </c>
      <c r="D187" s="75">
        <f>VLOOKUP($A187,'Data Vlaue (Cr)'!$C:$FB,4)</f>
        <v>2018.5</v>
      </c>
      <c r="E187" s="75">
        <f>VLOOKUP($A187,'Data Vlaue (Cr)'!$C:$FB,5)</f>
        <v>2016.3</v>
      </c>
      <c r="F187" s="75">
        <f t="shared" si="24"/>
        <v>4.0999999999999091</v>
      </c>
      <c r="G187" s="75">
        <f t="shared" si="25"/>
        <v>0.10899182561308128</v>
      </c>
      <c r="H187" s="75">
        <f>VLOOKUP($A187,'Data Vlaue (Cr)'!$C:$FB,99)</f>
        <v>2929</v>
      </c>
      <c r="I187" s="75">
        <f>VLOOKUP($A187,'Data Vlaue (Cr)'!$C:$FB,100)</f>
        <v>2916</v>
      </c>
      <c r="J187" s="75">
        <f t="shared" si="26"/>
        <v>13</v>
      </c>
      <c r="K187" s="75">
        <f t="shared" si="27"/>
        <v>0.44383748719699556</v>
      </c>
      <c r="L187" s="75">
        <f>VLOOKUP($A187,'Data Vlaue (Cr)'!$C:$FB,67)</f>
        <v>904</v>
      </c>
      <c r="M187" s="75">
        <f>VLOOKUP($A187,'Data Vlaue (Cr)'!$C:$FB,68)</f>
        <v>2694</v>
      </c>
      <c r="N187" s="75">
        <f t="shared" si="28"/>
        <v>-1790</v>
      </c>
      <c r="O187" s="75">
        <f t="shared" si="29"/>
        <v>-198.00884955752213</v>
      </c>
      <c r="P187" s="75">
        <f>VLOOKUP($A187,'Data Vlaue (Cr)'!$C:$FB,119)</f>
        <v>0.49</v>
      </c>
      <c r="Q187" s="75">
        <f>VLOOKUP($A187,'Data Vlaue (Cr)'!$C:$FB,122)*100</f>
        <v>2.08</v>
      </c>
      <c r="R187" s="75">
        <f>VLOOKUP($A187,'Data Vlaue (Cr)'!$C:$FB,125)</f>
        <v>0.46</v>
      </c>
      <c r="S187" s="75">
        <f>VLOOKUP($A187,'Data Vlaue (Cr)'!$C:$FB,128)*100</f>
        <v>-54.900000000000006</v>
      </c>
    </row>
    <row r="188" spans="1:19" x14ac:dyDescent="0.25">
      <c r="A188" s="96" t="str">
        <f>'Data Vlaue (Cr)'!C179</f>
        <v>SBIN</v>
      </c>
      <c r="B188" s="75">
        <f>VLOOKUP($A188,'Data Vlaue (Cr)'!$C:$FB,2)</f>
        <v>750</v>
      </c>
      <c r="C188" s="75">
        <f>VLOOKUP($A188,'Data Vlaue (Cr)'!$C:$FB,8)</f>
        <v>977.55</v>
      </c>
      <c r="D188" s="75">
        <f>VLOOKUP($A188,'Data Vlaue (Cr)'!$C:$FB,4)</f>
        <v>977.85</v>
      </c>
      <c r="E188" s="75">
        <f>VLOOKUP($A188,'Data Vlaue (Cr)'!$C:$FB,5)</f>
        <v>977.5</v>
      </c>
      <c r="F188" s="75">
        <f t="shared" si="24"/>
        <v>0.30000000000006821</v>
      </c>
      <c r="G188" s="75">
        <f t="shared" si="25"/>
        <v>3.5792810758298585E-2</v>
      </c>
      <c r="H188" s="75">
        <f>VLOOKUP($A188,'Data Vlaue (Cr)'!$C:$FB,99)</f>
        <v>15175</v>
      </c>
      <c r="I188" s="75">
        <f>VLOOKUP($A188,'Data Vlaue (Cr)'!$C:$FB,100)</f>
        <v>15280</v>
      </c>
      <c r="J188" s="75">
        <f t="shared" si="26"/>
        <v>-105</v>
      </c>
      <c r="K188" s="75">
        <f t="shared" si="27"/>
        <v>-0.69192751235584848</v>
      </c>
      <c r="L188" s="75">
        <f>VLOOKUP($A188,'Data Vlaue (Cr)'!$C:$FB,67)</f>
        <v>10733</v>
      </c>
      <c r="M188" s="75">
        <f>VLOOKUP($A188,'Data Vlaue (Cr)'!$C:$FB,68)</f>
        <v>17967</v>
      </c>
      <c r="N188" s="75">
        <f t="shared" si="28"/>
        <v>-7234</v>
      </c>
      <c r="O188" s="75">
        <f t="shared" si="29"/>
        <v>-67.399608683499494</v>
      </c>
      <c r="P188" s="75">
        <f>VLOOKUP($A188,'Data Vlaue (Cr)'!$C:$FB,119)</f>
        <v>0.72</v>
      </c>
      <c r="Q188" s="75">
        <f>VLOOKUP($A188,'Data Vlaue (Cr)'!$C:$FB,122)*100</f>
        <v>1.41</v>
      </c>
      <c r="R188" s="75">
        <f>VLOOKUP($A188,'Data Vlaue (Cr)'!$C:$FB,125)</f>
        <v>0.64</v>
      </c>
      <c r="S188" s="75">
        <f>VLOOKUP($A188,'Data Vlaue (Cr)'!$C:$FB,128)*100</f>
        <v>8.4699999999999989</v>
      </c>
    </row>
    <row r="189" spans="1:19" x14ac:dyDescent="0.25">
      <c r="A189" s="96" t="str">
        <f>'Data Vlaue (Cr)'!C180</f>
        <v>SHREECEM</v>
      </c>
      <c r="B189" s="75">
        <f>VLOOKUP($A189,'Data Vlaue (Cr)'!$C:$FB,2)</f>
        <v>25</v>
      </c>
      <c r="C189" s="75">
        <f>VLOOKUP($A189,'Data Vlaue (Cr)'!$C:$FB,8)</f>
        <v>25645</v>
      </c>
      <c r="D189" s="75">
        <f>VLOOKUP($A189,'Data Vlaue (Cr)'!$C:$FB,4)</f>
        <v>25755</v>
      </c>
      <c r="E189" s="75">
        <f>VLOOKUP($A189,'Data Vlaue (Cr)'!$C:$FB,5)</f>
        <v>26080</v>
      </c>
      <c r="F189" s="75">
        <f t="shared" si="24"/>
        <v>110</v>
      </c>
      <c r="G189" s="75">
        <f t="shared" si="25"/>
        <v>-1.2618908949718501</v>
      </c>
      <c r="H189" s="75">
        <f>VLOOKUP($A189,'Data Vlaue (Cr)'!$C:$FB,99)</f>
        <v>1412</v>
      </c>
      <c r="I189" s="75">
        <f>VLOOKUP($A189,'Data Vlaue (Cr)'!$C:$FB,100)</f>
        <v>1353</v>
      </c>
      <c r="J189" s="75">
        <f t="shared" si="26"/>
        <v>59</v>
      </c>
      <c r="K189" s="75">
        <f t="shared" si="27"/>
        <v>4.1784702549575075</v>
      </c>
      <c r="L189" s="75">
        <f>VLOOKUP($A189,'Data Vlaue (Cr)'!$C:$FB,67)</f>
        <v>588</v>
      </c>
      <c r="M189" s="75">
        <f>VLOOKUP($A189,'Data Vlaue (Cr)'!$C:$FB,68)</f>
        <v>435</v>
      </c>
      <c r="N189" s="75">
        <f t="shared" si="28"/>
        <v>153</v>
      </c>
      <c r="O189" s="75">
        <f t="shared" si="29"/>
        <v>26.020408163265309</v>
      </c>
      <c r="P189" s="75">
        <f>VLOOKUP($A189,'Data Vlaue (Cr)'!$C:$FB,119)</f>
        <v>0.4</v>
      </c>
      <c r="Q189" s="75">
        <f>VLOOKUP($A189,'Data Vlaue (Cr)'!$C:$FB,122)*100</f>
        <v>-9.09</v>
      </c>
      <c r="R189" s="75">
        <f>VLOOKUP($A189,'Data Vlaue (Cr)'!$C:$FB,125)</f>
        <v>0.26</v>
      </c>
      <c r="S189" s="75">
        <f>VLOOKUP($A189,'Data Vlaue (Cr)'!$C:$FB,128)*100</f>
        <v>44.440000000000005</v>
      </c>
    </row>
    <row r="190" spans="1:19" x14ac:dyDescent="0.25">
      <c r="A190" s="96" t="str">
        <f>'Data Vlaue (Cr)'!C181</f>
        <v>SHRIRAMFIN</v>
      </c>
      <c r="B190" s="75">
        <f>VLOOKUP($A190,'Data Vlaue (Cr)'!$C:$FB,2)</f>
        <v>825</v>
      </c>
      <c r="C190" s="75">
        <f>VLOOKUP($A190,'Data Vlaue (Cr)'!$C:$FB,8)</f>
        <v>869.45</v>
      </c>
      <c r="D190" s="75">
        <f>VLOOKUP($A190,'Data Vlaue (Cr)'!$C:$FB,4)</f>
        <v>869.55</v>
      </c>
      <c r="E190" s="75">
        <f>VLOOKUP($A190,'Data Vlaue (Cr)'!$C:$FB,5)</f>
        <v>867.95</v>
      </c>
      <c r="F190" s="75">
        <f t="shared" si="24"/>
        <v>9.9999999999909051E-2</v>
      </c>
      <c r="G190" s="75">
        <f t="shared" si="25"/>
        <v>0.18400322005634054</v>
      </c>
      <c r="H190" s="75">
        <f>VLOOKUP($A190,'Data Vlaue (Cr)'!$C:$FB,99)</f>
        <v>8655</v>
      </c>
      <c r="I190" s="75">
        <f>VLOOKUP($A190,'Data Vlaue (Cr)'!$C:$FB,100)</f>
        <v>8952</v>
      </c>
      <c r="J190" s="75">
        <f t="shared" si="26"/>
        <v>-297</v>
      </c>
      <c r="K190" s="75">
        <f t="shared" si="27"/>
        <v>-3.4315424610051992</v>
      </c>
      <c r="L190" s="75">
        <f>VLOOKUP($A190,'Data Vlaue (Cr)'!$C:$FB,67)</f>
        <v>6651</v>
      </c>
      <c r="M190" s="75">
        <f>VLOOKUP($A190,'Data Vlaue (Cr)'!$C:$FB,68)</f>
        <v>10455</v>
      </c>
      <c r="N190" s="75">
        <f t="shared" si="28"/>
        <v>-3804</v>
      </c>
      <c r="O190" s="75">
        <f t="shared" si="29"/>
        <v>-57.194406856111868</v>
      </c>
      <c r="P190" s="75">
        <f>VLOOKUP($A190,'Data Vlaue (Cr)'!$C:$FB,119)</f>
        <v>0.67</v>
      </c>
      <c r="Q190" s="75">
        <f>VLOOKUP($A190,'Data Vlaue (Cr)'!$C:$FB,122)*100</f>
        <v>17.54</v>
      </c>
      <c r="R190" s="75">
        <f>VLOOKUP($A190,'Data Vlaue (Cr)'!$C:$FB,125)</f>
        <v>0.56000000000000005</v>
      </c>
      <c r="S190" s="75">
        <f>VLOOKUP($A190,'Data Vlaue (Cr)'!$C:$FB,128)*100</f>
        <v>60</v>
      </c>
    </row>
    <row r="191" spans="1:19" x14ac:dyDescent="0.25">
      <c r="A191" s="96" t="str">
        <f>'Data Vlaue (Cr)'!C182</f>
        <v>SIEMENS</v>
      </c>
      <c r="B191" s="75">
        <f>VLOOKUP($A191,'Data Vlaue (Cr)'!$C:$FB,2)</f>
        <v>125</v>
      </c>
      <c r="C191" s="75">
        <f>VLOOKUP($A191,'Data Vlaue (Cr)'!$C:$FB,8)</f>
        <v>3074</v>
      </c>
      <c r="D191" s="75">
        <f>VLOOKUP($A191,'Data Vlaue (Cr)'!$C:$FB,4)</f>
        <v>3080.4</v>
      </c>
      <c r="E191" s="75">
        <f>VLOOKUP($A191,'Data Vlaue (Cr)'!$C:$FB,5)</f>
        <v>3152.3</v>
      </c>
      <c r="F191" s="75">
        <f t="shared" si="24"/>
        <v>6.4000000000000909</v>
      </c>
      <c r="G191" s="75">
        <f t="shared" si="25"/>
        <v>-2.3341124529281938</v>
      </c>
      <c r="H191" s="75">
        <f>VLOOKUP($A191,'Data Vlaue (Cr)'!$C:$FB,99)</f>
        <v>2087</v>
      </c>
      <c r="I191" s="75">
        <f>VLOOKUP($A191,'Data Vlaue (Cr)'!$C:$FB,100)</f>
        <v>2022</v>
      </c>
      <c r="J191" s="75">
        <f t="shared" si="26"/>
        <v>65</v>
      </c>
      <c r="K191" s="75">
        <f t="shared" si="27"/>
        <v>3.1145184475323431</v>
      </c>
      <c r="L191" s="75">
        <f>VLOOKUP($A191,'Data Vlaue (Cr)'!$C:$FB,67)</f>
        <v>2218</v>
      </c>
      <c r="M191" s="75">
        <f>VLOOKUP($A191,'Data Vlaue (Cr)'!$C:$FB,68)</f>
        <v>724</v>
      </c>
      <c r="N191" s="75">
        <f t="shared" si="28"/>
        <v>1494</v>
      </c>
      <c r="O191" s="75">
        <f t="shared" si="29"/>
        <v>67.35798016230838</v>
      </c>
      <c r="P191" s="75">
        <f>VLOOKUP($A191,'Data Vlaue (Cr)'!$C:$FB,119)</f>
        <v>0.46</v>
      </c>
      <c r="Q191" s="75">
        <f>VLOOKUP($A191,'Data Vlaue (Cr)'!$C:$FB,122)*100</f>
        <v>-11.540000000000001</v>
      </c>
      <c r="R191" s="75">
        <f>VLOOKUP($A191,'Data Vlaue (Cr)'!$C:$FB,125)</f>
        <v>0.59</v>
      </c>
      <c r="S191" s="75">
        <f>VLOOKUP($A191,'Data Vlaue (Cr)'!$C:$FB,128)*100</f>
        <v>47.5</v>
      </c>
    </row>
    <row r="192" spans="1:19" x14ac:dyDescent="0.25">
      <c r="A192" s="96" t="str">
        <f>'Data Vlaue (Cr)'!C183</f>
        <v>SOLARINDS</v>
      </c>
      <c r="B192" s="75">
        <f>VLOOKUP($A192,'Data Vlaue (Cr)'!$C:$FB,2)</f>
        <v>75</v>
      </c>
      <c r="C192" s="75">
        <f>VLOOKUP($A192,'Data Vlaue (Cr)'!$C:$FB,8)</f>
        <v>11772</v>
      </c>
      <c r="D192" s="75">
        <f>VLOOKUP($A192,'Data Vlaue (Cr)'!$C:$FB,4)</f>
        <v>11802</v>
      </c>
      <c r="E192" s="75">
        <f>VLOOKUP($A192,'Data Vlaue (Cr)'!$C:$FB,5)</f>
        <v>11824</v>
      </c>
      <c r="F192" s="75">
        <f t="shared" si="24"/>
        <v>30</v>
      </c>
      <c r="G192" s="75">
        <f t="shared" si="25"/>
        <v>-0.18640908320623623</v>
      </c>
      <c r="H192" s="75">
        <f>VLOOKUP($A192,'Data Vlaue (Cr)'!$C:$FB,99)</f>
        <v>2539</v>
      </c>
      <c r="I192" s="75">
        <f>VLOOKUP($A192,'Data Vlaue (Cr)'!$C:$FB,100)</f>
        <v>2558</v>
      </c>
      <c r="J192" s="75">
        <f t="shared" si="26"/>
        <v>-19</v>
      </c>
      <c r="K192" s="75">
        <f t="shared" si="27"/>
        <v>-0.74832611264277271</v>
      </c>
      <c r="L192" s="75">
        <f>VLOOKUP($A192,'Data Vlaue (Cr)'!$C:$FB,67)</f>
        <v>1507</v>
      </c>
      <c r="M192" s="75">
        <f>VLOOKUP($A192,'Data Vlaue (Cr)'!$C:$FB,68)</f>
        <v>1382</v>
      </c>
      <c r="N192" s="75">
        <f t="shared" si="28"/>
        <v>125</v>
      </c>
      <c r="O192" s="75">
        <f t="shared" si="29"/>
        <v>8.2946250829462507</v>
      </c>
      <c r="P192" s="75">
        <f>VLOOKUP($A192,'Data Vlaue (Cr)'!$C:$FB,119)</f>
        <v>0.4</v>
      </c>
      <c r="Q192" s="75">
        <f>VLOOKUP($A192,'Data Vlaue (Cr)'!$C:$FB,122)*100</f>
        <v>5.26</v>
      </c>
      <c r="R192" s="75">
        <f>VLOOKUP($A192,'Data Vlaue (Cr)'!$C:$FB,125)</f>
        <v>0.57999999999999996</v>
      </c>
      <c r="S192" s="75">
        <f>VLOOKUP($A192,'Data Vlaue (Cr)'!$C:$FB,128)*100</f>
        <v>-7.9399999999999995</v>
      </c>
    </row>
    <row r="193" spans="1:19" x14ac:dyDescent="0.25">
      <c r="A193" s="96" t="str">
        <f>'Data Vlaue (Cr)'!C215</f>
        <v>ZYDUSLIFE</v>
      </c>
      <c r="B193" s="75">
        <f>VLOOKUP($A193,'Data Vlaue (Cr)'!$C:$FB,2)</f>
        <v>900</v>
      </c>
      <c r="C193" s="75">
        <f>VLOOKUP($A193,'Data Vlaue (Cr)'!$C:$FB,8)</f>
        <v>913.65</v>
      </c>
      <c r="D193" s="75">
        <f>VLOOKUP($A193,'Data Vlaue (Cr)'!$C:$FB,4)</f>
        <v>916.35</v>
      </c>
      <c r="E193" s="75">
        <f>VLOOKUP($A193,'Data Vlaue (Cr)'!$C:$FB,5)</f>
        <v>919.1</v>
      </c>
      <c r="F193" s="75">
        <f t="shared" si="24"/>
        <v>2.7000000000000455</v>
      </c>
      <c r="G193" s="75">
        <f t="shared" si="25"/>
        <v>-0.30010367217766137</v>
      </c>
      <c r="H193" s="75">
        <f>VLOOKUP($A193,'Data Vlaue (Cr)'!$C:$FB,99)</f>
        <v>1746</v>
      </c>
      <c r="I193" s="75">
        <f>VLOOKUP($A193,'Data Vlaue (Cr)'!$C:$FB,100)</f>
        <v>1733</v>
      </c>
      <c r="J193" s="75">
        <f t="shared" si="26"/>
        <v>13</v>
      </c>
      <c r="K193" s="75">
        <f t="shared" si="27"/>
        <v>0.7445589919816723</v>
      </c>
      <c r="L193" s="75">
        <f>VLOOKUP($A193,'Data Vlaue (Cr)'!$C:$FB,67)</f>
        <v>365</v>
      </c>
      <c r="M193" s="75">
        <f>VLOOKUP($A193,'Data Vlaue (Cr)'!$C:$FB,68)</f>
        <v>289</v>
      </c>
      <c r="N193" s="75">
        <f t="shared" si="28"/>
        <v>76</v>
      </c>
      <c r="O193" s="75">
        <f t="shared" si="29"/>
        <v>20.82191780821918</v>
      </c>
      <c r="P193" s="75">
        <f>VLOOKUP($A193,'Data Vlaue (Cr)'!$C:$FB,119)</f>
        <v>0.74</v>
      </c>
      <c r="Q193" s="75">
        <f>VLOOKUP($A193,'Data Vlaue (Cr)'!$C:$FB,122)*100</f>
        <v>0</v>
      </c>
      <c r="R193" s="75">
        <f>VLOOKUP($A193,'Data Vlaue (Cr)'!$C:$FB,125)</f>
        <v>0.4</v>
      </c>
      <c r="S193" s="75">
        <f>VLOOKUP($A193,'Data Vlaue (Cr)'!$C:$FB,128)*100</f>
        <v>33.33</v>
      </c>
    </row>
    <row r="194" spans="1:19" ht="13.9" customHeight="1" x14ac:dyDescent="0.25">
      <c r="A194" s="96"/>
      <c r="B194" s="75"/>
      <c r="C194" s="75"/>
      <c r="D194" s="75"/>
      <c r="E194" s="75"/>
      <c r="F194" s="75"/>
      <c r="G194" s="75"/>
      <c r="H194" s="75"/>
      <c r="I194" s="75"/>
      <c r="J194" s="75"/>
      <c r="K194" s="75"/>
      <c r="L194" s="75"/>
      <c r="M194" s="75"/>
      <c r="N194" s="75"/>
      <c r="O194" s="75"/>
      <c r="P194" s="75"/>
      <c r="Q194" s="75"/>
      <c r="R194" s="75"/>
      <c r="S194" s="75"/>
    </row>
    <row r="195" spans="1:19" x14ac:dyDescent="0.25">
      <c r="A195" s="96"/>
      <c r="B195" s="75"/>
      <c r="C195" s="75"/>
      <c r="D195" s="75"/>
      <c r="E195" s="75"/>
      <c r="F195" s="75"/>
      <c r="G195" s="75"/>
      <c r="H195" s="75"/>
      <c r="I195" s="75"/>
      <c r="J195" s="75"/>
      <c r="K195" s="75"/>
      <c r="L195" s="75"/>
      <c r="M195" s="75"/>
      <c r="N195" s="75"/>
      <c r="O195" s="75"/>
      <c r="P195" s="75"/>
      <c r="Q195" s="75"/>
      <c r="R195" s="75"/>
      <c r="S195" s="75"/>
    </row>
    <row r="196" spans="1:19" x14ac:dyDescent="0.25">
      <c r="A196" s="96"/>
      <c r="B196" s="75"/>
      <c r="C196" s="75"/>
      <c r="D196" s="75"/>
      <c r="E196" s="75"/>
      <c r="F196" s="75"/>
      <c r="G196" s="75"/>
      <c r="H196" s="75"/>
      <c r="I196" s="75"/>
      <c r="J196" s="75"/>
      <c r="K196" s="75"/>
      <c r="L196" s="75"/>
      <c r="M196" s="75"/>
      <c r="N196" s="75"/>
      <c r="O196" s="75"/>
      <c r="P196" s="75"/>
      <c r="Q196" s="75"/>
      <c r="R196" s="75"/>
      <c r="S196" s="75"/>
    </row>
    <row r="197" spans="1:19" x14ac:dyDescent="0.25">
      <c r="A197" s="96"/>
      <c r="B197" s="75"/>
      <c r="C197" s="75"/>
      <c r="D197" s="75"/>
      <c r="E197" s="75"/>
      <c r="F197" s="75"/>
      <c r="G197" s="75"/>
      <c r="H197" s="75"/>
      <c r="I197" s="75"/>
      <c r="J197" s="75"/>
      <c r="K197" s="75"/>
      <c r="L197" s="75"/>
      <c r="M197" s="75"/>
      <c r="N197" s="75"/>
      <c r="O197" s="75"/>
      <c r="P197" s="75"/>
      <c r="Q197" s="75"/>
      <c r="R197" s="75"/>
      <c r="S197" s="75"/>
    </row>
    <row r="198" spans="1:19" x14ac:dyDescent="0.25">
      <c r="A198" s="96"/>
      <c r="B198" s="75"/>
      <c r="C198" s="75"/>
      <c r="D198" s="75"/>
      <c r="E198" s="75"/>
      <c r="F198" s="75"/>
      <c r="G198" s="75"/>
      <c r="H198" s="75"/>
      <c r="I198" s="75"/>
      <c r="J198" s="75"/>
      <c r="K198" s="75"/>
      <c r="L198" s="75"/>
      <c r="M198" s="75"/>
      <c r="N198" s="75"/>
      <c r="O198" s="75"/>
      <c r="P198" s="75"/>
      <c r="Q198" s="75"/>
      <c r="R198" s="75"/>
      <c r="S198" s="75"/>
    </row>
    <row r="199" spans="1:19" x14ac:dyDescent="0.25">
      <c r="A199" s="96"/>
      <c r="B199" s="75"/>
      <c r="C199" s="75"/>
      <c r="D199" s="75"/>
      <c r="E199" s="75"/>
      <c r="F199" s="75"/>
      <c r="G199" s="75"/>
      <c r="H199" s="75"/>
      <c r="I199" s="75"/>
      <c r="J199" s="75"/>
      <c r="K199" s="75"/>
      <c r="L199" s="75"/>
      <c r="M199" s="75"/>
      <c r="N199" s="75"/>
      <c r="O199" s="75"/>
      <c r="P199" s="75"/>
      <c r="Q199" s="75"/>
      <c r="R199" s="75"/>
      <c r="S199" s="75"/>
    </row>
    <row r="200" spans="1:19" x14ac:dyDescent="0.25">
      <c r="A200" s="96"/>
      <c r="B200" s="75"/>
      <c r="C200" s="75"/>
      <c r="D200" s="75"/>
      <c r="E200" s="75"/>
      <c r="F200" s="75"/>
      <c r="G200" s="75"/>
      <c r="H200" s="75"/>
      <c r="I200" s="75"/>
      <c r="J200" s="75"/>
      <c r="K200" s="75"/>
      <c r="L200" s="75"/>
      <c r="M200" s="75"/>
      <c r="N200" s="75"/>
      <c r="O200" s="75"/>
      <c r="P200" s="75"/>
      <c r="Q200" s="75"/>
      <c r="R200" s="75"/>
      <c r="S200" s="75"/>
    </row>
    <row r="201" spans="1:19" x14ac:dyDescent="0.25">
      <c r="A201" s="96"/>
      <c r="B201" s="75"/>
      <c r="C201" s="75"/>
      <c r="D201" s="75"/>
      <c r="E201" s="75"/>
      <c r="F201" s="75"/>
      <c r="G201" s="75"/>
      <c r="H201" s="75"/>
      <c r="I201" s="75"/>
      <c r="J201" s="75"/>
      <c r="K201" s="75"/>
      <c r="L201" s="75"/>
      <c r="M201" s="75"/>
      <c r="N201" s="75"/>
      <c r="O201" s="75"/>
      <c r="P201" s="75"/>
      <c r="Q201" s="75"/>
      <c r="R201" s="75"/>
      <c r="S201" s="75"/>
    </row>
    <row r="202" spans="1:19" x14ac:dyDescent="0.25">
      <c r="A202" s="96"/>
      <c r="B202" s="75"/>
      <c r="C202" s="75"/>
      <c r="D202" s="75"/>
      <c r="E202" s="75"/>
      <c r="F202" s="75"/>
      <c r="G202" s="75"/>
      <c r="H202" s="75"/>
      <c r="I202" s="75"/>
      <c r="J202" s="75"/>
      <c r="K202" s="75"/>
      <c r="L202" s="75"/>
      <c r="M202" s="75"/>
      <c r="N202" s="75"/>
      <c r="O202" s="75"/>
      <c r="P202" s="75"/>
      <c r="Q202" s="75"/>
      <c r="R202" s="75"/>
      <c r="S202" s="75"/>
    </row>
    <row r="203" spans="1:19" x14ac:dyDescent="0.25">
      <c r="A203" s="96"/>
      <c r="B203" s="75"/>
      <c r="C203" s="75"/>
      <c r="D203" s="75"/>
      <c r="E203" s="75"/>
      <c r="F203" s="75"/>
      <c r="G203" s="75"/>
      <c r="H203" s="75"/>
      <c r="I203" s="75"/>
      <c r="J203" s="75"/>
      <c r="K203" s="75"/>
      <c r="L203" s="75"/>
      <c r="M203" s="75"/>
      <c r="N203" s="75"/>
      <c r="O203" s="75"/>
      <c r="P203" s="75"/>
      <c r="Q203" s="75"/>
      <c r="R203" s="75"/>
      <c r="S203" s="75"/>
    </row>
    <row r="204" spans="1:19" x14ac:dyDescent="0.25">
      <c r="A204" s="96"/>
      <c r="B204" s="75"/>
      <c r="C204" s="75"/>
      <c r="D204" s="75"/>
      <c r="E204" s="75"/>
      <c r="F204" s="75"/>
      <c r="G204" s="75"/>
      <c r="H204" s="75"/>
      <c r="I204" s="75"/>
      <c r="J204" s="75"/>
      <c r="K204" s="75"/>
      <c r="L204" s="75"/>
      <c r="M204" s="75"/>
      <c r="N204" s="75"/>
      <c r="O204" s="75"/>
      <c r="P204" s="75"/>
      <c r="Q204" s="75"/>
      <c r="R204" s="75"/>
      <c r="S204" s="75"/>
    </row>
    <row r="205" spans="1:19" x14ac:dyDescent="0.25">
      <c r="A205" s="96"/>
      <c r="B205" s="75"/>
      <c r="C205" s="75"/>
      <c r="D205" s="75"/>
      <c r="E205" s="75"/>
      <c r="F205" s="75"/>
      <c r="G205" s="75"/>
      <c r="H205" s="75"/>
      <c r="I205" s="75"/>
      <c r="J205" s="75"/>
      <c r="K205" s="75"/>
      <c r="L205" s="75"/>
      <c r="M205" s="75"/>
      <c r="N205" s="75"/>
      <c r="O205" s="75"/>
      <c r="P205" s="75"/>
      <c r="Q205" s="75"/>
      <c r="R205" s="75"/>
      <c r="S205" s="75"/>
    </row>
    <row r="206" spans="1:19" x14ac:dyDescent="0.25">
      <c r="A206" s="96"/>
      <c r="B206" s="75"/>
      <c r="C206" s="75"/>
      <c r="D206" s="75"/>
      <c r="E206" s="75"/>
      <c r="F206" s="75"/>
      <c r="G206" s="75"/>
      <c r="H206" s="75"/>
      <c r="I206" s="75"/>
      <c r="J206" s="75"/>
      <c r="K206" s="75"/>
      <c r="L206" s="75"/>
      <c r="M206" s="75"/>
      <c r="N206" s="75"/>
      <c r="O206" s="75"/>
      <c r="P206" s="75"/>
      <c r="Q206" s="75"/>
      <c r="R206" s="75"/>
      <c r="S206" s="75"/>
    </row>
    <row r="207" spans="1:19" x14ac:dyDescent="0.25">
      <c r="A207" s="96"/>
      <c r="B207" s="75"/>
      <c r="C207" s="75"/>
      <c r="D207" s="75"/>
      <c r="E207" s="75"/>
      <c r="F207" s="75"/>
      <c r="G207" s="75"/>
      <c r="H207" s="75"/>
      <c r="I207" s="75"/>
      <c r="J207" s="75"/>
      <c r="K207" s="75"/>
      <c r="L207" s="75"/>
      <c r="M207" s="75"/>
      <c r="N207" s="75"/>
      <c r="O207" s="75"/>
      <c r="P207" s="75"/>
      <c r="Q207" s="75"/>
      <c r="R207" s="75"/>
      <c r="S207" s="75"/>
    </row>
    <row r="208" spans="1:19" x14ac:dyDescent="0.25">
      <c r="A208" s="96"/>
      <c r="B208" s="75"/>
      <c r="C208" s="75"/>
      <c r="D208" s="75"/>
      <c r="E208" s="75"/>
      <c r="F208" s="75"/>
      <c r="G208" s="75"/>
      <c r="H208" s="75"/>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
      <c r="J209" s="75"/>
      <c r="K209" s="75"/>
      <c r="L209" s="75"/>
      <c r="M209" s="75"/>
      <c r="N209" s="75"/>
      <c r="O209" s="75"/>
      <c r="P209" s="75"/>
      <c r="Q209" s="75"/>
      <c r="R209" s="75"/>
      <c r="S209" s="75"/>
    </row>
    <row r="210" spans="1:19" x14ac:dyDescent="0.25">
      <c r="A210" s="96"/>
      <c r="B210" s="75"/>
      <c r="C210" s="75"/>
      <c r="D210" s="75"/>
      <c r="E210" s="75"/>
      <c r="F210" s="75"/>
      <c r="G210" s="75"/>
      <c r="H210" s="75"/>
      <c r="I210" s="75"/>
      <c r="J210" s="75"/>
      <c r="K210" s="75"/>
      <c r="L210" s="75"/>
      <c r="M210" s="75"/>
      <c r="N210" s="75"/>
      <c r="O210" s="75"/>
      <c r="P210" s="75"/>
      <c r="Q210" s="75"/>
      <c r="R210" s="75"/>
      <c r="S210" s="75"/>
    </row>
    <row r="211" spans="1:19" x14ac:dyDescent="0.25">
      <c r="A211" s="96"/>
      <c r="B211" s="75"/>
      <c r="C211" s="75"/>
      <c r="D211" s="75"/>
      <c r="E211" s="75"/>
      <c r="F211" s="75"/>
      <c r="G211" s="75"/>
      <c r="H211" s="75"/>
      <c r="I211" s="75"/>
      <c r="J211" s="75"/>
      <c r="K211" s="75"/>
      <c r="L211" s="75"/>
      <c r="M211" s="75"/>
      <c r="N211" s="75"/>
      <c r="O211" s="75"/>
      <c r="P211" s="75"/>
      <c r="Q211" s="75"/>
      <c r="R211" s="75"/>
      <c r="S211" s="75"/>
    </row>
    <row r="212" spans="1:19" x14ac:dyDescent="0.25">
      <c r="A212" s="96"/>
      <c r="B212" s="75"/>
      <c r="C212" s="75"/>
      <c r="D212" s="75"/>
      <c r="E212" s="75"/>
      <c r="F212" s="75"/>
      <c r="G212" s="75"/>
      <c r="H212" s="75"/>
      <c r="I212" s="75"/>
      <c r="J212" s="75"/>
      <c r="K212" s="75"/>
      <c r="L212" s="75"/>
      <c r="M212" s="75"/>
      <c r="N212" s="75"/>
      <c r="O212" s="75"/>
      <c r="P212" s="75"/>
      <c r="Q212" s="75"/>
      <c r="R212" s="75"/>
      <c r="S212" s="75"/>
    </row>
    <row r="213" spans="1:19" x14ac:dyDescent="0.25">
      <c r="A213" s="96"/>
      <c r="B213" s="75"/>
      <c r="C213" s="75"/>
      <c r="D213" s="75"/>
      <c r="E213" s="75"/>
      <c r="F213" s="75"/>
      <c r="G213" s="75"/>
      <c r="H213" s="75"/>
      <c r="I213" s="75"/>
      <c r="J213" s="75"/>
      <c r="K213" s="75"/>
      <c r="L213" s="75"/>
      <c r="M213" s="75"/>
      <c r="N213" s="75"/>
      <c r="O213" s="75"/>
      <c r="P213" s="75"/>
      <c r="Q213" s="75"/>
      <c r="R213" s="75"/>
      <c r="S213" s="75"/>
    </row>
    <row r="214" spans="1:19" x14ac:dyDescent="0.25">
      <c r="A214" s="96"/>
      <c r="B214" s="17"/>
      <c r="C214" s="17"/>
      <c r="D214" s="17"/>
      <c r="E214" s="17"/>
      <c r="F214" s="17"/>
      <c r="G214" s="17"/>
      <c r="H214" s="17"/>
      <c r="I214" s="17"/>
      <c r="J214" s="17"/>
      <c r="K214" s="17"/>
      <c r="L214" s="17"/>
      <c r="M214" s="17"/>
      <c r="N214" s="17"/>
      <c r="O214" s="17"/>
      <c r="P214" s="17"/>
      <c r="Q214" s="17"/>
      <c r="R214" s="17"/>
      <c r="S214" s="17"/>
    </row>
    <row r="215" spans="1:19" x14ac:dyDescent="0.25">
      <c r="A215" s="96"/>
      <c r="B215" s="17"/>
      <c r="C215" s="17"/>
      <c r="D215" s="17"/>
      <c r="E215" s="17"/>
      <c r="F215" s="17"/>
      <c r="G215" s="17"/>
      <c r="H215" s="17"/>
      <c r="I215" s="17"/>
      <c r="J215" s="17"/>
      <c r="K215" s="17"/>
      <c r="L215" s="17"/>
      <c r="M215" s="17"/>
      <c r="N215" s="17"/>
      <c r="O215" s="17"/>
      <c r="P215" s="17"/>
      <c r="Q215" s="17"/>
      <c r="R215" s="17"/>
      <c r="S215" s="17"/>
    </row>
    <row r="216" spans="1:19" x14ac:dyDescent="0.25">
      <c r="A216" s="96"/>
      <c r="B216" s="75"/>
      <c r="C216" s="75"/>
      <c r="D216" s="75"/>
      <c r="E216" s="75"/>
      <c r="F216" s="75"/>
      <c r="G216" s="75"/>
      <c r="H216" s="75"/>
      <c r="I216" s="75"/>
      <c r="J216" s="75"/>
      <c r="K216" s="75"/>
      <c r="L216" s="75"/>
      <c r="M216" s="75"/>
      <c r="N216" s="75"/>
      <c r="O216" s="75"/>
      <c r="P216" s="75"/>
      <c r="Q216" s="75"/>
      <c r="R216" s="75"/>
      <c r="S216" s="75"/>
    </row>
    <row r="217" spans="1:19" x14ac:dyDescent="0.25">
      <c r="A217" s="96"/>
      <c r="B217" s="75"/>
      <c r="C217" s="75"/>
      <c r="D217" s="75"/>
      <c r="E217" s="75"/>
      <c r="F217" s="75"/>
      <c r="G217" s="75"/>
      <c r="H217" s="75"/>
      <c r="I217" s="75"/>
      <c r="J217" s="75"/>
      <c r="K217" s="75"/>
      <c r="L217" s="75"/>
      <c r="M217" s="75"/>
      <c r="N217" s="75"/>
      <c r="O217" s="75"/>
      <c r="P217" s="75"/>
      <c r="Q217" s="75"/>
      <c r="R217" s="75"/>
      <c r="S217" s="75"/>
    </row>
    <row r="218" spans="1:19" x14ac:dyDescent="0.25">
      <c r="A218" s="96"/>
      <c r="B218" s="75"/>
      <c r="C218" s="75"/>
      <c r="D218" s="75"/>
      <c r="E218" s="75"/>
      <c r="F218" s="75"/>
      <c r="G218" s="75"/>
      <c r="H218" s="75"/>
      <c r="I218" s="75"/>
      <c r="J218" s="75"/>
      <c r="K218" s="75"/>
      <c r="L218" s="75"/>
      <c r="M218" s="75"/>
      <c r="N218" s="75"/>
      <c r="O218" s="75"/>
      <c r="P218" s="75"/>
      <c r="Q218" s="75"/>
      <c r="R218" s="75"/>
      <c r="S218" s="75"/>
    </row>
    <row r="219" spans="1:19" x14ac:dyDescent="0.25">
      <c r="A219" s="96"/>
      <c r="B219" s="75"/>
      <c r="C219" s="75"/>
      <c r="D219" s="75"/>
      <c r="E219" s="75"/>
      <c r="F219" s="75"/>
      <c r="G219" s="75"/>
      <c r="H219" s="75"/>
      <c r="I219" s="75"/>
      <c r="J219" s="75"/>
      <c r="K219" s="75"/>
      <c r="L219" s="75"/>
      <c r="M219" s="75"/>
      <c r="N219" s="75"/>
      <c r="O219" s="75"/>
      <c r="P219" s="75"/>
      <c r="Q219" s="75"/>
      <c r="R219" s="75"/>
      <c r="S219" s="75"/>
    </row>
    <row r="220" spans="1:19" x14ac:dyDescent="0.25">
      <c r="A220" s="96"/>
      <c r="B220" s="75"/>
      <c r="C220" s="75"/>
      <c r="D220" s="75"/>
      <c r="E220" s="75"/>
      <c r="F220" s="75"/>
      <c r="G220" s="75"/>
      <c r="H220" s="75"/>
      <c r="I220" s="75"/>
      <c r="J220" s="75"/>
      <c r="K220" s="75"/>
      <c r="L220" s="75"/>
      <c r="M220" s="75"/>
      <c r="N220" s="75"/>
      <c r="O220" s="75"/>
      <c r="P220" s="75"/>
      <c r="Q220" s="75"/>
      <c r="R220" s="75"/>
      <c r="S220" s="75"/>
    </row>
    <row r="221" spans="1:19" x14ac:dyDescent="0.25">
      <c r="A221" s="98"/>
      <c r="B221" s="17"/>
      <c r="C221" s="17"/>
      <c r="D221" s="17"/>
      <c r="E221" s="17"/>
      <c r="F221" s="17"/>
      <c r="G221" s="17"/>
      <c r="H221" s="17"/>
      <c r="I221" s="17"/>
      <c r="J221" s="17"/>
      <c r="K221" s="17"/>
      <c r="L221" s="17"/>
      <c r="M221" s="17"/>
      <c r="N221" s="17"/>
      <c r="O221" s="17"/>
      <c r="P221" s="17"/>
      <c r="Q221" s="17"/>
      <c r="R221" s="17"/>
      <c r="S221" s="17"/>
    </row>
    <row r="222" spans="1:19" x14ac:dyDescent="0.25">
      <c r="A222" s="98"/>
      <c r="B222" s="17"/>
      <c r="C222" s="17"/>
      <c r="D222" s="17"/>
      <c r="E222" s="17"/>
      <c r="F222" s="17"/>
      <c r="G222" s="17"/>
      <c r="H222" s="17"/>
      <c r="I222" s="17"/>
      <c r="J222" s="17"/>
      <c r="K222" s="17"/>
      <c r="L222" s="17"/>
      <c r="M222" s="17"/>
      <c r="N222" s="17"/>
      <c r="O222" s="17"/>
      <c r="P222" s="17"/>
      <c r="Q222" s="17"/>
      <c r="R222" s="17"/>
      <c r="S222" s="17"/>
    </row>
    <row r="223" spans="1:19" x14ac:dyDescent="0.25">
      <c r="A223" s="98"/>
      <c r="B223" s="17"/>
      <c r="C223" s="17"/>
      <c r="D223" s="17"/>
      <c r="E223" s="17"/>
      <c r="F223" s="17"/>
      <c r="G223" s="17"/>
      <c r="H223" s="17"/>
      <c r="I223" s="17"/>
      <c r="J223" s="17"/>
      <c r="K223" s="17"/>
      <c r="L223" s="17"/>
      <c r="M223" s="17"/>
      <c r="N223" s="17"/>
      <c r="O223" s="17"/>
      <c r="P223" s="17"/>
      <c r="Q223" s="17"/>
      <c r="R223" s="17"/>
      <c r="S223" s="17"/>
    </row>
    <row r="224" spans="1:19" x14ac:dyDescent="0.25">
      <c r="A224" s="236"/>
      <c r="B224" s="236"/>
      <c r="C224" s="236"/>
      <c r="D224" s="236"/>
      <c r="E224" s="236"/>
      <c r="F224" s="236"/>
      <c r="G224" s="15"/>
      <c r="H224" s="16"/>
      <c r="I224" s="236"/>
      <c r="J224" s="236"/>
      <c r="K224" s="236"/>
      <c r="L224" s="236"/>
      <c r="M224" s="236"/>
      <c r="N224" s="16"/>
      <c r="O224" s="16"/>
      <c r="P224" s="16"/>
      <c r="Q224" s="236"/>
      <c r="R224" s="236"/>
      <c r="S224" s="236"/>
    </row>
    <row r="225" spans="1:19" x14ac:dyDescent="0.25">
      <c r="A225" s="233" t="s">
        <v>391</v>
      </c>
      <c r="B225" s="234"/>
      <c r="C225" s="234"/>
      <c r="D225" s="234"/>
      <c r="E225" s="234"/>
      <c r="F225" s="235"/>
      <c r="G225" s="18"/>
      <c r="H225" s="18">
        <f>SUM(H11:H223)</f>
        <v>2344911</v>
      </c>
      <c r="I225" s="18">
        <f>SUM(I11:I223)</f>
        <v>2248136</v>
      </c>
      <c r="J225" s="18">
        <f>H225-I225</f>
        <v>96775</v>
      </c>
      <c r="K225" s="19">
        <f>J225/I225</f>
        <v>4.3046772971030225E-2</v>
      </c>
      <c r="L225" s="18">
        <f>SUM(L11:L223)</f>
        <v>12125433</v>
      </c>
      <c r="M225" s="18">
        <f>SUM(M11:M223)</f>
        <v>10245633</v>
      </c>
      <c r="N225" s="18">
        <f>L225-M225</f>
        <v>1879800</v>
      </c>
      <c r="O225" s="19">
        <f>N225/M225</f>
        <v>0.18347329052289887</v>
      </c>
      <c r="P225" s="233"/>
      <c r="Q225" s="234"/>
      <c r="R225" s="234"/>
      <c r="S225" s="235"/>
    </row>
    <row r="229" spans="1:19" x14ac:dyDescent="0.25">
      <c r="A229" s="239" t="s">
        <v>334</v>
      </c>
      <c r="B229" s="239"/>
      <c r="C229" s="239"/>
      <c r="D229" s="6"/>
      <c r="E229" s="6"/>
      <c r="F229" s="6"/>
      <c r="G229" s="6"/>
      <c r="H229" s="8" t="s">
        <v>385</v>
      </c>
      <c r="J229" s="7"/>
      <c r="K229" s="7"/>
      <c r="L229" s="7"/>
      <c r="M229" s="7"/>
    </row>
    <row r="230" spans="1:19" x14ac:dyDescent="0.25">
      <c r="A230" s="22"/>
      <c r="B230" s="23" t="s">
        <v>182</v>
      </c>
      <c r="C230" s="24" t="s">
        <v>386</v>
      </c>
      <c r="D230" s="25" t="s">
        <v>266</v>
      </c>
      <c r="E230" s="24" t="s">
        <v>386</v>
      </c>
      <c r="F230" s="23" t="s">
        <v>461</v>
      </c>
      <c r="G230" s="23" t="s">
        <v>387</v>
      </c>
      <c r="H230" s="24" t="s">
        <v>386</v>
      </c>
    </row>
    <row r="231" spans="1:19" x14ac:dyDescent="0.25">
      <c r="A231" s="26" t="s">
        <v>388</v>
      </c>
      <c r="B231" s="9">
        <f>VLOOKUP(B230,'OI(Value)'!A7:E209,5,0)</f>
        <v>12069</v>
      </c>
      <c r="C231" s="146">
        <f>VLOOKUP(B230,'OI(Value)'!A7:G209,7,0)</f>
        <v>-2.5499999999999998E-2</v>
      </c>
      <c r="D231" s="9">
        <f>VLOOKUP(D230,'OI(Value)'!A7:E209,5,0)</f>
        <v>47359</v>
      </c>
      <c r="E231" s="147">
        <f>VLOOKUP(D230,'OI(Value)'!A7:G209,7,0)</f>
        <v>-1.4500000000000001E-2</v>
      </c>
      <c r="F231" s="9">
        <f>G231-D231-B231</f>
        <v>451338</v>
      </c>
      <c r="G231" s="10">
        <f>'OI(Value)'!E210</f>
        <v>510766</v>
      </c>
      <c r="H231" s="147">
        <f>'OI(Value)'!D217</f>
        <v>3.0698989361077284E-3</v>
      </c>
    </row>
    <row r="232" spans="1:19" x14ac:dyDescent="0.25">
      <c r="A232" s="26" t="s">
        <v>389</v>
      </c>
      <c r="B232" s="9">
        <f>VLOOKUP(B230,'OI(Value)'!A7:H209,8,0)</f>
        <v>138564</v>
      </c>
      <c r="C232" s="146">
        <f>VLOOKUP(B230,'OI(Value)'!A7:J209,10,0)</f>
        <v>3.32E-2</v>
      </c>
      <c r="D232" s="9">
        <f>VLOOKUP(D230,'OI(Value)'!A1:O210,8,0)</f>
        <v>661101</v>
      </c>
      <c r="E232" s="147">
        <f>VLOOKUP(D230,'OI(Value)'!A1:J209,10,0)</f>
        <v>3.9600000000000003E-2</v>
      </c>
      <c r="F232" s="9">
        <f>G232-D232-B232</f>
        <v>236008</v>
      </c>
      <c r="G232" s="9">
        <f>'OI(Value)'!H210</f>
        <v>1035673</v>
      </c>
      <c r="H232" s="147">
        <f>'OI(Value)'!D218</f>
        <v>2.7496130535410307E-2</v>
      </c>
    </row>
    <row r="233" spans="1:19" x14ac:dyDescent="0.25">
      <c r="A233" s="26" t="s">
        <v>390</v>
      </c>
      <c r="B233" s="9">
        <f>VLOOKUP(B230,'OI(Value)'!A7:K209,11,0)</f>
        <v>103678</v>
      </c>
      <c r="C233" s="146">
        <f>VLOOKUP(B230,'OI(Value)'!A7:M209,13,0)</f>
        <v>2.9499999999999998E-2</v>
      </c>
      <c r="D233" s="9">
        <f>VLOOKUP(D230,'OI(Value)'!A2:O211,11,0)</f>
        <v>549617</v>
      </c>
      <c r="E233" s="147">
        <f>VLOOKUP(D230,'OI(Value)'!A7:M209,13,0)</f>
        <v>0.125</v>
      </c>
      <c r="F233" s="9">
        <f>G233-D233-B233</f>
        <v>145167</v>
      </c>
      <c r="G233" s="9">
        <f>'OI(Value)'!K210</f>
        <v>798462</v>
      </c>
      <c r="H233" s="147">
        <f>'OI(Volume)'!D229</f>
        <v>-3.3790387689332482E-3</v>
      </c>
    </row>
    <row r="234" spans="1:19" x14ac:dyDescent="0.25">
      <c r="A234" s="22" t="s">
        <v>391</v>
      </c>
      <c r="B234" s="62">
        <f>SUM(B231:B233)</f>
        <v>254311</v>
      </c>
      <c r="C234" s="148">
        <f>VLOOKUP(B230,'OI(Value)'!A7:D148,4,0)</f>
        <v>2.87E-2</v>
      </c>
      <c r="D234" s="62">
        <f>SUM(D231:D233)</f>
        <v>1258077</v>
      </c>
      <c r="E234" s="148">
        <f>VLOOKUP(D230,'OI(Value)'!A1:D210,4,0)</f>
        <v>7.2999999999999995E-2</v>
      </c>
      <c r="F234" s="62">
        <f>SUM(F231:F233)</f>
        <v>832513</v>
      </c>
      <c r="G234" s="62">
        <f>SUM(G231:G233)</f>
        <v>2344901</v>
      </c>
      <c r="H234" s="151">
        <f>'OI(Value)'!D220</f>
        <v>4.1276795907375194E-2</v>
      </c>
    </row>
    <row r="238" spans="1:19" x14ac:dyDescent="0.25">
      <c r="A238" s="20" t="s">
        <v>392</v>
      </c>
      <c r="B238" s="11"/>
      <c r="C238" s="11"/>
      <c r="D238" s="11"/>
      <c r="E238" s="11"/>
      <c r="F238" s="11"/>
      <c r="G238" s="11"/>
      <c r="H238" s="12"/>
    </row>
    <row r="239" spans="1:19" x14ac:dyDescent="0.25">
      <c r="A239" s="27"/>
      <c r="B239" s="27"/>
      <c r="C239" s="240" t="s">
        <v>459</v>
      </c>
      <c r="D239" s="241"/>
      <c r="E239" s="242"/>
      <c r="F239" s="240" t="s">
        <v>460</v>
      </c>
      <c r="G239" s="241"/>
      <c r="H239" s="242"/>
    </row>
    <row r="240" spans="1:19" x14ac:dyDescent="0.25">
      <c r="A240" s="28"/>
      <c r="B240" s="27"/>
      <c r="C240" s="31">
        <f>D10</f>
        <v>46009</v>
      </c>
      <c r="D240" s="31" t="s">
        <v>397</v>
      </c>
      <c r="E240" s="32" t="s">
        <v>321</v>
      </c>
      <c r="F240" s="31">
        <f>C240</f>
        <v>46009</v>
      </c>
      <c r="G240" s="31" t="str">
        <f>D240</f>
        <v>Preious</v>
      </c>
      <c r="H240" s="32" t="s">
        <v>386</v>
      </c>
    </row>
    <row r="241" spans="1:8" x14ac:dyDescent="0.25">
      <c r="A241" s="29" t="s">
        <v>393</v>
      </c>
      <c r="B241" s="30"/>
      <c r="C241" s="13">
        <f>FII!N3</f>
        <v>5111</v>
      </c>
      <c r="D241" s="13">
        <f>FII!J3</f>
        <v>5434</v>
      </c>
      <c r="E241" s="14">
        <f>(C241-D241)/C241</f>
        <v>-6.3197026022304828E-2</v>
      </c>
      <c r="F241" s="13">
        <f>FII!M3</f>
        <v>25006</v>
      </c>
      <c r="G241" s="13">
        <f>FII!I3</f>
        <v>26525</v>
      </c>
      <c r="H241" s="14">
        <f>(F241-G241)/F241</f>
        <v>-6.0745421098936256E-2</v>
      </c>
    </row>
    <row r="242" spans="1:8" x14ac:dyDescent="0.25">
      <c r="A242" s="237" t="s">
        <v>394</v>
      </c>
      <c r="B242" s="238"/>
      <c r="C242" s="13">
        <f>FII!N4</f>
        <v>76147</v>
      </c>
      <c r="D242" s="13">
        <f>FII!J4</f>
        <v>74786</v>
      </c>
      <c r="E242" s="14">
        <f>(C242-D242)/C242</f>
        <v>1.7873323965487808E-2</v>
      </c>
      <c r="F242" s="13">
        <f>FII!M4</f>
        <v>379529</v>
      </c>
      <c r="G242" s="13">
        <f>FII!I4</f>
        <v>370401</v>
      </c>
      <c r="H242" s="14">
        <f>(F242-G242)/F242</f>
        <v>2.4050863043403797E-2</v>
      </c>
    </row>
    <row r="243" spans="1:8" x14ac:dyDescent="0.25">
      <c r="A243" s="237" t="s">
        <v>395</v>
      </c>
      <c r="B243" s="238"/>
      <c r="C243" s="13">
        <f>FII!N15</f>
        <v>401266</v>
      </c>
      <c r="D243" s="13">
        <f>FII!J15</f>
        <v>396604</v>
      </c>
      <c r="E243" s="14">
        <f>(C243-D243)/C243</f>
        <v>1.1618228307407056E-2</v>
      </c>
      <c r="F243" s="13">
        <f>FII!M15</f>
        <v>5994212</v>
      </c>
      <c r="G243" s="13">
        <f>FII!I15</f>
        <v>5934387</v>
      </c>
      <c r="H243" s="14">
        <f>(F243-G243)/F243</f>
        <v>9.9804611515241712E-3</v>
      </c>
    </row>
    <row r="244" spans="1:8" x14ac:dyDescent="0.25">
      <c r="A244" s="237" t="s">
        <v>396</v>
      </c>
      <c r="B244" s="238"/>
      <c r="C244" s="13">
        <f>FII!N16</f>
        <v>39379</v>
      </c>
      <c r="D244" s="13">
        <f>FII!J16</f>
        <v>38060</v>
      </c>
      <c r="E244" s="14">
        <f>(C244-D244)/C244</f>
        <v>3.3495010030727038E-2</v>
      </c>
      <c r="F244" s="13">
        <f>FII!M16</f>
        <v>580723</v>
      </c>
      <c r="G244" s="13">
        <f>FII!I16</f>
        <v>562667</v>
      </c>
      <c r="H244" s="14">
        <f>(F244-G244)/F244</f>
        <v>3.1092276352064581E-2</v>
      </c>
    </row>
    <row r="245" spans="1:8" x14ac:dyDescent="0.25">
      <c r="A245" s="237" t="s">
        <v>391</v>
      </c>
      <c r="B245" s="238"/>
      <c r="C245" s="155">
        <f>SUM(C241:C244)</f>
        <v>521903</v>
      </c>
      <c r="D245" s="155">
        <f>SUM(D241:D244)</f>
        <v>514884</v>
      </c>
      <c r="E245" s="156">
        <f>(C245-D245)/C245</f>
        <v>1.3448859270784035E-2</v>
      </c>
      <c r="F245" s="157">
        <f>SUM(F241:F244)</f>
        <v>6979470</v>
      </c>
      <c r="G245" s="158">
        <f>SUM(G241:G244)</f>
        <v>6893980</v>
      </c>
      <c r="H245" s="156">
        <f>(F245-G245)/F245</f>
        <v>1.2248781067903437E-2</v>
      </c>
    </row>
  </sheetData>
  <mergeCells count="24">
    <mergeCell ref="A6:S6"/>
    <mergeCell ref="A7:S7"/>
    <mergeCell ref="A8:A9"/>
    <mergeCell ref="H8:K8"/>
    <mergeCell ref="L8:O8"/>
    <mergeCell ref="P8:S8"/>
    <mergeCell ref="D9:G9"/>
    <mergeCell ref="H9:K9"/>
    <mergeCell ref="C8:G8"/>
    <mergeCell ref="L9:O9"/>
    <mergeCell ref="P9:Q9"/>
    <mergeCell ref="R9:S9"/>
    <mergeCell ref="A244:B244"/>
    <mergeCell ref="A245:B245"/>
    <mergeCell ref="A229:C229"/>
    <mergeCell ref="C239:E239"/>
    <mergeCell ref="F239:H239"/>
    <mergeCell ref="A242:B242"/>
    <mergeCell ref="A243:B243"/>
    <mergeCell ref="P225:S225"/>
    <mergeCell ref="A225:F225"/>
    <mergeCell ref="Q224:S224"/>
    <mergeCell ref="I224:M224"/>
    <mergeCell ref="A224:F224"/>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workbookViewId="0">
      <pane ySplit="5" topLeftCell="A6" activePane="bottomLeft" state="frozen"/>
      <selection pane="bottomLeft" activeCell="J7" sqref="J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46009</v>
      </c>
      <c r="C5" s="3">
        <f>B5</f>
        <v>46009</v>
      </c>
      <c r="D5" s="76" t="s">
        <v>367</v>
      </c>
      <c r="E5" s="76" t="s">
        <v>321</v>
      </c>
      <c r="F5" s="76" t="s">
        <v>368</v>
      </c>
      <c r="G5" s="76" t="s">
        <v>369</v>
      </c>
      <c r="H5" s="48"/>
    </row>
    <row r="6" spans="1:8" x14ac:dyDescent="0.25">
      <c r="A6" s="101" t="str">
        <f>'Data shares'!C2</f>
        <v>360ONE</v>
      </c>
      <c r="B6" s="144">
        <f>VLOOKUP($A6,'Data shares'!$C:$FA,7)</f>
        <v>1143.2</v>
      </c>
      <c r="C6" s="144">
        <f>VLOOKUP($A6,'Data shares'!$C:$FA,3)</f>
        <v>1144.4000000000001</v>
      </c>
      <c r="D6" s="144">
        <f>VLOOKUP($A6,'Data shares'!$C:$FA,23)</f>
        <v>1.2</v>
      </c>
      <c r="E6" s="145">
        <f>VLOOKUP($A6,'Data shares'!$C:$FA,26)*100</f>
        <v>0.1</v>
      </c>
      <c r="F6" s="144">
        <f>VLOOKUP($A6,'Data shares'!$C:$FA,24)</f>
        <v>4</v>
      </c>
      <c r="G6" s="144">
        <f>VLOOKUP($A6,'Data shares'!$C:$FA,25)</f>
        <v>-2.8</v>
      </c>
    </row>
    <row r="7" spans="1:8" x14ac:dyDescent="0.25">
      <c r="A7" s="101" t="str">
        <f>'Data shares'!C3</f>
        <v>ABB</v>
      </c>
      <c r="B7" s="144">
        <f>VLOOKUP($A7,'Data shares'!$C:$FA,7)</f>
        <v>5097.5</v>
      </c>
      <c r="C7" s="144">
        <f>VLOOKUP($A7,'Data shares'!$C:$FA,3)</f>
        <v>5116.5</v>
      </c>
      <c r="D7" s="144">
        <f>VLOOKUP($A7,'Data shares'!$C:$FA,23)</f>
        <v>19</v>
      </c>
      <c r="E7" s="145">
        <f>VLOOKUP($A7,'Data shares'!$C:$FA,26)*100</f>
        <v>0.37</v>
      </c>
      <c r="F7" s="144">
        <f>VLOOKUP($A7,'Data shares'!$C:$FA,24)</f>
        <v>19</v>
      </c>
      <c r="G7" s="144">
        <f>VLOOKUP($A7,'Data shares'!$C:$FA,25)</f>
        <v>0</v>
      </c>
    </row>
    <row r="8" spans="1:8" x14ac:dyDescent="0.25">
      <c r="A8" s="101" t="str">
        <f>'Data shares'!C4</f>
        <v>ABCAPITAL</v>
      </c>
      <c r="B8" s="144">
        <f>VLOOKUP($A8,'Data shares'!$C:$FA,7)</f>
        <v>344.25</v>
      </c>
      <c r="C8" s="144">
        <f>VLOOKUP($A8,'Data shares'!$C:$FA,3)</f>
        <v>345.5</v>
      </c>
      <c r="D8" s="144">
        <f>VLOOKUP($A8,'Data shares'!$C:$FA,23)</f>
        <v>1.25</v>
      </c>
      <c r="E8" s="145">
        <f>VLOOKUP($A8,'Data shares'!$C:$FA,26)*100</f>
        <v>0.36</v>
      </c>
      <c r="F8" s="144">
        <f>VLOOKUP($A8,'Data shares'!$C:$FA,24)</f>
        <v>0.9</v>
      </c>
      <c r="G8" s="144">
        <f>VLOOKUP($A8,'Data shares'!$C:$FA,25)</f>
        <v>0.35</v>
      </c>
    </row>
    <row r="9" spans="1:8" x14ac:dyDescent="0.25">
      <c r="A9" s="101" t="str">
        <f>'Data shares'!C5</f>
        <v>ADANIENSOL</v>
      </c>
      <c r="B9" s="144">
        <f>VLOOKUP($A9,'Data shares'!$C:$FA,7)</f>
        <v>976.3</v>
      </c>
      <c r="C9" s="144">
        <f>VLOOKUP($A9,'Data shares'!$C:$FA,3)</f>
        <v>977.65</v>
      </c>
      <c r="D9" s="144">
        <f>VLOOKUP($A9,'Data shares'!$C:$FA,23)</f>
        <v>1.35</v>
      </c>
      <c r="E9" s="145">
        <f>VLOOKUP($A9,'Data shares'!$C:$FA,26)*100</f>
        <v>0.13999999999999999</v>
      </c>
      <c r="F9" s="144">
        <f>VLOOKUP($A9,'Data shares'!$C:$FA,24)</f>
        <v>3.75</v>
      </c>
      <c r="G9" s="144">
        <f>VLOOKUP($A9,'Data shares'!$C:$FA,25)</f>
        <v>-2.4</v>
      </c>
    </row>
    <row r="10" spans="1:8" x14ac:dyDescent="0.25">
      <c r="A10" s="101" t="str">
        <f>'Data shares'!C6</f>
        <v>ADANIENT</v>
      </c>
      <c r="B10" s="144">
        <f>VLOOKUP($A10,'Data shares'!$C:$FA,7)</f>
        <v>2229.3000000000002</v>
      </c>
      <c r="C10" s="144">
        <f>VLOOKUP($A10,'Data shares'!$C:$FA,3)</f>
        <v>2236.5</v>
      </c>
      <c r="D10" s="144">
        <f>VLOOKUP($A10,'Data shares'!$C:$FA,23)</f>
        <v>7.2</v>
      </c>
      <c r="E10" s="145">
        <f>VLOOKUP($A10,'Data shares'!$C:$FA,26)*100</f>
        <v>0.32</v>
      </c>
      <c r="F10" s="144">
        <f>VLOOKUP($A10,'Data shares'!$C:$FA,24)</f>
        <v>9.3000000000000007</v>
      </c>
      <c r="G10" s="144">
        <f>VLOOKUP($A10,'Data shares'!$C:$FA,25)</f>
        <v>-2.1</v>
      </c>
    </row>
    <row r="11" spans="1:8" x14ac:dyDescent="0.25">
      <c r="A11" s="101" t="str">
        <f>'Data shares'!C7</f>
        <v>ADANIGREEN</v>
      </c>
      <c r="B11" s="144">
        <f>VLOOKUP($A11,'Data shares'!$C:$FA,7)</f>
        <v>1011</v>
      </c>
      <c r="C11" s="144">
        <f>VLOOKUP($A11,'Data shares'!$C:$FA,3)</f>
        <v>1013.9</v>
      </c>
      <c r="D11" s="144">
        <f>VLOOKUP($A11,'Data shares'!$C:$FA,23)</f>
        <v>2.9</v>
      </c>
      <c r="E11" s="145">
        <f>VLOOKUP($A11,'Data shares'!$C:$FA,26)*100</f>
        <v>0.28999999999999998</v>
      </c>
      <c r="F11" s="144">
        <f>VLOOKUP($A11,'Data shares'!$C:$FA,24)</f>
        <v>2.9</v>
      </c>
      <c r="G11" s="144">
        <f>VLOOKUP($A11,'Data shares'!$C:$FA,25)</f>
        <v>0</v>
      </c>
    </row>
    <row r="12" spans="1:8" x14ac:dyDescent="0.25">
      <c r="A12" s="101" t="str">
        <f>'Data shares'!C8</f>
        <v>ADANIPORTS</v>
      </c>
      <c r="B12" s="144">
        <f>VLOOKUP($A12,'Data shares'!$C:$FA,7)</f>
        <v>1495.7</v>
      </c>
      <c r="C12" s="144">
        <f>VLOOKUP($A12,'Data shares'!$C:$FA,3)</f>
        <v>1499.4</v>
      </c>
      <c r="D12" s="144">
        <f>VLOOKUP($A12,'Data shares'!$C:$FA,23)</f>
        <v>3.7</v>
      </c>
      <c r="E12" s="145">
        <f>VLOOKUP($A12,'Data shares'!$C:$FA,26)*100</f>
        <v>0.25</v>
      </c>
      <c r="F12" s="144">
        <f>VLOOKUP($A12,'Data shares'!$C:$FA,24)</f>
        <v>5.5</v>
      </c>
      <c r="G12" s="144">
        <f>VLOOKUP($A12,'Data shares'!$C:$FA,25)</f>
        <v>-1.8</v>
      </c>
    </row>
    <row r="13" spans="1:8" x14ac:dyDescent="0.25">
      <c r="A13" s="101" t="str">
        <f>'Data shares'!C9</f>
        <v>ALKEM</v>
      </c>
      <c r="B13" s="144">
        <f>VLOOKUP($A13,'Data shares'!$C:$FA,7)</f>
        <v>5521</v>
      </c>
      <c r="C13" s="144">
        <f>VLOOKUP($A13,'Data shares'!$C:$FA,3)</f>
        <v>5533</v>
      </c>
      <c r="D13" s="144">
        <f>VLOOKUP($A13,'Data shares'!$C:$FA,23)</f>
        <v>12</v>
      </c>
      <c r="E13" s="145">
        <f>VLOOKUP($A13,'Data shares'!$C:$FA,26)*100</f>
        <v>0.22</v>
      </c>
      <c r="F13" s="144">
        <f>VLOOKUP($A13,'Data shares'!$C:$FA,24)</f>
        <v>7</v>
      </c>
      <c r="G13" s="144">
        <f>VLOOKUP($A13,'Data shares'!$C:$FA,25)</f>
        <v>5</v>
      </c>
    </row>
    <row r="14" spans="1:8" x14ac:dyDescent="0.25">
      <c r="A14" s="101" t="str">
        <f>'Data shares'!C10</f>
        <v>AMBER</v>
      </c>
      <c r="B14" s="144">
        <f>VLOOKUP($A14,'Data shares'!$C:$FA,7)</f>
        <v>6585.5</v>
      </c>
      <c r="C14" s="144">
        <f>VLOOKUP($A14,'Data shares'!$C:$FA,3)</f>
        <v>6595</v>
      </c>
      <c r="D14" s="144">
        <f>VLOOKUP($A14,'Data shares'!$C:$FA,23)</f>
        <v>9.5</v>
      </c>
      <c r="E14" s="145">
        <f>VLOOKUP($A14,'Data shares'!$C:$FA,26)*100</f>
        <v>0.13999999999999999</v>
      </c>
      <c r="F14" s="144">
        <f>VLOOKUP($A14,'Data shares'!$C:$FA,24)</f>
        <v>19.5</v>
      </c>
      <c r="G14" s="144">
        <f>VLOOKUP($A14,'Data shares'!$C:$FA,25)</f>
        <v>-10</v>
      </c>
    </row>
    <row r="15" spans="1:8" x14ac:dyDescent="0.25">
      <c r="A15" s="101" t="str">
        <f>'Data shares'!C11</f>
        <v>AMBUJACEM</v>
      </c>
      <c r="B15" s="144">
        <f>VLOOKUP($A15,'Data shares'!$C:$FA,7)</f>
        <v>535.79999999999995</v>
      </c>
      <c r="C15" s="144">
        <f>VLOOKUP($A15,'Data shares'!$C:$FA,3)</f>
        <v>537.45000000000005</v>
      </c>
      <c r="D15" s="144">
        <f>VLOOKUP($A15,'Data shares'!$C:$FA,23)</f>
        <v>1.65</v>
      </c>
      <c r="E15" s="145">
        <f>VLOOKUP($A15,'Data shares'!$C:$FA,26)*100</f>
        <v>0.31</v>
      </c>
      <c r="F15" s="144">
        <f>VLOOKUP($A15,'Data shares'!$C:$FA,24)</f>
        <v>0.6</v>
      </c>
      <c r="G15" s="144">
        <f>VLOOKUP($A15,'Data shares'!$C:$FA,25)</f>
        <v>1.05</v>
      </c>
    </row>
    <row r="16" spans="1:8" x14ac:dyDescent="0.25">
      <c r="A16" s="101" t="str">
        <f>'Data shares'!C12</f>
        <v>ANGELONE</v>
      </c>
      <c r="B16" s="144">
        <f>VLOOKUP($A16,'Data shares'!$C:$FA,7)</f>
        <v>2479.1</v>
      </c>
      <c r="C16" s="144">
        <f>VLOOKUP($A16,'Data shares'!$C:$FA,3)</f>
        <v>2476.8000000000002</v>
      </c>
      <c r="D16" s="144">
        <f>VLOOKUP($A16,'Data shares'!$C:$FA,23)</f>
        <v>-2.2999999999999998</v>
      </c>
      <c r="E16" s="145">
        <f>VLOOKUP($A16,'Data shares'!$C:$FA,26)*100</f>
        <v>-0.09</v>
      </c>
      <c r="F16" s="144">
        <f>VLOOKUP($A16,'Data shares'!$C:$FA,24)</f>
        <v>-25.7</v>
      </c>
      <c r="G16" s="144">
        <f>VLOOKUP($A16,'Data shares'!$C:$FA,25)</f>
        <v>23.4</v>
      </c>
    </row>
    <row r="17" spans="1:7" x14ac:dyDescent="0.25">
      <c r="A17" s="101" t="str">
        <f>'Data shares'!C13</f>
        <v>APLAPOLLO</v>
      </c>
      <c r="B17" s="144">
        <f>VLOOKUP($A17,'Data shares'!$C:$FA,7)</f>
        <v>1795.7</v>
      </c>
      <c r="C17" s="144">
        <f>VLOOKUP($A17,'Data shares'!$C:$FA,3)</f>
        <v>1800.8</v>
      </c>
      <c r="D17" s="144">
        <f>VLOOKUP($A17,'Data shares'!$C:$FA,23)</f>
        <v>5.0999999999999996</v>
      </c>
      <c r="E17" s="145">
        <f>VLOOKUP($A17,'Data shares'!$C:$FA,26)*100</f>
        <v>0.27999999999999997</v>
      </c>
      <c r="F17" s="144">
        <f>VLOOKUP($A17,'Data shares'!$C:$FA,24)</f>
        <v>5</v>
      </c>
      <c r="G17" s="144">
        <f>VLOOKUP($A17,'Data shares'!$C:$FA,25)</f>
        <v>0.1</v>
      </c>
    </row>
    <row r="18" spans="1:7" x14ac:dyDescent="0.25">
      <c r="A18" s="101" t="str">
        <f>'Data shares'!C14</f>
        <v>APOLLOHOSP</v>
      </c>
      <c r="B18" s="144">
        <f>VLOOKUP($A18,'Data shares'!$C:$FA,7)</f>
        <v>6918.5</v>
      </c>
      <c r="C18" s="144">
        <f>VLOOKUP($A18,'Data shares'!$C:$FA,3)</f>
        <v>6933.5</v>
      </c>
      <c r="D18" s="144">
        <f>VLOOKUP($A18,'Data shares'!$C:$FA,23)</f>
        <v>15</v>
      </c>
      <c r="E18" s="145">
        <f>VLOOKUP($A18,'Data shares'!$C:$FA,26)*100</f>
        <v>0.22</v>
      </c>
      <c r="F18" s="144">
        <f>VLOOKUP($A18,'Data shares'!$C:$FA,24)</f>
        <v>6</v>
      </c>
      <c r="G18" s="144">
        <f>VLOOKUP($A18,'Data shares'!$C:$FA,25)</f>
        <v>9</v>
      </c>
    </row>
    <row r="19" spans="1:7" x14ac:dyDescent="0.25">
      <c r="A19" s="101" t="str">
        <f>'Data shares'!C15</f>
        <v>ASHOKLEY</v>
      </c>
      <c r="B19" s="144">
        <f>VLOOKUP($A19,'Data shares'!$C:$FA,7)</f>
        <v>171.57</v>
      </c>
      <c r="C19" s="144">
        <f>VLOOKUP($A19,'Data shares'!$C:$FA,3)</f>
        <v>170.12</v>
      </c>
      <c r="D19" s="144">
        <f>VLOOKUP($A19,'Data shares'!$C:$FA,23)</f>
        <v>-1.45</v>
      </c>
      <c r="E19" s="145">
        <f>VLOOKUP($A19,'Data shares'!$C:$FA,26)*100</f>
        <v>-0.85000000000000009</v>
      </c>
      <c r="F19" s="144">
        <f>VLOOKUP($A19,'Data shares'!$C:$FA,24)</f>
        <v>0.01</v>
      </c>
      <c r="G19" s="144">
        <f>VLOOKUP($A19,'Data shares'!$C:$FA,25)</f>
        <v>-1.46</v>
      </c>
    </row>
    <row r="20" spans="1:7" x14ac:dyDescent="0.25">
      <c r="A20" s="101" t="str">
        <f>'Data shares'!C16</f>
        <v>ASIANPAINT</v>
      </c>
      <c r="B20" s="144">
        <f>VLOOKUP($A20,'Data shares'!$C:$FA,7)</f>
        <v>2759.7</v>
      </c>
      <c r="C20" s="144">
        <f>VLOOKUP($A20,'Data shares'!$C:$FA,3)</f>
        <v>2764.1</v>
      </c>
      <c r="D20" s="144">
        <f>VLOOKUP($A20,'Data shares'!$C:$FA,23)</f>
        <v>4.4000000000000004</v>
      </c>
      <c r="E20" s="145">
        <f>VLOOKUP($A20,'Data shares'!$C:$FA,26)*100</f>
        <v>0.16</v>
      </c>
      <c r="F20" s="144">
        <f>VLOOKUP($A20,'Data shares'!$C:$FA,24)</f>
        <v>-0.1</v>
      </c>
      <c r="G20" s="144">
        <f>VLOOKUP($A20,'Data shares'!$C:$FA,25)</f>
        <v>4.5</v>
      </c>
    </row>
    <row r="21" spans="1:7" x14ac:dyDescent="0.25">
      <c r="A21" s="101" t="str">
        <f>'Data shares'!C17</f>
        <v>ASTRAL</v>
      </c>
      <c r="B21" s="144">
        <f>VLOOKUP($A21,'Data shares'!$C:$FA,7)</f>
        <v>1407.9</v>
      </c>
      <c r="C21" s="144">
        <f>VLOOKUP($A21,'Data shares'!$C:$FA,3)</f>
        <v>1414</v>
      </c>
      <c r="D21" s="144">
        <f>VLOOKUP($A21,'Data shares'!$C:$FA,23)</f>
        <v>6.1</v>
      </c>
      <c r="E21" s="145">
        <f>VLOOKUP($A21,'Data shares'!$C:$FA,26)*100</f>
        <v>0.43</v>
      </c>
      <c r="F21" s="144">
        <f>VLOOKUP($A21,'Data shares'!$C:$FA,24)</f>
        <v>2</v>
      </c>
      <c r="G21" s="144">
        <f>VLOOKUP($A21,'Data shares'!$C:$FA,25)</f>
        <v>4.0999999999999996</v>
      </c>
    </row>
    <row r="22" spans="1:7" x14ac:dyDescent="0.25">
      <c r="A22" s="101" t="str">
        <f>'Data shares'!C18</f>
        <v>AUBANK</v>
      </c>
      <c r="B22" s="144">
        <f>VLOOKUP($A22,'Data shares'!$C:$FA,7)</f>
        <v>987.65</v>
      </c>
      <c r="C22" s="144">
        <f>VLOOKUP($A22,'Data shares'!$C:$FA,3)</f>
        <v>987.4</v>
      </c>
      <c r="D22" s="144">
        <f>VLOOKUP($A22,'Data shares'!$C:$FA,23)</f>
        <v>-0.25</v>
      </c>
      <c r="E22" s="145">
        <f>VLOOKUP($A22,'Data shares'!$C:$FA,26)*100</f>
        <v>-0.03</v>
      </c>
      <c r="F22" s="144">
        <f>VLOOKUP($A22,'Data shares'!$C:$FA,24)</f>
        <v>-1.6</v>
      </c>
      <c r="G22" s="144">
        <f>VLOOKUP($A22,'Data shares'!$C:$FA,25)</f>
        <v>1.35</v>
      </c>
    </row>
    <row r="23" spans="1:7" x14ac:dyDescent="0.25">
      <c r="A23" s="101" t="str">
        <f>'Data shares'!C19</f>
        <v>AUROPHARMA</v>
      </c>
      <c r="B23" s="144">
        <f>VLOOKUP($A23,'Data shares'!$C:$FA,7)</f>
        <v>1209.3</v>
      </c>
      <c r="C23" s="144">
        <f>VLOOKUP($A23,'Data shares'!$C:$FA,3)</f>
        <v>1210</v>
      </c>
      <c r="D23" s="144">
        <f>VLOOKUP($A23,'Data shares'!$C:$FA,23)</f>
        <v>0.7</v>
      </c>
      <c r="E23" s="145">
        <f>VLOOKUP($A23,'Data shares'!$C:$FA,26)*100</f>
        <v>0.06</v>
      </c>
      <c r="F23" s="144">
        <f>VLOOKUP($A23,'Data shares'!$C:$FA,24)</f>
        <v>2.2999999999999998</v>
      </c>
      <c r="G23" s="144">
        <f>VLOOKUP($A23,'Data shares'!$C:$FA,25)</f>
        <v>-1.6</v>
      </c>
    </row>
    <row r="24" spans="1:7" x14ac:dyDescent="0.25">
      <c r="A24" s="101" t="str">
        <f>'Data shares'!C20</f>
        <v>AXISBANK</v>
      </c>
      <c r="B24" s="144">
        <f>VLOOKUP($A24,'Data shares'!$C:$FA,7)</f>
        <v>1229.8</v>
      </c>
      <c r="C24" s="144">
        <f>VLOOKUP($A24,'Data shares'!$C:$FA,3)</f>
        <v>1233</v>
      </c>
      <c r="D24" s="144">
        <f>VLOOKUP($A24,'Data shares'!$C:$FA,23)</f>
        <v>3.2</v>
      </c>
      <c r="E24" s="145">
        <f>VLOOKUP($A24,'Data shares'!$C:$FA,26)*100</f>
        <v>0.26</v>
      </c>
      <c r="F24" s="144">
        <f>VLOOKUP($A24,'Data shares'!$C:$FA,24)</f>
        <v>3.9</v>
      </c>
      <c r="G24" s="144">
        <f>VLOOKUP($A24,'Data shares'!$C:$FA,25)</f>
        <v>-0.7</v>
      </c>
    </row>
    <row r="25" spans="1:7" x14ac:dyDescent="0.25">
      <c r="A25" s="101" t="str">
        <f>'Data shares'!C21</f>
        <v>BAJAJ-AUTO</v>
      </c>
      <c r="B25" s="144">
        <f>VLOOKUP($A25,'Data shares'!$C:$FA,7)</f>
        <v>8831</v>
      </c>
      <c r="C25" s="144">
        <f>VLOOKUP($A25,'Data shares'!$C:$FA,3)</f>
        <v>8861</v>
      </c>
      <c r="D25" s="144">
        <f>VLOOKUP($A25,'Data shares'!$C:$FA,23)</f>
        <v>30</v>
      </c>
      <c r="E25" s="145">
        <f>VLOOKUP($A25,'Data shares'!$C:$FA,26)*100</f>
        <v>0.33999999999999997</v>
      </c>
      <c r="F25" s="144">
        <f>VLOOKUP($A25,'Data shares'!$C:$FA,24)</f>
        <v>29.5</v>
      </c>
      <c r="G25" s="144">
        <f>VLOOKUP($A25,'Data shares'!$C:$FA,25)</f>
        <v>0.5</v>
      </c>
    </row>
    <row r="26" spans="1:7" x14ac:dyDescent="0.25">
      <c r="A26" s="101" t="str">
        <f>'Data shares'!C22</f>
        <v>BAJAJFINSV</v>
      </c>
      <c r="B26" s="144">
        <f>VLOOKUP($A26,'Data shares'!$C:$FA,7)</f>
        <v>2026.3</v>
      </c>
      <c r="C26" s="144">
        <f>VLOOKUP($A26,'Data shares'!$C:$FA,3)</f>
        <v>2029.1</v>
      </c>
      <c r="D26" s="144">
        <f>VLOOKUP($A26,'Data shares'!$C:$FA,23)</f>
        <v>2.8</v>
      </c>
      <c r="E26" s="145">
        <f>VLOOKUP($A26,'Data shares'!$C:$FA,26)*100</f>
        <v>0.13999999999999999</v>
      </c>
      <c r="F26" s="144">
        <f>VLOOKUP($A26,'Data shares'!$C:$FA,24)</f>
        <v>4.7</v>
      </c>
      <c r="G26" s="144">
        <f>VLOOKUP($A26,'Data shares'!$C:$FA,25)</f>
        <v>-1.9</v>
      </c>
    </row>
    <row r="27" spans="1:7" x14ac:dyDescent="0.25">
      <c r="A27" s="101" t="str">
        <f>'Data shares'!C23</f>
        <v>BAJFINANCE</v>
      </c>
      <c r="B27" s="144">
        <f>VLOOKUP($A27,'Data shares'!$C:$FA,7)</f>
        <v>1000.3</v>
      </c>
      <c r="C27" s="144">
        <f>VLOOKUP($A27,'Data shares'!$C:$FA,3)</f>
        <v>1002.2</v>
      </c>
      <c r="D27" s="144">
        <f>VLOOKUP($A27,'Data shares'!$C:$FA,23)</f>
        <v>1.9</v>
      </c>
      <c r="E27" s="145">
        <f>VLOOKUP($A27,'Data shares'!$C:$FA,26)*100</f>
        <v>0.19</v>
      </c>
      <c r="F27" s="144">
        <f>VLOOKUP($A27,'Data shares'!$C:$FA,24)</f>
        <v>3.5</v>
      </c>
      <c r="G27" s="144">
        <f>VLOOKUP($A27,'Data shares'!$C:$FA,25)</f>
        <v>-1.6</v>
      </c>
    </row>
    <row r="28" spans="1:7" x14ac:dyDescent="0.25">
      <c r="A28" s="101" t="str">
        <f>'Data shares'!C24</f>
        <v>BANDHANBNK</v>
      </c>
      <c r="B28" s="144">
        <f>VLOOKUP($A28,'Data shares'!$C:$FA,7)</f>
        <v>145.33000000000001</v>
      </c>
      <c r="C28" s="144">
        <f>VLOOKUP($A28,'Data shares'!$C:$FA,3)</f>
        <v>146.09</v>
      </c>
      <c r="D28" s="144">
        <f>VLOOKUP($A28,'Data shares'!$C:$FA,23)</f>
        <v>0.76</v>
      </c>
      <c r="E28" s="145">
        <f>VLOOKUP($A28,'Data shares'!$C:$FA,26)*100</f>
        <v>0.52</v>
      </c>
      <c r="F28" s="144">
        <f>VLOOKUP($A28,'Data shares'!$C:$FA,24)</f>
        <v>0.79</v>
      </c>
      <c r="G28" s="144">
        <f>VLOOKUP($A28,'Data shares'!$C:$FA,25)</f>
        <v>-0.03</v>
      </c>
    </row>
    <row r="29" spans="1:7" x14ac:dyDescent="0.25">
      <c r="A29" s="101" t="str">
        <f>'Data shares'!C25</f>
        <v>BANKBARODA</v>
      </c>
      <c r="B29" s="144">
        <f>VLOOKUP($A29,'Data shares'!$C:$FA,7)</f>
        <v>288.10000000000002</v>
      </c>
      <c r="C29" s="144">
        <f>VLOOKUP($A29,'Data shares'!$C:$FA,3)</f>
        <v>288.3</v>
      </c>
      <c r="D29" s="144">
        <f>VLOOKUP($A29,'Data shares'!$C:$FA,23)</f>
        <v>0.2</v>
      </c>
      <c r="E29" s="145">
        <f>VLOOKUP($A29,'Data shares'!$C:$FA,26)*100</f>
        <v>6.9999999999999993E-2</v>
      </c>
      <c r="F29" s="144">
        <f>VLOOKUP($A29,'Data shares'!$C:$FA,24)</f>
        <v>0.55000000000000004</v>
      </c>
      <c r="G29" s="144">
        <f>VLOOKUP($A29,'Data shares'!$C:$FA,25)</f>
        <v>-0.35</v>
      </c>
    </row>
    <row r="30" spans="1:7" x14ac:dyDescent="0.25">
      <c r="A30" s="101" t="str">
        <f>'Data shares'!C26</f>
        <v>BANKINDIA</v>
      </c>
      <c r="B30" s="144">
        <f>VLOOKUP($A30,'Data shares'!$C:$FA,7)</f>
        <v>142.30000000000001</v>
      </c>
      <c r="C30" s="144">
        <f>VLOOKUP($A30,'Data shares'!$C:$FA,3)</f>
        <v>142.37</v>
      </c>
      <c r="D30" s="144">
        <f>VLOOKUP($A30,'Data shares'!$C:$FA,23)</f>
        <v>7.0000000000000007E-2</v>
      </c>
      <c r="E30" s="145">
        <f>VLOOKUP($A30,'Data shares'!$C:$FA,26)*100</f>
        <v>0.05</v>
      </c>
      <c r="F30" s="144">
        <f>VLOOKUP($A30,'Data shares'!$C:$FA,24)</f>
        <v>0.48</v>
      </c>
      <c r="G30" s="144">
        <f>VLOOKUP($A30,'Data shares'!$C:$FA,25)</f>
        <v>-0.41</v>
      </c>
    </row>
    <row r="31" spans="1:7" x14ac:dyDescent="0.25">
      <c r="A31" s="101" t="str">
        <f>'Data shares'!C27</f>
        <v>BANKNIFTY</v>
      </c>
      <c r="B31" s="144">
        <f>VLOOKUP($A31,'Data shares'!$C:$FA,7)</f>
        <v>58912.85</v>
      </c>
      <c r="C31" s="144">
        <f>VLOOKUP($A31,'Data shares'!$C:$FA,3)</f>
        <v>59074.2</v>
      </c>
      <c r="D31" s="144">
        <f>VLOOKUP($A31,'Data shares'!$C:$FA,23)</f>
        <v>161.35</v>
      </c>
      <c r="E31" s="145">
        <f>VLOOKUP($A31,'Data shares'!$C:$FA,26)*100</f>
        <v>0.27</v>
      </c>
      <c r="F31" s="144">
        <f>VLOOKUP($A31,'Data shares'!$C:$FA,24)</f>
        <v>220.05</v>
      </c>
      <c r="G31" s="144">
        <f>VLOOKUP($A31,'Data shares'!$C:$FA,25)</f>
        <v>-58.7</v>
      </c>
    </row>
    <row r="32" spans="1:7" x14ac:dyDescent="0.25">
      <c r="A32" s="101" t="str">
        <f>'Data shares'!C28</f>
        <v>BDL</v>
      </c>
      <c r="B32" s="144">
        <f>VLOOKUP($A32,'Data shares'!$C:$FA,7)</f>
        <v>1342.5</v>
      </c>
      <c r="C32" s="144">
        <f>VLOOKUP($A32,'Data shares'!$C:$FA,3)</f>
        <v>1343.4</v>
      </c>
      <c r="D32" s="144">
        <f>VLOOKUP($A32,'Data shares'!$C:$FA,23)</f>
        <v>0.9</v>
      </c>
      <c r="E32" s="145">
        <f>VLOOKUP($A32,'Data shares'!$C:$FA,26)*100</f>
        <v>6.9999999999999993E-2</v>
      </c>
      <c r="F32" s="144">
        <f>VLOOKUP($A32,'Data shares'!$C:$FA,24)</f>
        <v>3.7</v>
      </c>
      <c r="G32" s="144">
        <f>VLOOKUP($A32,'Data shares'!$C:$FA,25)</f>
        <v>-2.8</v>
      </c>
    </row>
    <row r="33" spans="1:7" x14ac:dyDescent="0.25">
      <c r="A33" s="101" t="str">
        <f>'Data shares'!C29</f>
        <v>BEL</v>
      </c>
      <c r="B33" s="144">
        <f>VLOOKUP($A33,'Data shares'!$C:$FA,7)</f>
        <v>383.45</v>
      </c>
      <c r="C33" s="144">
        <f>VLOOKUP($A33,'Data shares'!$C:$FA,3)</f>
        <v>384.35</v>
      </c>
      <c r="D33" s="144">
        <f>VLOOKUP($A33,'Data shares'!$C:$FA,23)</f>
        <v>0.9</v>
      </c>
      <c r="E33" s="145">
        <f>VLOOKUP($A33,'Data shares'!$C:$FA,26)*100</f>
        <v>0.22999999999999998</v>
      </c>
      <c r="F33" s="144">
        <f>VLOOKUP($A33,'Data shares'!$C:$FA,24)</f>
        <v>1.25</v>
      </c>
      <c r="G33" s="144">
        <f>VLOOKUP($A33,'Data shares'!$C:$FA,25)</f>
        <v>-0.35</v>
      </c>
    </row>
    <row r="34" spans="1:7" x14ac:dyDescent="0.25">
      <c r="A34" s="101" t="str">
        <f>'Data shares'!C30</f>
        <v>BHARATFORG</v>
      </c>
      <c r="B34" s="144">
        <f>VLOOKUP($A34,'Data shares'!$C:$FA,7)</f>
        <v>1407.5</v>
      </c>
      <c r="C34" s="144">
        <f>VLOOKUP($A34,'Data shares'!$C:$FA,3)</f>
        <v>1409.8</v>
      </c>
      <c r="D34" s="144">
        <f>VLOOKUP($A34,'Data shares'!$C:$FA,23)</f>
        <v>2.2999999999999998</v>
      </c>
      <c r="E34" s="145">
        <f>VLOOKUP($A34,'Data shares'!$C:$FA,26)*100</f>
        <v>0.16</v>
      </c>
      <c r="F34" s="144">
        <f>VLOOKUP($A34,'Data shares'!$C:$FA,24)</f>
        <v>4</v>
      </c>
      <c r="G34" s="144">
        <f>VLOOKUP($A34,'Data shares'!$C:$FA,25)</f>
        <v>-1.7</v>
      </c>
    </row>
    <row r="35" spans="1:7" x14ac:dyDescent="0.25">
      <c r="A35" s="101" t="str">
        <f>'Data shares'!C31</f>
        <v>BHARTIARTL</v>
      </c>
      <c r="B35" s="144">
        <f>VLOOKUP($A35,'Data shares'!$C:$FA,7)</f>
        <v>2092</v>
      </c>
      <c r="C35" s="144">
        <f>VLOOKUP($A35,'Data shares'!$C:$FA,3)</f>
        <v>2095.1999999999998</v>
      </c>
      <c r="D35" s="144">
        <f>VLOOKUP($A35,'Data shares'!$C:$FA,23)</f>
        <v>3.2</v>
      </c>
      <c r="E35" s="145">
        <f>VLOOKUP($A35,'Data shares'!$C:$FA,26)*100</f>
        <v>0.15</v>
      </c>
      <c r="F35" s="144">
        <f>VLOOKUP($A35,'Data shares'!$C:$FA,24)</f>
        <v>1.1000000000000001</v>
      </c>
      <c r="G35" s="144">
        <f>VLOOKUP($A35,'Data shares'!$C:$FA,25)</f>
        <v>2.1</v>
      </c>
    </row>
    <row r="36" spans="1:7" x14ac:dyDescent="0.25">
      <c r="A36" s="101" t="str">
        <f>'Data shares'!C32</f>
        <v>BHEL</v>
      </c>
      <c r="B36" s="144">
        <f>VLOOKUP($A36,'Data shares'!$C:$FA,7)</f>
        <v>275.05</v>
      </c>
      <c r="C36" s="144">
        <f>VLOOKUP($A36,'Data shares'!$C:$FA,3)</f>
        <v>275.5</v>
      </c>
      <c r="D36" s="144">
        <f>VLOOKUP($A36,'Data shares'!$C:$FA,23)</f>
        <v>0.45</v>
      </c>
      <c r="E36" s="145">
        <f>VLOOKUP($A36,'Data shares'!$C:$FA,26)*100</f>
        <v>0.16</v>
      </c>
      <c r="F36" s="144">
        <f>VLOOKUP($A36,'Data shares'!$C:$FA,24)</f>
        <v>0.9</v>
      </c>
      <c r="G36" s="144">
        <f>VLOOKUP($A36,'Data shares'!$C:$FA,25)</f>
        <v>-0.45</v>
      </c>
    </row>
    <row r="37" spans="1:7" x14ac:dyDescent="0.25">
      <c r="A37" s="101" t="str">
        <f>'Data shares'!C33</f>
        <v>BIOCON</v>
      </c>
      <c r="B37" s="144">
        <f>VLOOKUP($A37,'Data shares'!$C:$FA,7)</f>
        <v>392.25</v>
      </c>
      <c r="C37" s="144">
        <f>VLOOKUP($A37,'Data shares'!$C:$FA,3)</f>
        <v>393.55</v>
      </c>
      <c r="D37" s="144">
        <f>VLOOKUP($A37,'Data shares'!$C:$FA,23)</f>
        <v>1.3</v>
      </c>
      <c r="E37" s="145">
        <f>VLOOKUP($A37,'Data shares'!$C:$FA,26)*100</f>
        <v>0.33</v>
      </c>
      <c r="F37" s="144">
        <f>VLOOKUP($A37,'Data shares'!$C:$FA,24)</f>
        <v>0.75</v>
      </c>
      <c r="G37" s="144">
        <f>VLOOKUP($A37,'Data shares'!$C:$FA,25)</f>
        <v>0.55000000000000004</v>
      </c>
    </row>
    <row r="38" spans="1:7" x14ac:dyDescent="0.25">
      <c r="A38" s="101" t="str">
        <f>'Data shares'!C34</f>
        <v>BLUESTARCO</v>
      </c>
      <c r="B38" s="144">
        <f>VLOOKUP($A38,'Data shares'!$C:$FA,7)</f>
        <v>1854.6</v>
      </c>
      <c r="C38" s="144">
        <f>VLOOKUP($A38,'Data shares'!$C:$FA,3)</f>
        <v>1855.3</v>
      </c>
      <c r="D38" s="144">
        <f>VLOOKUP($A38,'Data shares'!$C:$FA,23)</f>
        <v>0.7</v>
      </c>
      <c r="E38" s="145">
        <f>VLOOKUP($A38,'Data shares'!$C:$FA,26)*100</f>
        <v>0.04</v>
      </c>
      <c r="F38" s="144">
        <f>VLOOKUP($A38,'Data shares'!$C:$FA,24)</f>
        <v>-0.9</v>
      </c>
      <c r="G38" s="144">
        <f>VLOOKUP($A38,'Data shares'!$C:$FA,25)</f>
        <v>1.6</v>
      </c>
    </row>
    <row r="39" spans="1:7" x14ac:dyDescent="0.25">
      <c r="A39" s="101" t="str">
        <f>'Data shares'!C35</f>
        <v>BOSCHLTD</v>
      </c>
      <c r="B39" s="144">
        <f>VLOOKUP($A39,'Data shares'!$C:$FA,7)</f>
        <v>35720</v>
      </c>
      <c r="C39" s="144">
        <f>VLOOKUP($A39,'Data shares'!$C:$FA,3)</f>
        <v>35745</v>
      </c>
      <c r="D39" s="144">
        <f>VLOOKUP($A39,'Data shares'!$C:$FA,23)</f>
        <v>25</v>
      </c>
      <c r="E39" s="145">
        <f>VLOOKUP($A39,'Data shares'!$C:$FA,26)*100</f>
        <v>6.9999999999999993E-2</v>
      </c>
      <c r="F39" s="144">
        <f>VLOOKUP($A39,'Data shares'!$C:$FA,24)</f>
        <v>70</v>
      </c>
      <c r="G39" s="144">
        <f>VLOOKUP($A39,'Data shares'!$C:$FA,25)</f>
        <v>-45</v>
      </c>
    </row>
    <row r="40" spans="1:7" x14ac:dyDescent="0.25">
      <c r="A40" s="101" t="str">
        <f>'Data shares'!C36</f>
        <v>BPCL</v>
      </c>
      <c r="B40" s="144">
        <f>VLOOKUP($A40,'Data shares'!$C:$FA,7)</f>
        <v>363.35</v>
      </c>
      <c r="C40" s="144">
        <f>VLOOKUP($A40,'Data shares'!$C:$FA,3)</f>
        <v>364.65</v>
      </c>
      <c r="D40" s="144">
        <f>VLOOKUP($A40,'Data shares'!$C:$FA,23)</f>
        <v>1.3</v>
      </c>
      <c r="E40" s="145">
        <f>VLOOKUP($A40,'Data shares'!$C:$FA,26)*100</f>
        <v>0.36</v>
      </c>
      <c r="F40" s="144">
        <f>VLOOKUP($A40,'Data shares'!$C:$FA,24)</f>
        <v>0.3</v>
      </c>
      <c r="G40" s="144">
        <f>VLOOKUP($A40,'Data shares'!$C:$FA,25)</f>
        <v>1</v>
      </c>
    </row>
    <row r="41" spans="1:7" x14ac:dyDescent="0.25">
      <c r="A41" s="101" t="str">
        <f>'Data shares'!C37</f>
        <v>BRITANNIA</v>
      </c>
      <c r="B41" s="144">
        <f>VLOOKUP($A41,'Data shares'!$C:$FA,7)</f>
        <v>6040.5</v>
      </c>
      <c r="C41" s="144">
        <f>VLOOKUP($A41,'Data shares'!$C:$FA,3)</f>
        <v>6048.5</v>
      </c>
      <c r="D41" s="144">
        <f>VLOOKUP($A41,'Data shares'!$C:$FA,23)</f>
        <v>8</v>
      </c>
      <c r="E41" s="145">
        <f>VLOOKUP($A41,'Data shares'!$C:$FA,26)*100</f>
        <v>0.13</v>
      </c>
      <c r="F41" s="144">
        <f>VLOOKUP($A41,'Data shares'!$C:$FA,24)</f>
        <v>4.5</v>
      </c>
      <c r="G41" s="144">
        <f>VLOOKUP($A41,'Data shares'!$C:$FA,25)</f>
        <v>3.5</v>
      </c>
    </row>
    <row r="42" spans="1:7" x14ac:dyDescent="0.25">
      <c r="A42" s="101" t="str">
        <f>'Data shares'!C38</f>
        <v>BSE</v>
      </c>
      <c r="B42" s="144">
        <f>VLOOKUP($A42,'Data shares'!$C:$FA,7)</f>
        <v>2682.9</v>
      </c>
      <c r="C42" s="144">
        <f>VLOOKUP($A42,'Data shares'!$C:$FA,3)</f>
        <v>2688.9</v>
      </c>
      <c r="D42" s="144">
        <f>VLOOKUP($A42,'Data shares'!$C:$FA,23)</f>
        <v>6</v>
      </c>
      <c r="E42" s="145">
        <f>VLOOKUP($A42,'Data shares'!$C:$FA,26)*100</f>
        <v>0.22</v>
      </c>
      <c r="F42" s="144">
        <f>VLOOKUP($A42,'Data shares'!$C:$FA,24)</f>
        <v>3</v>
      </c>
      <c r="G42" s="144">
        <f>VLOOKUP($A42,'Data shares'!$C:$FA,25)</f>
        <v>3</v>
      </c>
    </row>
    <row r="43" spans="1:7" x14ac:dyDescent="0.25">
      <c r="A43" s="101" t="str">
        <f>'Data shares'!C39</f>
        <v>CAMS</v>
      </c>
      <c r="B43" s="144">
        <f>VLOOKUP($A43,'Data shares'!$C:$FA,7)</f>
        <v>752.3</v>
      </c>
      <c r="C43" s="144">
        <f>VLOOKUP($A43,'Data shares'!$C:$FA,3)</f>
        <v>754</v>
      </c>
      <c r="D43" s="144">
        <f>VLOOKUP($A43,'Data shares'!$C:$FA,23)</f>
        <v>1.7</v>
      </c>
      <c r="E43" s="145">
        <f>VLOOKUP($A43,'Data shares'!$C:$FA,26)*100</f>
        <v>0.22999999999999998</v>
      </c>
      <c r="F43" s="144">
        <f>VLOOKUP($A43,'Data shares'!$C:$FA,24)</f>
        <v>1.4</v>
      </c>
      <c r="G43" s="144">
        <f>VLOOKUP($A43,'Data shares'!$C:$FA,25)</f>
        <v>0.3</v>
      </c>
    </row>
    <row r="44" spans="1:7" x14ac:dyDescent="0.25">
      <c r="A44" s="101" t="str">
        <f>'Data shares'!C40</f>
        <v>CANBK</v>
      </c>
      <c r="B44" s="144">
        <f>VLOOKUP($A44,'Data shares'!$C:$FA,7)</f>
        <v>149.83000000000001</v>
      </c>
      <c r="C44" s="144">
        <f>VLOOKUP($A44,'Data shares'!$C:$FA,3)</f>
        <v>149.69999999999999</v>
      </c>
      <c r="D44" s="144">
        <f>VLOOKUP($A44,'Data shares'!$C:$FA,23)</f>
        <v>-0.13</v>
      </c>
      <c r="E44" s="145">
        <f>VLOOKUP($A44,'Data shares'!$C:$FA,26)*100</f>
        <v>-0.09</v>
      </c>
      <c r="F44" s="144">
        <f>VLOOKUP($A44,'Data shares'!$C:$FA,24)</f>
        <v>0.14000000000000001</v>
      </c>
      <c r="G44" s="144">
        <f>VLOOKUP($A44,'Data shares'!$C:$FA,25)</f>
        <v>-0.27</v>
      </c>
    </row>
    <row r="45" spans="1:7" x14ac:dyDescent="0.25">
      <c r="A45" s="101" t="str">
        <f>'Data shares'!C41</f>
        <v>CDSL</v>
      </c>
      <c r="B45" s="144">
        <f>VLOOKUP($A45,'Data shares'!$C:$FA,7)</f>
        <v>1489.6</v>
      </c>
      <c r="C45" s="144">
        <f>VLOOKUP($A45,'Data shares'!$C:$FA,3)</f>
        <v>1490.8</v>
      </c>
      <c r="D45" s="144">
        <f>VLOOKUP($A45,'Data shares'!$C:$FA,23)</f>
        <v>1.2</v>
      </c>
      <c r="E45" s="145">
        <f>VLOOKUP($A45,'Data shares'!$C:$FA,26)*100</f>
        <v>0.08</v>
      </c>
      <c r="F45" s="144">
        <f>VLOOKUP($A45,'Data shares'!$C:$FA,24)</f>
        <v>1.1000000000000001</v>
      </c>
      <c r="G45" s="144">
        <f>VLOOKUP($A45,'Data shares'!$C:$FA,25)</f>
        <v>0.1</v>
      </c>
    </row>
    <row r="46" spans="1:7" x14ac:dyDescent="0.25">
      <c r="A46" s="101" t="str">
        <f>'Data shares'!C42</f>
        <v>CGPOWER</v>
      </c>
      <c r="B46" s="144">
        <f>VLOOKUP($A46,'Data shares'!$C:$FA,7)</f>
        <v>661.8</v>
      </c>
      <c r="C46" s="144">
        <f>VLOOKUP($A46,'Data shares'!$C:$FA,3)</f>
        <v>662.55</v>
      </c>
      <c r="D46" s="144">
        <f>VLOOKUP($A46,'Data shares'!$C:$FA,23)</f>
        <v>0.75</v>
      </c>
      <c r="E46" s="145">
        <f>VLOOKUP($A46,'Data shares'!$C:$FA,26)*100</f>
        <v>0.11</v>
      </c>
      <c r="F46" s="144">
        <f>VLOOKUP($A46,'Data shares'!$C:$FA,24)</f>
        <v>0.3</v>
      </c>
      <c r="G46" s="144">
        <f>VLOOKUP($A46,'Data shares'!$C:$FA,25)</f>
        <v>0.45</v>
      </c>
    </row>
    <row r="47" spans="1:7" x14ac:dyDescent="0.25">
      <c r="A47" s="101" t="str">
        <f>'Data shares'!C43</f>
        <v>CHOLAFIN</v>
      </c>
      <c r="B47" s="144">
        <f>VLOOKUP($A47,'Data shares'!$C:$FA,7)</f>
        <v>1679</v>
      </c>
      <c r="C47" s="144">
        <f>VLOOKUP($A47,'Data shares'!$C:$FA,3)</f>
        <v>1686</v>
      </c>
      <c r="D47" s="144">
        <f>VLOOKUP($A47,'Data shares'!$C:$FA,23)</f>
        <v>7</v>
      </c>
      <c r="E47" s="145">
        <f>VLOOKUP($A47,'Data shares'!$C:$FA,26)*100</f>
        <v>0.42</v>
      </c>
      <c r="F47" s="144">
        <f>VLOOKUP($A47,'Data shares'!$C:$FA,24)</f>
        <v>5.7</v>
      </c>
      <c r="G47" s="144">
        <f>VLOOKUP($A47,'Data shares'!$C:$FA,25)</f>
        <v>1.3</v>
      </c>
    </row>
    <row r="48" spans="1:7" x14ac:dyDescent="0.25">
      <c r="A48" s="101" t="str">
        <f>'Data shares'!C44</f>
        <v>CIPLA</v>
      </c>
      <c r="B48" s="144">
        <f>VLOOKUP($A48,'Data shares'!$C:$FA,7)</f>
        <v>1498.9</v>
      </c>
      <c r="C48" s="144">
        <f>VLOOKUP($A48,'Data shares'!$C:$FA,3)</f>
        <v>1502.5</v>
      </c>
      <c r="D48" s="144">
        <f>VLOOKUP($A48,'Data shares'!$C:$FA,23)</f>
        <v>3.6</v>
      </c>
      <c r="E48" s="145">
        <f>VLOOKUP($A48,'Data shares'!$C:$FA,26)*100</f>
        <v>0.24</v>
      </c>
      <c r="F48" s="144">
        <f>VLOOKUP($A48,'Data shares'!$C:$FA,24)</f>
        <v>1.6</v>
      </c>
      <c r="G48" s="144">
        <f>VLOOKUP($A48,'Data shares'!$C:$FA,25)</f>
        <v>2</v>
      </c>
    </row>
    <row r="49" spans="1:7" x14ac:dyDescent="0.25">
      <c r="A49" s="101" t="str">
        <f>'Data shares'!C45</f>
        <v>COALINDIA</v>
      </c>
      <c r="B49" s="144">
        <f>VLOOKUP($A49,'Data shares'!$C:$FA,7)</f>
        <v>385.3</v>
      </c>
      <c r="C49" s="144">
        <f>VLOOKUP($A49,'Data shares'!$C:$FA,3)</f>
        <v>386.5</v>
      </c>
      <c r="D49" s="144">
        <f>VLOOKUP($A49,'Data shares'!$C:$FA,23)</f>
        <v>1.2</v>
      </c>
      <c r="E49" s="145">
        <f>VLOOKUP($A49,'Data shares'!$C:$FA,26)*100</f>
        <v>0.31</v>
      </c>
      <c r="F49" s="144">
        <f>VLOOKUP($A49,'Data shares'!$C:$FA,24)</f>
        <v>1.1000000000000001</v>
      </c>
      <c r="G49" s="144">
        <f>VLOOKUP($A49,'Data shares'!$C:$FA,25)</f>
        <v>0.1</v>
      </c>
    </row>
    <row r="50" spans="1:7" x14ac:dyDescent="0.25">
      <c r="A50" s="101" t="str">
        <f>'Data shares'!C46</f>
        <v>COFORGE</v>
      </c>
      <c r="B50" s="144">
        <f>VLOOKUP($A50,'Data shares'!$C:$FA,7)</f>
        <v>1854.8</v>
      </c>
      <c r="C50" s="144">
        <f>VLOOKUP($A50,'Data shares'!$C:$FA,3)</f>
        <v>1859.2</v>
      </c>
      <c r="D50" s="144">
        <f>VLOOKUP($A50,'Data shares'!$C:$FA,23)</f>
        <v>4.4000000000000004</v>
      </c>
      <c r="E50" s="145">
        <f>VLOOKUP($A50,'Data shares'!$C:$FA,26)*100</f>
        <v>0.24</v>
      </c>
      <c r="F50" s="144">
        <f>VLOOKUP($A50,'Data shares'!$C:$FA,24)</f>
        <v>6.8</v>
      </c>
      <c r="G50" s="144">
        <f>VLOOKUP($A50,'Data shares'!$C:$FA,25)</f>
        <v>-2.4</v>
      </c>
    </row>
    <row r="51" spans="1:7" x14ac:dyDescent="0.25">
      <c r="A51" s="101" t="str">
        <f>'Data shares'!C47</f>
        <v>COLPAL</v>
      </c>
      <c r="B51" s="144">
        <f>VLOOKUP($A51,'Data shares'!$C:$FA,7)</f>
        <v>2090</v>
      </c>
      <c r="C51" s="144">
        <f>VLOOKUP($A51,'Data shares'!$C:$FA,3)</f>
        <v>2095.8000000000002</v>
      </c>
      <c r="D51" s="144">
        <f>VLOOKUP($A51,'Data shares'!$C:$FA,23)</f>
        <v>5.8</v>
      </c>
      <c r="E51" s="145">
        <f>VLOOKUP($A51,'Data shares'!$C:$FA,26)*100</f>
        <v>0.27999999999999997</v>
      </c>
      <c r="F51" s="144">
        <f>VLOOKUP($A51,'Data shares'!$C:$FA,24)</f>
        <v>2.2999999999999998</v>
      </c>
      <c r="G51" s="144">
        <f>VLOOKUP($A51,'Data shares'!$C:$FA,25)</f>
        <v>3.5</v>
      </c>
    </row>
    <row r="52" spans="1:7" x14ac:dyDescent="0.25">
      <c r="A52" s="101" t="str">
        <f>'Data shares'!C48</f>
        <v>CONCOR</v>
      </c>
      <c r="B52" s="144">
        <f>VLOOKUP($A52,'Data shares'!$C:$FA,7)</f>
        <v>498.25</v>
      </c>
      <c r="C52" s="144">
        <f>VLOOKUP($A52,'Data shares'!$C:$FA,3)</f>
        <v>498.8</v>
      </c>
      <c r="D52" s="144">
        <f>VLOOKUP($A52,'Data shares'!$C:$FA,23)</f>
        <v>0.55000000000000004</v>
      </c>
      <c r="E52" s="145">
        <f>VLOOKUP($A52,'Data shares'!$C:$FA,26)*100</f>
        <v>0.11</v>
      </c>
      <c r="F52" s="144">
        <f>VLOOKUP($A52,'Data shares'!$C:$FA,24)</f>
        <v>0.4</v>
      </c>
      <c r="G52" s="144">
        <f>VLOOKUP($A52,'Data shares'!$C:$FA,25)</f>
        <v>0.15</v>
      </c>
    </row>
    <row r="53" spans="1:7" x14ac:dyDescent="0.25">
      <c r="A53" s="101" t="str">
        <f>'Data shares'!C49</f>
        <v>CROMPTON</v>
      </c>
      <c r="B53" s="144">
        <f>VLOOKUP($A53,'Data shares'!$C:$FA,7)</f>
        <v>255.65</v>
      </c>
      <c r="C53" s="144">
        <f>VLOOKUP($A53,'Data shares'!$C:$FA,3)</f>
        <v>256.35000000000002</v>
      </c>
      <c r="D53" s="144">
        <f>VLOOKUP($A53,'Data shares'!$C:$FA,23)</f>
        <v>0.7</v>
      </c>
      <c r="E53" s="145">
        <f>VLOOKUP($A53,'Data shares'!$C:$FA,26)*100</f>
        <v>0.27</v>
      </c>
      <c r="F53" s="144">
        <f>VLOOKUP($A53,'Data shares'!$C:$FA,24)</f>
        <v>0.35</v>
      </c>
      <c r="G53" s="144">
        <f>VLOOKUP($A53,'Data shares'!$C:$FA,25)</f>
        <v>0.35</v>
      </c>
    </row>
    <row r="54" spans="1:7" x14ac:dyDescent="0.25">
      <c r="A54" s="101" t="str">
        <f>'Data shares'!C50</f>
        <v>CUMMINSIND</v>
      </c>
      <c r="B54" s="144">
        <f>VLOOKUP($A54,'Data shares'!$C:$FA,7)</f>
        <v>4385.3999999999996</v>
      </c>
      <c r="C54" s="144">
        <f>VLOOKUP($A54,'Data shares'!$C:$FA,3)</f>
        <v>4389.8</v>
      </c>
      <c r="D54" s="144">
        <f>VLOOKUP($A54,'Data shares'!$C:$FA,23)</f>
        <v>4.4000000000000004</v>
      </c>
      <c r="E54" s="145">
        <f>VLOOKUP($A54,'Data shares'!$C:$FA,26)*100</f>
        <v>0.1</v>
      </c>
      <c r="F54" s="144">
        <f>VLOOKUP($A54,'Data shares'!$C:$FA,24)</f>
        <v>8.4</v>
      </c>
      <c r="G54" s="144">
        <f>VLOOKUP($A54,'Data shares'!$C:$FA,25)</f>
        <v>-4</v>
      </c>
    </row>
    <row r="55" spans="1:7" x14ac:dyDescent="0.25">
      <c r="A55" s="101" t="str">
        <f>'Data shares'!C51</f>
        <v>CYIENT</v>
      </c>
      <c r="B55" s="144">
        <f>VLOOKUP($A55,'Data shares'!$C:$FA,7)</f>
        <v>1141.3</v>
      </c>
      <c r="C55" s="144">
        <f>VLOOKUP($A55,'Data shares'!$C:$FA,3)</f>
        <v>1144.0999999999999</v>
      </c>
      <c r="D55" s="144">
        <f>VLOOKUP($A55,'Data shares'!$C:$FA,23)</f>
        <v>2.8</v>
      </c>
      <c r="E55" s="145">
        <f>VLOOKUP($A55,'Data shares'!$C:$FA,26)*100</f>
        <v>0.25</v>
      </c>
      <c r="F55" s="144">
        <f>VLOOKUP($A55,'Data shares'!$C:$FA,24)</f>
        <v>3.5</v>
      </c>
      <c r="G55" s="144">
        <f>VLOOKUP($A55,'Data shares'!$C:$FA,25)</f>
        <v>-0.7</v>
      </c>
    </row>
    <row r="56" spans="1:7" x14ac:dyDescent="0.25">
      <c r="A56" s="101" t="str">
        <f>'Data shares'!C52</f>
        <v>DABUR</v>
      </c>
      <c r="B56" s="144">
        <f>VLOOKUP($A56,'Data shares'!$C:$FA,7)</f>
        <v>492.55</v>
      </c>
      <c r="C56" s="144">
        <f>VLOOKUP($A56,'Data shares'!$C:$FA,3)</f>
        <v>493.6</v>
      </c>
      <c r="D56" s="144">
        <f>VLOOKUP($A56,'Data shares'!$C:$FA,23)</f>
        <v>1.05</v>
      </c>
      <c r="E56" s="145">
        <f>VLOOKUP($A56,'Data shares'!$C:$FA,26)*100</f>
        <v>0.21</v>
      </c>
      <c r="F56" s="144">
        <f>VLOOKUP($A56,'Data shares'!$C:$FA,24)</f>
        <v>0.35</v>
      </c>
      <c r="G56" s="144">
        <f>VLOOKUP($A56,'Data shares'!$C:$FA,25)</f>
        <v>0.7</v>
      </c>
    </row>
    <row r="57" spans="1:7" x14ac:dyDescent="0.25">
      <c r="A57" s="101" t="str">
        <f>'Data shares'!C53</f>
        <v>DALBHARAT</v>
      </c>
      <c r="B57" s="144">
        <f>VLOOKUP($A57,'Data shares'!$C:$FA,7)</f>
        <v>2024.4</v>
      </c>
      <c r="C57" s="144">
        <f>VLOOKUP($A57,'Data shares'!$C:$FA,3)</f>
        <v>2028.1</v>
      </c>
      <c r="D57" s="144">
        <f>VLOOKUP($A57,'Data shares'!$C:$FA,23)</f>
        <v>3.7</v>
      </c>
      <c r="E57" s="145">
        <f>VLOOKUP($A57,'Data shares'!$C:$FA,26)*100</f>
        <v>0.18</v>
      </c>
      <c r="F57" s="144">
        <f>VLOOKUP($A57,'Data shares'!$C:$FA,24)</f>
        <v>3.7</v>
      </c>
      <c r="G57" s="144">
        <f>VLOOKUP($A57,'Data shares'!$C:$FA,25)</f>
        <v>0</v>
      </c>
    </row>
    <row r="58" spans="1:7" x14ac:dyDescent="0.25">
      <c r="A58" s="101" t="str">
        <f>'Data shares'!C54</f>
        <v>DELHIVERY</v>
      </c>
      <c r="B58" s="144">
        <f>VLOOKUP($A58,'Data shares'!$C:$FA,7)</f>
        <v>402.35</v>
      </c>
      <c r="C58" s="144">
        <f>VLOOKUP($A58,'Data shares'!$C:$FA,3)</f>
        <v>402.6</v>
      </c>
      <c r="D58" s="144">
        <f>VLOOKUP($A58,'Data shares'!$C:$FA,23)</f>
        <v>0.25</v>
      </c>
      <c r="E58" s="145">
        <f>VLOOKUP($A58,'Data shares'!$C:$FA,26)*100</f>
        <v>0.06</v>
      </c>
      <c r="F58" s="144">
        <f>VLOOKUP($A58,'Data shares'!$C:$FA,24)</f>
        <v>0.5</v>
      </c>
      <c r="G58" s="144">
        <f>VLOOKUP($A58,'Data shares'!$C:$FA,25)</f>
        <v>-0.25</v>
      </c>
    </row>
    <row r="59" spans="1:7" x14ac:dyDescent="0.25">
      <c r="A59" s="101" t="str">
        <f>'Data shares'!C55</f>
        <v>DIVISLAB</v>
      </c>
      <c r="B59" s="144">
        <f>VLOOKUP($A59,'Data shares'!$C:$FA,7)</f>
        <v>6380</v>
      </c>
      <c r="C59" s="144">
        <f>VLOOKUP($A59,'Data shares'!$C:$FA,3)</f>
        <v>6390.5</v>
      </c>
      <c r="D59" s="144">
        <f>VLOOKUP($A59,'Data shares'!$C:$FA,23)</f>
        <v>10.5</v>
      </c>
      <c r="E59" s="145">
        <f>VLOOKUP($A59,'Data shares'!$C:$FA,26)*100</f>
        <v>0.16</v>
      </c>
      <c r="F59" s="144">
        <f>VLOOKUP($A59,'Data shares'!$C:$FA,24)</f>
        <v>6.5</v>
      </c>
      <c r="G59" s="144">
        <f>VLOOKUP($A59,'Data shares'!$C:$FA,25)</f>
        <v>4</v>
      </c>
    </row>
    <row r="60" spans="1:7" x14ac:dyDescent="0.25">
      <c r="A60" s="101" t="str">
        <f>'Data shares'!C56</f>
        <v>DIXON</v>
      </c>
      <c r="B60" s="144">
        <f>VLOOKUP($A60,'Data shares'!$C:$FA,7)</f>
        <v>13299</v>
      </c>
      <c r="C60" s="144">
        <f>VLOOKUP($A60,'Data shares'!$C:$FA,3)</f>
        <v>13326</v>
      </c>
      <c r="D60" s="144">
        <f>VLOOKUP($A60,'Data shares'!$C:$FA,23)</f>
        <v>27</v>
      </c>
      <c r="E60" s="145">
        <f>VLOOKUP($A60,'Data shares'!$C:$FA,26)*100</f>
        <v>0.2</v>
      </c>
      <c r="F60" s="144">
        <f>VLOOKUP($A60,'Data shares'!$C:$FA,24)</f>
        <v>-11</v>
      </c>
      <c r="G60" s="144">
        <f>VLOOKUP($A60,'Data shares'!$C:$FA,25)</f>
        <v>38</v>
      </c>
    </row>
    <row r="61" spans="1:7" x14ac:dyDescent="0.25">
      <c r="A61" s="101" t="str">
        <f>'Data shares'!C57</f>
        <v>DLF</v>
      </c>
      <c r="B61" s="144">
        <f>VLOOKUP($A61,'Data shares'!$C:$FA,7)</f>
        <v>679.05</v>
      </c>
      <c r="C61" s="144">
        <f>VLOOKUP($A61,'Data shares'!$C:$FA,3)</f>
        <v>680</v>
      </c>
      <c r="D61" s="144">
        <f>VLOOKUP($A61,'Data shares'!$C:$FA,23)</f>
        <v>0.95</v>
      </c>
      <c r="E61" s="145">
        <f>VLOOKUP($A61,'Data shares'!$C:$FA,26)*100</f>
        <v>0.13999999999999999</v>
      </c>
      <c r="F61" s="144">
        <f>VLOOKUP($A61,'Data shares'!$C:$FA,24)</f>
        <v>0.7</v>
      </c>
      <c r="G61" s="144">
        <f>VLOOKUP($A61,'Data shares'!$C:$FA,25)</f>
        <v>0.25</v>
      </c>
    </row>
    <row r="62" spans="1:7" x14ac:dyDescent="0.25">
      <c r="A62" s="101" t="str">
        <f>'Data shares'!C58</f>
        <v>DMART</v>
      </c>
      <c r="B62" s="144">
        <f>VLOOKUP($A62,'Data shares'!$C:$FA,7)</f>
        <v>3757.2</v>
      </c>
      <c r="C62" s="144">
        <f>VLOOKUP($A62,'Data shares'!$C:$FA,3)</f>
        <v>3769.6</v>
      </c>
      <c r="D62" s="144">
        <f>VLOOKUP($A62,'Data shares'!$C:$FA,23)</f>
        <v>12.4</v>
      </c>
      <c r="E62" s="145">
        <f>VLOOKUP($A62,'Data shares'!$C:$FA,26)*100</f>
        <v>0.33</v>
      </c>
      <c r="F62" s="144">
        <f>VLOOKUP($A62,'Data shares'!$C:$FA,24)</f>
        <v>-1.1000000000000001</v>
      </c>
      <c r="G62" s="144">
        <f>VLOOKUP($A62,'Data shares'!$C:$FA,25)</f>
        <v>13.5</v>
      </c>
    </row>
    <row r="63" spans="1:7" x14ac:dyDescent="0.25">
      <c r="A63" s="101" t="str">
        <f>'Data shares'!C59</f>
        <v>DRREDDY</v>
      </c>
      <c r="B63" s="144">
        <f>VLOOKUP($A63,'Data shares'!$C:$FA,7)</f>
        <v>1280</v>
      </c>
      <c r="C63" s="144">
        <f>VLOOKUP($A63,'Data shares'!$C:$FA,3)</f>
        <v>1279.5999999999999</v>
      </c>
      <c r="D63" s="144">
        <f>VLOOKUP($A63,'Data shares'!$C:$FA,23)</f>
        <v>-0.4</v>
      </c>
      <c r="E63" s="145">
        <f>VLOOKUP($A63,'Data shares'!$C:$FA,26)*100</f>
        <v>-0.03</v>
      </c>
      <c r="F63" s="144">
        <f>VLOOKUP($A63,'Data shares'!$C:$FA,24)</f>
        <v>1.2</v>
      </c>
      <c r="G63" s="144">
        <f>VLOOKUP($A63,'Data shares'!$C:$FA,25)</f>
        <v>-1.6</v>
      </c>
    </row>
    <row r="64" spans="1:7" x14ac:dyDescent="0.25">
      <c r="A64" s="101" t="str">
        <f>'Data shares'!C60</f>
        <v>EICHERMOT</v>
      </c>
      <c r="B64" s="144">
        <f>VLOOKUP($A64,'Data shares'!$C:$FA,7)</f>
        <v>7106.5</v>
      </c>
      <c r="C64" s="144">
        <f>VLOOKUP($A64,'Data shares'!$C:$FA,3)</f>
        <v>7113.5</v>
      </c>
      <c r="D64" s="144">
        <f>VLOOKUP($A64,'Data shares'!$C:$FA,23)</f>
        <v>7</v>
      </c>
      <c r="E64" s="145">
        <f>VLOOKUP($A64,'Data shares'!$C:$FA,26)*100</f>
        <v>0.1</v>
      </c>
      <c r="F64" s="144">
        <f>VLOOKUP($A64,'Data shares'!$C:$FA,24)</f>
        <v>9.5</v>
      </c>
      <c r="G64" s="144">
        <f>VLOOKUP($A64,'Data shares'!$C:$FA,25)</f>
        <v>-2.5</v>
      </c>
    </row>
    <row r="65" spans="1:7" x14ac:dyDescent="0.25">
      <c r="A65" s="101" t="str">
        <f>'Data shares'!C61</f>
        <v>ETERNAL</v>
      </c>
      <c r="B65" s="144">
        <f>VLOOKUP($A65,'Data shares'!$C:$FA,7)</f>
        <v>284.75</v>
      </c>
      <c r="C65" s="144">
        <f>VLOOKUP($A65,'Data shares'!$C:$FA,3)</f>
        <v>285.5</v>
      </c>
      <c r="D65" s="144">
        <f>VLOOKUP($A65,'Data shares'!$C:$FA,23)</f>
        <v>0.75</v>
      </c>
      <c r="E65" s="145">
        <f>VLOOKUP($A65,'Data shares'!$C:$FA,26)*100</f>
        <v>0.26</v>
      </c>
      <c r="F65" s="144">
        <f>VLOOKUP($A65,'Data shares'!$C:$FA,24)</f>
        <v>0.55000000000000004</v>
      </c>
      <c r="G65" s="144">
        <f>VLOOKUP($A65,'Data shares'!$C:$FA,25)</f>
        <v>0.2</v>
      </c>
    </row>
    <row r="66" spans="1:7" x14ac:dyDescent="0.25">
      <c r="A66" s="101" t="str">
        <f>'Data shares'!C62</f>
        <v>EXIDEIND</v>
      </c>
      <c r="B66" s="144">
        <f>VLOOKUP($A66,'Data shares'!$C:$FA,7)</f>
        <v>359.05</v>
      </c>
      <c r="C66" s="144">
        <f>VLOOKUP($A66,'Data shares'!$C:$FA,3)</f>
        <v>359.5</v>
      </c>
      <c r="D66" s="144">
        <f>VLOOKUP($A66,'Data shares'!$C:$FA,23)</f>
        <v>0.45</v>
      </c>
      <c r="E66" s="145">
        <f>VLOOKUP($A66,'Data shares'!$C:$FA,26)*100</f>
        <v>0.13</v>
      </c>
      <c r="F66" s="144">
        <f>VLOOKUP($A66,'Data shares'!$C:$FA,24)</f>
        <v>0.3</v>
      </c>
      <c r="G66" s="144">
        <f>VLOOKUP($A66,'Data shares'!$C:$FA,25)</f>
        <v>0.15</v>
      </c>
    </row>
    <row r="67" spans="1:7" x14ac:dyDescent="0.25">
      <c r="A67" s="101" t="str">
        <f>'Data shares'!C63</f>
        <v>FEDERALBNK</v>
      </c>
      <c r="B67" s="144">
        <f>VLOOKUP($A67,'Data shares'!$C:$FA,7)</f>
        <v>265.39999999999998</v>
      </c>
      <c r="C67" s="144">
        <f>VLOOKUP($A67,'Data shares'!$C:$FA,3)</f>
        <v>265.5</v>
      </c>
      <c r="D67" s="144">
        <f>VLOOKUP($A67,'Data shares'!$C:$FA,23)</f>
        <v>0.1</v>
      </c>
      <c r="E67" s="145">
        <f>VLOOKUP($A67,'Data shares'!$C:$FA,26)*100</f>
        <v>0.04</v>
      </c>
      <c r="F67" s="144">
        <f>VLOOKUP($A67,'Data shares'!$C:$FA,24)</f>
        <v>0.7</v>
      </c>
      <c r="G67" s="144">
        <f>VLOOKUP($A67,'Data shares'!$C:$FA,25)</f>
        <v>-0.6</v>
      </c>
    </row>
    <row r="68" spans="1:7" x14ac:dyDescent="0.25">
      <c r="A68" s="101" t="str">
        <f>'Data shares'!C64</f>
        <v>FINNIFTY</v>
      </c>
      <c r="B68" s="144">
        <f>VLOOKUP($A68,'Data shares'!$C:$FA,7)</f>
        <v>27267.1</v>
      </c>
      <c r="C68" s="144">
        <f>VLOOKUP($A68,'Data shares'!$C:$FA,3)</f>
        <v>27368.5</v>
      </c>
      <c r="D68" s="144">
        <f>VLOOKUP($A68,'Data shares'!$C:$FA,23)</f>
        <v>101.4</v>
      </c>
      <c r="E68" s="145">
        <f>VLOOKUP($A68,'Data shares'!$C:$FA,26)*100</f>
        <v>0.37</v>
      </c>
      <c r="F68" s="144">
        <f>VLOOKUP($A68,'Data shares'!$C:$FA,24)</f>
        <v>123.75</v>
      </c>
      <c r="G68" s="144">
        <f>VLOOKUP($A68,'Data shares'!$C:$FA,25)</f>
        <v>-22.35</v>
      </c>
    </row>
    <row r="69" spans="1:7" x14ac:dyDescent="0.25">
      <c r="A69" s="101" t="str">
        <f>'Data shares'!C65</f>
        <v>FORTIS</v>
      </c>
      <c r="B69" s="144">
        <f>VLOOKUP($A69,'Data shares'!$C:$FA,7)</f>
        <v>866.35</v>
      </c>
      <c r="C69" s="144">
        <f>VLOOKUP($A69,'Data shares'!$C:$FA,3)</f>
        <v>866.8</v>
      </c>
      <c r="D69" s="144">
        <f>VLOOKUP($A69,'Data shares'!$C:$FA,23)</f>
        <v>0.45</v>
      </c>
      <c r="E69" s="145">
        <f>VLOOKUP($A69,'Data shares'!$C:$FA,26)*100</f>
        <v>0.05</v>
      </c>
      <c r="F69" s="144">
        <f>VLOOKUP($A69,'Data shares'!$C:$FA,24)</f>
        <v>0.7</v>
      </c>
      <c r="G69" s="144">
        <f>VLOOKUP($A69,'Data shares'!$C:$FA,25)</f>
        <v>-0.25</v>
      </c>
    </row>
    <row r="70" spans="1:7" x14ac:dyDescent="0.25">
      <c r="A70" s="101" t="str">
        <f>'Data shares'!C66</f>
        <v>GAIL</v>
      </c>
      <c r="B70" s="144">
        <f>VLOOKUP($A70,'Data shares'!$C:$FA,7)</f>
        <v>167.55</v>
      </c>
      <c r="C70" s="144">
        <f>VLOOKUP($A70,'Data shares'!$C:$FA,3)</f>
        <v>168.09</v>
      </c>
      <c r="D70" s="144">
        <f>VLOOKUP($A70,'Data shares'!$C:$FA,23)</f>
        <v>0.54</v>
      </c>
      <c r="E70" s="145">
        <f>VLOOKUP($A70,'Data shares'!$C:$FA,26)*100</f>
        <v>0.32</v>
      </c>
      <c r="F70" s="144">
        <f>VLOOKUP($A70,'Data shares'!$C:$FA,24)</f>
        <v>0.27</v>
      </c>
      <c r="G70" s="144">
        <f>VLOOKUP($A70,'Data shares'!$C:$FA,25)</f>
        <v>0.27</v>
      </c>
    </row>
    <row r="71" spans="1:7" x14ac:dyDescent="0.25">
      <c r="A71" s="101" t="str">
        <f>'Data shares'!C67</f>
        <v>GLENMARK</v>
      </c>
      <c r="B71" s="144">
        <f>VLOOKUP($A71,'Data shares'!$C:$FA,7)</f>
        <v>1957.1</v>
      </c>
      <c r="C71" s="144">
        <f>VLOOKUP($A71,'Data shares'!$C:$FA,3)</f>
        <v>1959.4</v>
      </c>
      <c r="D71" s="144">
        <f>VLOOKUP($A71,'Data shares'!$C:$FA,23)</f>
        <v>2.2999999999999998</v>
      </c>
      <c r="E71" s="145">
        <f>VLOOKUP($A71,'Data shares'!$C:$FA,26)*100</f>
        <v>0.12</v>
      </c>
      <c r="F71" s="144">
        <f>VLOOKUP($A71,'Data shares'!$C:$FA,24)</f>
        <v>3.5</v>
      </c>
      <c r="G71" s="144">
        <f>VLOOKUP($A71,'Data shares'!$C:$FA,25)</f>
        <v>-1.2</v>
      </c>
    </row>
    <row r="72" spans="1:7" x14ac:dyDescent="0.25">
      <c r="A72" s="101" t="str">
        <f>'Data shares'!C68</f>
        <v>GMRAIRPORT</v>
      </c>
      <c r="B72" s="144">
        <f>VLOOKUP($A72,'Data shares'!$C:$FA,7)</f>
        <v>100.59</v>
      </c>
      <c r="C72" s="144">
        <f>VLOOKUP($A72,'Data shares'!$C:$FA,3)</f>
        <v>100.68</v>
      </c>
      <c r="D72" s="144">
        <f>VLOOKUP($A72,'Data shares'!$C:$FA,23)</f>
        <v>0.09</v>
      </c>
      <c r="E72" s="145">
        <f>VLOOKUP($A72,'Data shares'!$C:$FA,26)*100</f>
        <v>0.09</v>
      </c>
      <c r="F72" s="144">
        <f>VLOOKUP($A72,'Data shares'!$C:$FA,24)</f>
        <v>0.18</v>
      </c>
      <c r="G72" s="144">
        <f>VLOOKUP($A72,'Data shares'!$C:$FA,25)</f>
        <v>-0.09</v>
      </c>
    </row>
    <row r="73" spans="1:7" x14ac:dyDescent="0.25">
      <c r="A73" s="101" t="str">
        <f>'Data shares'!C69</f>
        <v>GODREJCP</v>
      </c>
      <c r="B73" s="144">
        <f>VLOOKUP($A73,'Data shares'!$C:$FA,7)</f>
        <v>1186.8</v>
      </c>
      <c r="C73" s="144">
        <f>VLOOKUP($A73,'Data shares'!$C:$FA,3)</f>
        <v>1189.0999999999999</v>
      </c>
      <c r="D73" s="144">
        <f>VLOOKUP($A73,'Data shares'!$C:$FA,23)</f>
        <v>2.2999999999999998</v>
      </c>
      <c r="E73" s="145">
        <f>VLOOKUP($A73,'Data shares'!$C:$FA,26)*100</f>
        <v>0.19</v>
      </c>
      <c r="F73" s="144">
        <f>VLOOKUP($A73,'Data shares'!$C:$FA,24)</f>
        <v>0.8</v>
      </c>
      <c r="G73" s="144">
        <f>VLOOKUP($A73,'Data shares'!$C:$FA,25)</f>
        <v>1.5</v>
      </c>
    </row>
    <row r="74" spans="1:7" x14ac:dyDescent="0.25">
      <c r="A74" s="101" t="str">
        <f>'Data shares'!C70</f>
        <v>GODREJPROP</v>
      </c>
      <c r="B74" s="144">
        <f>VLOOKUP($A74,'Data shares'!$C:$FA,7)</f>
        <v>1999.8</v>
      </c>
      <c r="C74" s="144">
        <f>VLOOKUP($A74,'Data shares'!$C:$FA,3)</f>
        <v>2005.5</v>
      </c>
      <c r="D74" s="144">
        <f>VLOOKUP($A74,'Data shares'!$C:$FA,23)</f>
        <v>5.7</v>
      </c>
      <c r="E74" s="145">
        <f>VLOOKUP($A74,'Data shares'!$C:$FA,26)*100</f>
        <v>0.28999999999999998</v>
      </c>
      <c r="F74" s="144">
        <f>VLOOKUP($A74,'Data shares'!$C:$FA,24)</f>
        <v>3.8</v>
      </c>
      <c r="G74" s="144">
        <f>VLOOKUP($A74,'Data shares'!$C:$FA,25)</f>
        <v>1.9</v>
      </c>
    </row>
    <row r="75" spans="1:7" x14ac:dyDescent="0.25">
      <c r="A75" s="101" t="str">
        <f>'Data shares'!C71</f>
        <v>GRASIM</v>
      </c>
      <c r="B75" s="144">
        <f>VLOOKUP($A75,'Data shares'!$C:$FA,7)</f>
        <v>2807.6</v>
      </c>
      <c r="C75" s="144">
        <f>VLOOKUP($A75,'Data shares'!$C:$FA,3)</f>
        <v>2812</v>
      </c>
      <c r="D75" s="144">
        <f>VLOOKUP($A75,'Data shares'!$C:$FA,23)</f>
        <v>4.4000000000000004</v>
      </c>
      <c r="E75" s="145">
        <f>VLOOKUP($A75,'Data shares'!$C:$FA,26)*100</f>
        <v>0.16</v>
      </c>
      <c r="F75" s="144">
        <f>VLOOKUP($A75,'Data shares'!$C:$FA,24)</f>
        <v>6.5</v>
      </c>
      <c r="G75" s="144">
        <f>VLOOKUP($A75,'Data shares'!$C:$FA,25)</f>
        <v>-2.1</v>
      </c>
    </row>
    <row r="76" spans="1:7" x14ac:dyDescent="0.25">
      <c r="A76" s="101" t="str">
        <f>'Data shares'!C72</f>
        <v>HAL</v>
      </c>
      <c r="B76" s="144">
        <f>VLOOKUP($A76,'Data shares'!$C:$FA,7)</f>
        <v>4259.5</v>
      </c>
      <c r="C76" s="144">
        <f>VLOOKUP($A76,'Data shares'!$C:$FA,3)</f>
        <v>4263</v>
      </c>
      <c r="D76" s="144">
        <f>VLOOKUP($A76,'Data shares'!$C:$FA,23)</f>
        <v>3.5</v>
      </c>
      <c r="E76" s="145">
        <f>VLOOKUP($A76,'Data shares'!$C:$FA,26)*100</f>
        <v>0.08</v>
      </c>
      <c r="F76" s="144">
        <f>VLOOKUP($A76,'Data shares'!$C:$FA,24)</f>
        <v>13.7</v>
      </c>
      <c r="G76" s="144">
        <f>VLOOKUP($A76,'Data shares'!$C:$FA,25)</f>
        <v>-10.199999999999999</v>
      </c>
    </row>
    <row r="77" spans="1:7" x14ac:dyDescent="0.25">
      <c r="A77" s="101" t="str">
        <f>'Data shares'!C73</f>
        <v>HAVELLS</v>
      </c>
      <c r="B77" s="144">
        <f>VLOOKUP($A77,'Data shares'!$C:$FA,7)</f>
        <v>1401.2</v>
      </c>
      <c r="C77" s="144">
        <f>VLOOKUP($A77,'Data shares'!$C:$FA,3)</f>
        <v>1404.2</v>
      </c>
      <c r="D77" s="144">
        <f>VLOOKUP($A77,'Data shares'!$C:$FA,23)</f>
        <v>3</v>
      </c>
      <c r="E77" s="145">
        <f>VLOOKUP($A77,'Data shares'!$C:$FA,26)*100</f>
        <v>0.21</v>
      </c>
      <c r="F77" s="144">
        <f>VLOOKUP($A77,'Data shares'!$C:$FA,24)</f>
        <v>1.7</v>
      </c>
      <c r="G77" s="144">
        <f>VLOOKUP($A77,'Data shares'!$C:$FA,25)</f>
        <v>1.3</v>
      </c>
    </row>
    <row r="78" spans="1:7" x14ac:dyDescent="0.25">
      <c r="A78" s="101" t="str">
        <f>'Data shares'!C74</f>
        <v>HCLTECH</v>
      </c>
      <c r="B78" s="144">
        <f>VLOOKUP($A78,'Data shares'!$C:$FA,7)</f>
        <v>1661.4</v>
      </c>
      <c r="C78" s="144">
        <f>VLOOKUP($A78,'Data shares'!$C:$FA,3)</f>
        <v>1666.3</v>
      </c>
      <c r="D78" s="144">
        <f>VLOOKUP($A78,'Data shares'!$C:$FA,23)</f>
        <v>4.9000000000000004</v>
      </c>
      <c r="E78" s="145">
        <f>VLOOKUP($A78,'Data shares'!$C:$FA,26)*100</f>
        <v>0.28999999999999998</v>
      </c>
      <c r="F78" s="144">
        <f>VLOOKUP($A78,'Data shares'!$C:$FA,24)</f>
        <v>6</v>
      </c>
      <c r="G78" s="144">
        <f>VLOOKUP($A78,'Data shares'!$C:$FA,25)</f>
        <v>-1.1000000000000001</v>
      </c>
    </row>
    <row r="79" spans="1:7" x14ac:dyDescent="0.25">
      <c r="A79" s="101" t="str">
        <f>'Data shares'!C75</f>
        <v>HDFCAMC</v>
      </c>
      <c r="B79" s="144">
        <f>VLOOKUP($A79,'Data shares'!$C:$FA,7)</f>
        <v>2722.9</v>
      </c>
      <c r="C79" s="144">
        <f>VLOOKUP($A79,'Data shares'!$C:$FA,3)</f>
        <v>2732.7</v>
      </c>
      <c r="D79" s="144">
        <f>VLOOKUP($A79,'Data shares'!$C:$FA,23)</f>
        <v>9.8000000000000007</v>
      </c>
      <c r="E79" s="145">
        <f>VLOOKUP($A79,'Data shares'!$C:$FA,26)*100</f>
        <v>0.36</v>
      </c>
      <c r="F79" s="144">
        <f>VLOOKUP($A79,'Data shares'!$C:$FA,24)</f>
        <v>7.7</v>
      </c>
      <c r="G79" s="144">
        <f>VLOOKUP($A79,'Data shares'!$C:$FA,25)</f>
        <v>2.1</v>
      </c>
    </row>
    <row r="80" spans="1:7" x14ac:dyDescent="0.25">
      <c r="A80" s="101" t="str">
        <f>'Data shares'!C76</f>
        <v>HDFCBANK</v>
      </c>
      <c r="B80" s="144">
        <f>VLOOKUP($A80,'Data shares'!$C:$FA,7)</f>
        <v>979.7</v>
      </c>
      <c r="C80" s="144">
        <f>VLOOKUP($A80,'Data shares'!$C:$FA,3)</f>
        <v>982.1</v>
      </c>
      <c r="D80" s="144">
        <f>VLOOKUP($A80,'Data shares'!$C:$FA,23)</f>
        <v>2.4</v>
      </c>
      <c r="E80" s="145">
        <f>VLOOKUP($A80,'Data shares'!$C:$FA,26)*100</f>
        <v>0.24</v>
      </c>
      <c r="F80" s="144">
        <f>VLOOKUP($A80,'Data shares'!$C:$FA,24)</f>
        <v>3.5</v>
      </c>
      <c r="G80" s="144">
        <f>VLOOKUP($A80,'Data shares'!$C:$FA,25)</f>
        <v>-1.1000000000000001</v>
      </c>
    </row>
    <row r="81" spans="1:7" x14ac:dyDescent="0.25">
      <c r="A81" s="101" t="str">
        <f>'Data shares'!C77</f>
        <v>HDFCLIFE</v>
      </c>
      <c r="B81" s="144">
        <f>VLOOKUP($A81,'Data shares'!$C:$FA,7)</f>
        <v>757</v>
      </c>
      <c r="C81" s="144">
        <f>VLOOKUP($A81,'Data shares'!$C:$FA,3)</f>
        <v>758.7</v>
      </c>
      <c r="D81" s="144">
        <f>VLOOKUP($A81,'Data shares'!$C:$FA,23)</f>
        <v>1.7</v>
      </c>
      <c r="E81" s="145">
        <f>VLOOKUP($A81,'Data shares'!$C:$FA,26)*100</f>
        <v>0.22</v>
      </c>
      <c r="F81" s="144">
        <f>VLOOKUP($A81,'Data shares'!$C:$FA,24)</f>
        <v>1.35</v>
      </c>
      <c r="G81" s="144">
        <f>VLOOKUP($A81,'Data shares'!$C:$FA,25)</f>
        <v>0.35</v>
      </c>
    </row>
    <row r="82" spans="1:7" x14ac:dyDescent="0.25">
      <c r="A82" s="101" t="str">
        <f>'Data shares'!C78</f>
        <v>HEROMOTOCO</v>
      </c>
      <c r="B82" s="144">
        <f>VLOOKUP($A82,'Data shares'!$C:$FA,7)</f>
        <v>5748.5</v>
      </c>
      <c r="C82" s="144">
        <f>VLOOKUP($A82,'Data shares'!$C:$FA,3)</f>
        <v>5749.5</v>
      </c>
      <c r="D82" s="144">
        <f>VLOOKUP($A82,'Data shares'!$C:$FA,23)</f>
        <v>1</v>
      </c>
      <c r="E82" s="145">
        <f>VLOOKUP($A82,'Data shares'!$C:$FA,26)*100</f>
        <v>0.02</v>
      </c>
      <c r="F82" s="144">
        <f>VLOOKUP($A82,'Data shares'!$C:$FA,24)</f>
        <v>10.5</v>
      </c>
      <c r="G82" s="144">
        <f>VLOOKUP($A82,'Data shares'!$C:$FA,25)</f>
        <v>-9.5</v>
      </c>
    </row>
    <row r="83" spans="1:7" x14ac:dyDescent="0.25">
      <c r="A83" s="101" t="str">
        <f>'Data shares'!C79</f>
        <v>HFCL</v>
      </c>
      <c r="B83" s="144">
        <f>VLOOKUP($A83,'Data shares'!$C:$FA,7)</f>
        <v>64.62</v>
      </c>
      <c r="C83" s="144">
        <f>VLOOKUP($A83,'Data shares'!$C:$FA,3)</f>
        <v>64.75</v>
      </c>
      <c r="D83" s="144">
        <f>VLOOKUP($A83,'Data shares'!$C:$FA,23)</f>
        <v>0.13</v>
      </c>
      <c r="E83" s="145">
        <f>VLOOKUP($A83,'Data shares'!$C:$FA,26)*100</f>
        <v>0.2</v>
      </c>
      <c r="F83" s="144">
        <f>VLOOKUP($A83,'Data shares'!$C:$FA,24)</f>
        <v>0.1</v>
      </c>
      <c r="G83" s="144">
        <f>VLOOKUP($A83,'Data shares'!$C:$FA,25)</f>
        <v>0.03</v>
      </c>
    </row>
    <row r="84" spans="1:7" x14ac:dyDescent="0.25">
      <c r="A84" s="101" t="str">
        <f>'Data shares'!C80</f>
        <v>HINDALCO</v>
      </c>
      <c r="B84" s="144">
        <f>VLOOKUP($A84,'Data shares'!$C:$FA,7)</f>
        <v>856.7</v>
      </c>
      <c r="C84" s="144">
        <f>VLOOKUP($A84,'Data shares'!$C:$FA,3)</f>
        <v>858</v>
      </c>
      <c r="D84" s="144">
        <f>VLOOKUP($A84,'Data shares'!$C:$FA,23)</f>
        <v>1.3</v>
      </c>
      <c r="E84" s="145">
        <f>VLOOKUP($A84,'Data shares'!$C:$FA,26)*100</f>
        <v>0.15</v>
      </c>
      <c r="F84" s="144">
        <f>VLOOKUP($A84,'Data shares'!$C:$FA,24)</f>
        <v>0.85</v>
      </c>
      <c r="G84" s="144">
        <f>VLOOKUP($A84,'Data shares'!$C:$FA,25)</f>
        <v>0.45</v>
      </c>
    </row>
    <row r="85" spans="1:7" x14ac:dyDescent="0.25">
      <c r="A85" s="101" t="str">
        <f>'Data shares'!C81</f>
        <v>HINDPETRO</v>
      </c>
      <c r="B85" s="144">
        <f>VLOOKUP($A85,'Data shares'!$C:$FA,7)</f>
        <v>464</v>
      </c>
      <c r="C85" s="144">
        <f>VLOOKUP($A85,'Data shares'!$C:$FA,3)</f>
        <v>464.6</v>
      </c>
      <c r="D85" s="144">
        <f>VLOOKUP($A85,'Data shares'!$C:$FA,23)</f>
        <v>0.6</v>
      </c>
      <c r="E85" s="145">
        <f>VLOOKUP($A85,'Data shares'!$C:$FA,26)*100</f>
        <v>0.13</v>
      </c>
      <c r="F85" s="144">
        <f>VLOOKUP($A85,'Data shares'!$C:$FA,24)</f>
        <v>0.95</v>
      </c>
      <c r="G85" s="144">
        <f>VLOOKUP($A85,'Data shares'!$C:$FA,25)</f>
        <v>-0.35</v>
      </c>
    </row>
    <row r="86" spans="1:7" x14ac:dyDescent="0.25">
      <c r="A86" s="101" t="str">
        <f>'Data shares'!C82</f>
        <v>HINDUNILVR</v>
      </c>
      <c r="B86" s="144">
        <f>VLOOKUP($A86,'Data shares'!$C:$FA,7)</f>
        <v>2265.5</v>
      </c>
      <c r="C86" s="144">
        <f>VLOOKUP($A86,'Data shares'!$C:$FA,3)</f>
        <v>2265.6</v>
      </c>
      <c r="D86" s="144">
        <f>VLOOKUP($A86,'Data shares'!$C:$FA,23)</f>
        <v>0.1</v>
      </c>
      <c r="E86" s="145">
        <f>VLOOKUP($A86,'Data shares'!$C:$FA,26)*100</f>
        <v>0</v>
      </c>
      <c r="F86" s="144">
        <f>VLOOKUP($A86,'Data shares'!$C:$FA,24)</f>
        <v>-0.3</v>
      </c>
      <c r="G86" s="144">
        <f>VLOOKUP($A86,'Data shares'!$C:$FA,25)</f>
        <v>0.4</v>
      </c>
    </row>
    <row r="87" spans="1:7" x14ac:dyDescent="0.25">
      <c r="A87" s="101" t="str">
        <f>'Data shares'!C83</f>
        <v>HINDZINC</v>
      </c>
      <c r="B87" s="144">
        <f>VLOOKUP($A87,'Data shares'!$C:$FA,7)</f>
        <v>592.15</v>
      </c>
      <c r="C87" s="144">
        <f>VLOOKUP($A87,'Data shares'!$C:$FA,3)</f>
        <v>592.35</v>
      </c>
      <c r="D87" s="144">
        <f>VLOOKUP($A87,'Data shares'!$C:$FA,23)</f>
        <v>0.2</v>
      </c>
      <c r="E87" s="145">
        <f>VLOOKUP($A87,'Data shares'!$C:$FA,26)*100</f>
        <v>0.03</v>
      </c>
      <c r="F87" s="144">
        <f>VLOOKUP($A87,'Data shares'!$C:$FA,24)</f>
        <v>0.6</v>
      </c>
      <c r="G87" s="144">
        <f>VLOOKUP($A87,'Data shares'!$C:$FA,25)</f>
        <v>-0.4</v>
      </c>
    </row>
    <row r="88" spans="1:7" x14ac:dyDescent="0.25">
      <c r="A88" s="101" t="str">
        <f>'Data shares'!C84</f>
        <v>HUDCO</v>
      </c>
      <c r="B88" s="144">
        <f>VLOOKUP($A88,'Data shares'!$C:$FA,7)</f>
        <v>206.9</v>
      </c>
      <c r="C88" s="144">
        <f>VLOOKUP($A88,'Data shares'!$C:$FA,3)</f>
        <v>207.03</v>
      </c>
      <c r="D88" s="144">
        <f>VLOOKUP($A88,'Data shares'!$C:$FA,23)</f>
        <v>0.13</v>
      </c>
      <c r="E88" s="145">
        <f>VLOOKUP($A88,'Data shares'!$C:$FA,26)*100</f>
        <v>0.06</v>
      </c>
      <c r="F88" s="144">
        <f>VLOOKUP($A88,'Data shares'!$C:$FA,24)</f>
        <v>-0.02</v>
      </c>
      <c r="G88" s="144">
        <f>VLOOKUP($A88,'Data shares'!$C:$FA,25)</f>
        <v>0.15</v>
      </c>
    </row>
    <row r="89" spans="1:7" x14ac:dyDescent="0.25">
      <c r="A89" s="101" t="str">
        <f>'Data shares'!C85</f>
        <v>ICICIBANK</v>
      </c>
      <c r="B89" s="144">
        <f>VLOOKUP($A89,'Data shares'!$C:$FA,7)</f>
        <v>1356.8</v>
      </c>
      <c r="C89" s="144">
        <f>VLOOKUP($A89,'Data shares'!$C:$FA,3)</f>
        <v>1359.5</v>
      </c>
      <c r="D89" s="144">
        <f>VLOOKUP($A89,'Data shares'!$C:$FA,23)</f>
        <v>2.7</v>
      </c>
      <c r="E89" s="145">
        <f>VLOOKUP($A89,'Data shares'!$C:$FA,26)*100</f>
        <v>0.2</v>
      </c>
      <c r="F89" s="144">
        <f>VLOOKUP($A89,'Data shares'!$C:$FA,24)</f>
        <v>4.0999999999999996</v>
      </c>
      <c r="G89" s="144">
        <f>VLOOKUP($A89,'Data shares'!$C:$FA,25)</f>
        <v>-1.4</v>
      </c>
    </row>
    <row r="90" spans="1:7" x14ac:dyDescent="0.25">
      <c r="A90" s="101" t="str">
        <f>'Data shares'!C86</f>
        <v>ICICIGI</v>
      </c>
      <c r="B90" s="144">
        <f>VLOOKUP($A90,'Data shares'!$C:$FA,7)</f>
        <v>1949.8</v>
      </c>
      <c r="C90" s="144">
        <f>VLOOKUP($A90,'Data shares'!$C:$FA,3)</f>
        <v>1955.3</v>
      </c>
      <c r="D90" s="144">
        <f>VLOOKUP($A90,'Data shares'!$C:$FA,23)</f>
        <v>5.5</v>
      </c>
      <c r="E90" s="145">
        <f>VLOOKUP($A90,'Data shares'!$C:$FA,26)*100</f>
        <v>0.27999999999999997</v>
      </c>
      <c r="F90" s="144">
        <f>VLOOKUP($A90,'Data shares'!$C:$FA,24)</f>
        <v>0.1</v>
      </c>
      <c r="G90" s="144">
        <f>VLOOKUP($A90,'Data shares'!$C:$FA,25)</f>
        <v>5.4</v>
      </c>
    </row>
    <row r="91" spans="1:7" x14ac:dyDescent="0.25">
      <c r="A91" s="101" t="str">
        <f>'Data shares'!C87</f>
        <v>ICICIPRULI</v>
      </c>
      <c r="B91" s="144">
        <f>VLOOKUP($A91,'Data shares'!$C:$FA,7)</f>
        <v>645.65</v>
      </c>
      <c r="C91" s="144">
        <f>VLOOKUP($A91,'Data shares'!$C:$FA,3)</f>
        <v>646.95000000000005</v>
      </c>
      <c r="D91" s="144">
        <f>VLOOKUP($A91,'Data shares'!$C:$FA,23)</f>
        <v>1.3</v>
      </c>
      <c r="E91" s="145">
        <f>VLOOKUP($A91,'Data shares'!$C:$FA,26)*100</f>
        <v>0.2</v>
      </c>
      <c r="F91" s="144">
        <f>VLOOKUP($A91,'Data shares'!$C:$FA,24)</f>
        <v>0.7</v>
      </c>
      <c r="G91" s="144">
        <f>VLOOKUP($A91,'Data shares'!$C:$FA,25)</f>
        <v>0.6</v>
      </c>
    </row>
    <row r="92" spans="1:7" x14ac:dyDescent="0.25">
      <c r="A92" s="101" t="str">
        <f>'Data shares'!C88</f>
        <v>IDEA</v>
      </c>
      <c r="B92" s="144">
        <f>VLOOKUP($A92,'Data shares'!$C:$FA,7)</f>
        <v>11.3</v>
      </c>
      <c r="C92" s="144">
        <f>VLOOKUP($A92,'Data shares'!$C:$FA,3)</f>
        <v>11.35</v>
      </c>
      <c r="D92" s="144">
        <f>VLOOKUP($A92,'Data shares'!$C:$FA,23)</f>
        <v>0.05</v>
      </c>
      <c r="E92" s="145">
        <f>VLOOKUP($A92,'Data shares'!$C:$FA,26)*100</f>
        <v>0.44</v>
      </c>
      <c r="F92" s="144">
        <f>VLOOKUP($A92,'Data shares'!$C:$FA,24)</f>
        <v>0.04</v>
      </c>
      <c r="G92" s="144">
        <f>VLOOKUP($A92,'Data shares'!$C:$FA,25)</f>
        <v>0.01</v>
      </c>
    </row>
    <row r="93" spans="1:7" x14ac:dyDescent="0.25">
      <c r="A93" s="101" t="str">
        <f>'Data shares'!C89</f>
        <v>IDFCFIRSTB</v>
      </c>
      <c r="B93" s="144">
        <f>VLOOKUP($A93,'Data shares'!$C:$FA,7)</f>
        <v>83.79</v>
      </c>
      <c r="C93" s="144">
        <f>VLOOKUP($A93,'Data shares'!$C:$FA,3)</f>
        <v>83.87</v>
      </c>
      <c r="D93" s="144">
        <f>VLOOKUP($A93,'Data shares'!$C:$FA,23)</f>
        <v>0.08</v>
      </c>
      <c r="E93" s="145">
        <f>VLOOKUP($A93,'Data shares'!$C:$FA,26)*100</f>
        <v>0.1</v>
      </c>
      <c r="F93" s="144">
        <f>VLOOKUP($A93,'Data shares'!$C:$FA,24)</f>
        <v>0.06</v>
      </c>
      <c r="G93" s="144">
        <f>VLOOKUP($A93,'Data shares'!$C:$FA,25)</f>
        <v>0.02</v>
      </c>
    </row>
    <row r="94" spans="1:7" x14ac:dyDescent="0.25">
      <c r="A94" s="101" t="str">
        <f>'Data shares'!C90</f>
        <v>IEX</v>
      </c>
      <c r="B94" s="144">
        <f>VLOOKUP($A94,'Data shares'!$C:$FA,7)</f>
        <v>139.76</v>
      </c>
      <c r="C94" s="144">
        <f>VLOOKUP($A94,'Data shares'!$C:$FA,3)</f>
        <v>140.06</v>
      </c>
      <c r="D94" s="144">
        <f>VLOOKUP($A94,'Data shares'!$C:$FA,23)</f>
        <v>0.3</v>
      </c>
      <c r="E94" s="145">
        <f>VLOOKUP($A94,'Data shares'!$C:$FA,26)*100</f>
        <v>0.21</v>
      </c>
      <c r="F94" s="144">
        <f>VLOOKUP($A94,'Data shares'!$C:$FA,24)</f>
        <v>0.17</v>
      </c>
      <c r="G94" s="144">
        <f>VLOOKUP($A94,'Data shares'!$C:$FA,25)</f>
        <v>0.13</v>
      </c>
    </row>
    <row r="95" spans="1:7" x14ac:dyDescent="0.25">
      <c r="A95" s="101" t="str">
        <f>'Data shares'!C91</f>
        <v>IIFL</v>
      </c>
      <c r="B95" s="144">
        <f>VLOOKUP($A95,'Data shares'!$C:$FA,7)</f>
        <v>560.5</v>
      </c>
      <c r="C95" s="144">
        <f>VLOOKUP($A95,'Data shares'!$C:$FA,3)</f>
        <v>561.9</v>
      </c>
      <c r="D95" s="144">
        <f>VLOOKUP($A95,'Data shares'!$C:$FA,23)</f>
        <v>1.4</v>
      </c>
      <c r="E95" s="145">
        <f>VLOOKUP($A95,'Data shares'!$C:$FA,26)*100</f>
        <v>0.25</v>
      </c>
      <c r="F95" s="144">
        <f>VLOOKUP($A95,'Data shares'!$C:$FA,24)</f>
        <v>0.45</v>
      </c>
      <c r="G95" s="144">
        <f>VLOOKUP($A95,'Data shares'!$C:$FA,25)</f>
        <v>0.95</v>
      </c>
    </row>
    <row r="96" spans="1:7" x14ac:dyDescent="0.25">
      <c r="A96" s="101" t="str">
        <f>'Data shares'!C92</f>
        <v>INDHOTEL</v>
      </c>
      <c r="B96" s="144">
        <f>VLOOKUP($A96,'Data shares'!$C:$FA,7)</f>
        <v>722</v>
      </c>
      <c r="C96" s="144">
        <f>VLOOKUP($A96,'Data shares'!$C:$FA,3)</f>
        <v>724.15</v>
      </c>
      <c r="D96" s="144">
        <f>VLOOKUP($A96,'Data shares'!$C:$FA,23)</f>
        <v>2.15</v>
      </c>
      <c r="E96" s="145">
        <f>VLOOKUP($A96,'Data shares'!$C:$FA,26)*100</f>
        <v>0.3</v>
      </c>
      <c r="F96" s="144">
        <f>VLOOKUP($A96,'Data shares'!$C:$FA,24)</f>
        <v>2.5499999999999998</v>
      </c>
      <c r="G96" s="144">
        <f>VLOOKUP($A96,'Data shares'!$C:$FA,25)</f>
        <v>-0.4</v>
      </c>
    </row>
    <row r="97" spans="1:7" x14ac:dyDescent="0.25">
      <c r="A97" s="101" t="str">
        <f>'Data shares'!C93</f>
        <v>INDIANB</v>
      </c>
      <c r="B97" s="144">
        <f>VLOOKUP($A97,'Data shares'!$C:$FA,7)</f>
        <v>777.85</v>
      </c>
      <c r="C97" s="144">
        <f>VLOOKUP($A97,'Data shares'!$C:$FA,3)</f>
        <v>778.45</v>
      </c>
      <c r="D97" s="144">
        <f>VLOOKUP($A97,'Data shares'!$C:$FA,23)</f>
        <v>0.6</v>
      </c>
      <c r="E97" s="145">
        <f>VLOOKUP($A97,'Data shares'!$C:$FA,26)*100</f>
        <v>0.08</v>
      </c>
      <c r="F97" s="144">
        <f>VLOOKUP($A97,'Data shares'!$C:$FA,24)</f>
        <v>1.35</v>
      </c>
      <c r="G97" s="144">
        <f>VLOOKUP($A97,'Data shares'!$C:$FA,25)</f>
        <v>-0.75</v>
      </c>
    </row>
    <row r="98" spans="1:7" x14ac:dyDescent="0.25">
      <c r="A98" s="101" t="str">
        <f>'Data shares'!C94</f>
        <v>INDIAVIX</v>
      </c>
      <c r="B98" s="144">
        <f>VLOOKUP($A98,'Data shares'!$C:$FA,7)</f>
        <v>9.7100000000000009</v>
      </c>
      <c r="C98" s="144">
        <f>VLOOKUP($A98,'Data shares'!$C:$FA,3)</f>
        <v>9.7100000000000009</v>
      </c>
      <c r="D98" s="144">
        <f>VLOOKUP($A98,'Data shares'!$C:$FA,23)</f>
        <v>0</v>
      </c>
      <c r="E98" s="145">
        <f>VLOOKUP($A98,'Data shares'!$C:$FA,26)*100</f>
        <v>0</v>
      </c>
      <c r="F98" s="144">
        <f>VLOOKUP($A98,'Data shares'!$C:$FA,24)</f>
        <v>0</v>
      </c>
      <c r="G98" s="144">
        <f>VLOOKUP($A98,'Data shares'!$C:$FA,25)</f>
        <v>0</v>
      </c>
    </row>
    <row r="99" spans="1:7" x14ac:dyDescent="0.25">
      <c r="A99" s="101" t="str">
        <f>'Data shares'!C95</f>
        <v>INDIGO</v>
      </c>
      <c r="B99" s="144">
        <f>VLOOKUP($A99,'Data shares'!$C:$FA,7)</f>
        <v>5115.5</v>
      </c>
      <c r="C99" s="144">
        <f>VLOOKUP($A99,'Data shares'!$C:$FA,3)</f>
        <v>5130.5</v>
      </c>
      <c r="D99" s="144">
        <f>VLOOKUP($A99,'Data shares'!$C:$FA,23)</f>
        <v>15</v>
      </c>
      <c r="E99" s="145">
        <f>VLOOKUP($A99,'Data shares'!$C:$FA,26)*100</f>
        <v>0.28999999999999998</v>
      </c>
      <c r="F99" s="144">
        <f>VLOOKUP($A99,'Data shares'!$C:$FA,24)</f>
        <v>3.5</v>
      </c>
      <c r="G99" s="144">
        <f>VLOOKUP($A99,'Data shares'!$C:$FA,25)</f>
        <v>11.5</v>
      </c>
    </row>
    <row r="100" spans="1:7" x14ac:dyDescent="0.25">
      <c r="A100" s="101" t="str">
        <f>'Data shares'!C96</f>
        <v>INDUSINDBK</v>
      </c>
      <c r="B100" s="144">
        <f>VLOOKUP($A100,'Data shares'!$C:$FA,7)</f>
        <v>834.9</v>
      </c>
      <c r="C100" s="144">
        <f>VLOOKUP($A100,'Data shares'!$C:$FA,3)</f>
        <v>835.8</v>
      </c>
      <c r="D100" s="144">
        <f>VLOOKUP($A100,'Data shares'!$C:$FA,23)</f>
        <v>0.9</v>
      </c>
      <c r="E100" s="145">
        <f>VLOOKUP($A100,'Data shares'!$C:$FA,26)*100</f>
        <v>0.11</v>
      </c>
      <c r="F100" s="144">
        <f>VLOOKUP($A100,'Data shares'!$C:$FA,24)</f>
        <v>0.8</v>
      </c>
      <c r="G100" s="144">
        <f>VLOOKUP($A100,'Data shares'!$C:$FA,25)</f>
        <v>0.1</v>
      </c>
    </row>
    <row r="101" spans="1:7" x14ac:dyDescent="0.25">
      <c r="A101" s="101" t="str">
        <f>'Data shares'!C97</f>
        <v>INDUSTOWER</v>
      </c>
      <c r="B101" s="144">
        <f>VLOOKUP($A101,'Data shares'!$C:$FA,7)</f>
        <v>408.75</v>
      </c>
      <c r="C101" s="144">
        <f>VLOOKUP($A101,'Data shares'!$C:$FA,3)</f>
        <v>409.7</v>
      </c>
      <c r="D101" s="144">
        <f>VLOOKUP($A101,'Data shares'!$C:$FA,23)</f>
        <v>0.95</v>
      </c>
      <c r="E101" s="145">
        <f>VLOOKUP($A101,'Data shares'!$C:$FA,26)*100</f>
        <v>0.22999999999999998</v>
      </c>
      <c r="F101" s="144">
        <f>VLOOKUP($A101,'Data shares'!$C:$FA,24)</f>
        <v>1.4</v>
      </c>
      <c r="G101" s="144">
        <f>VLOOKUP($A101,'Data shares'!$C:$FA,25)</f>
        <v>-0.45</v>
      </c>
    </row>
    <row r="102" spans="1:7" x14ac:dyDescent="0.25">
      <c r="A102" s="101" t="str">
        <f>'Data shares'!C98</f>
        <v>INFY</v>
      </c>
      <c r="B102" s="144">
        <f>VLOOKUP($A102,'Data shares'!$C:$FA,7)</f>
        <v>1626.8</v>
      </c>
      <c r="C102" s="144">
        <f>VLOOKUP($A102,'Data shares'!$C:$FA,3)</f>
        <v>1627.9</v>
      </c>
      <c r="D102" s="144">
        <f>VLOOKUP($A102,'Data shares'!$C:$FA,23)</f>
        <v>1.1000000000000001</v>
      </c>
      <c r="E102" s="145">
        <f>VLOOKUP($A102,'Data shares'!$C:$FA,26)*100</f>
        <v>6.9999999999999993E-2</v>
      </c>
      <c r="F102" s="144">
        <f>VLOOKUP($A102,'Data shares'!$C:$FA,24)</f>
        <v>3.8</v>
      </c>
      <c r="G102" s="144">
        <f>VLOOKUP($A102,'Data shares'!$C:$FA,25)</f>
        <v>-2.7</v>
      </c>
    </row>
    <row r="103" spans="1:7" x14ac:dyDescent="0.25">
      <c r="A103" s="101" t="str">
        <f>'Data shares'!C99</f>
        <v>INOXWIND</v>
      </c>
      <c r="B103" s="144">
        <f>VLOOKUP($A103,'Data shares'!$C:$FA,7)</f>
        <v>124.21</v>
      </c>
      <c r="C103" s="144">
        <f>VLOOKUP($A103,'Data shares'!$C:$FA,3)</f>
        <v>124.71</v>
      </c>
      <c r="D103" s="144">
        <f>VLOOKUP($A103,'Data shares'!$C:$FA,23)</f>
        <v>0.5</v>
      </c>
      <c r="E103" s="145">
        <f>VLOOKUP($A103,'Data shares'!$C:$FA,26)*100</f>
        <v>0.4</v>
      </c>
      <c r="F103" s="144">
        <f>VLOOKUP($A103,'Data shares'!$C:$FA,24)</f>
        <v>0.39</v>
      </c>
      <c r="G103" s="144">
        <f>VLOOKUP($A103,'Data shares'!$C:$FA,25)</f>
        <v>0.11</v>
      </c>
    </row>
    <row r="104" spans="1:7" x14ac:dyDescent="0.25">
      <c r="A104" s="101" t="str">
        <f>'Data shares'!C100</f>
        <v>IOC</v>
      </c>
      <c r="B104" s="144">
        <f>VLOOKUP($A104,'Data shares'!$C:$FA,7)</f>
        <v>161.75</v>
      </c>
      <c r="C104" s="144">
        <f>VLOOKUP($A104,'Data shares'!$C:$FA,3)</f>
        <v>162.16</v>
      </c>
      <c r="D104" s="144">
        <f>VLOOKUP($A104,'Data shares'!$C:$FA,23)</f>
        <v>0.41</v>
      </c>
      <c r="E104" s="145">
        <f>VLOOKUP($A104,'Data shares'!$C:$FA,26)*100</f>
        <v>0.25</v>
      </c>
      <c r="F104" s="144">
        <f>VLOOKUP($A104,'Data shares'!$C:$FA,24)</f>
        <v>0.48</v>
      </c>
      <c r="G104" s="144">
        <f>VLOOKUP($A104,'Data shares'!$C:$FA,25)</f>
        <v>-7.0000000000000007E-2</v>
      </c>
    </row>
    <row r="105" spans="1:7" x14ac:dyDescent="0.25">
      <c r="A105" s="101" t="str">
        <f>'Data shares'!C101</f>
        <v>IRCTC</v>
      </c>
      <c r="B105" s="144">
        <f>VLOOKUP($A105,'Data shares'!$C:$FA,7)</f>
        <v>663.85</v>
      </c>
      <c r="C105" s="144">
        <f>VLOOKUP($A105,'Data shares'!$C:$FA,3)</f>
        <v>665.6</v>
      </c>
      <c r="D105" s="144">
        <f>VLOOKUP($A105,'Data shares'!$C:$FA,23)</f>
        <v>1.75</v>
      </c>
      <c r="E105" s="145">
        <f>VLOOKUP($A105,'Data shares'!$C:$FA,26)*100</f>
        <v>0.26</v>
      </c>
      <c r="F105" s="144">
        <f>VLOOKUP($A105,'Data shares'!$C:$FA,24)</f>
        <v>1.1499999999999999</v>
      </c>
      <c r="G105" s="144">
        <f>VLOOKUP($A105,'Data shares'!$C:$FA,25)</f>
        <v>0.6</v>
      </c>
    </row>
    <row r="106" spans="1:7" x14ac:dyDescent="0.25">
      <c r="A106" s="101" t="str">
        <f>'Data shares'!C102</f>
        <v>IREDA</v>
      </c>
      <c r="B106" s="144">
        <f>VLOOKUP($A106,'Data shares'!$C:$FA,7)</f>
        <v>131.41999999999999</v>
      </c>
      <c r="C106" s="144">
        <f>VLOOKUP($A106,'Data shares'!$C:$FA,3)</f>
        <v>131.72</v>
      </c>
      <c r="D106" s="144">
        <f>VLOOKUP($A106,'Data shares'!$C:$FA,23)</f>
        <v>0.3</v>
      </c>
      <c r="E106" s="145">
        <f>VLOOKUP($A106,'Data shares'!$C:$FA,26)*100</f>
        <v>0.22999999999999998</v>
      </c>
      <c r="F106" s="144">
        <f>VLOOKUP($A106,'Data shares'!$C:$FA,24)</f>
        <v>-0.26</v>
      </c>
      <c r="G106" s="144">
        <f>VLOOKUP($A106,'Data shares'!$C:$FA,25)</f>
        <v>0.56000000000000005</v>
      </c>
    </row>
    <row r="107" spans="1:7" x14ac:dyDescent="0.25">
      <c r="A107" s="101" t="str">
        <f>'Data shares'!C103</f>
        <v>IRFC</v>
      </c>
      <c r="B107" s="144">
        <f>VLOOKUP($A107,'Data shares'!$C:$FA,7)</f>
        <v>110.81</v>
      </c>
      <c r="C107" s="144">
        <f>VLOOKUP($A107,'Data shares'!$C:$FA,3)</f>
        <v>111.19</v>
      </c>
      <c r="D107" s="144">
        <f>VLOOKUP($A107,'Data shares'!$C:$FA,23)</f>
        <v>0.38</v>
      </c>
      <c r="E107" s="145">
        <f>VLOOKUP($A107,'Data shares'!$C:$FA,26)*100</f>
        <v>0.33999999999999997</v>
      </c>
      <c r="F107" s="144">
        <f>VLOOKUP($A107,'Data shares'!$C:$FA,24)</f>
        <v>0.17</v>
      </c>
      <c r="G107" s="144">
        <f>VLOOKUP($A107,'Data shares'!$C:$FA,25)</f>
        <v>0.21</v>
      </c>
    </row>
    <row r="108" spans="1:7" x14ac:dyDescent="0.25">
      <c r="A108" s="101" t="str">
        <f>'Data shares'!C104</f>
        <v>ITC</v>
      </c>
      <c r="B108" s="144">
        <f>VLOOKUP($A108,'Data shares'!$C:$FA,7)</f>
        <v>400.4</v>
      </c>
      <c r="C108" s="144">
        <f>VLOOKUP($A108,'Data shares'!$C:$FA,3)</f>
        <v>401.25</v>
      </c>
      <c r="D108" s="144">
        <f>VLOOKUP($A108,'Data shares'!$C:$FA,23)</f>
        <v>0.85</v>
      </c>
      <c r="E108" s="145">
        <f>VLOOKUP($A108,'Data shares'!$C:$FA,26)*100</f>
        <v>0.21</v>
      </c>
      <c r="F108" s="144">
        <f>VLOOKUP($A108,'Data shares'!$C:$FA,24)</f>
        <v>1.25</v>
      </c>
      <c r="G108" s="144">
        <f>VLOOKUP($A108,'Data shares'!$C:$FA,25)</f>
        <v>-0.4</v>
      </c>
    </row>
    <row r="109" spans="1:7" x14ac:dyDescent="0.25">
      <c r="A109" s="101" t="str">
        <f>'Data shares'!C105</f>
        <v>JINDALSTEL</v>
      </c>
      <c r="B109" s="144">
        <f>VLOOKUP($A109,'Data shares'!$C:$FA,7)</f>
        <v>986</v>
      </c>
      <c r="C109" s="144">
        <f>VLOOKUP($A109,'Data shares'!$C:$FA,3)</f>
        <v>988.9</v>
      </c>
      <c r="D109" s="144">
        <f>VLOOKUP($A109,'Data shares'!$C:$FA,23)</f>
        <v>2.9</v>
      </c>
      <c r="E109" s="145">
        <f>VLOOKUP($A109,'Data shares'!$C:$FA,26)*100</f>
        <v>0.28999999999999998</v>
      </c>
      <c r="F109" s="144">
        <f>VLOOKUP($A109,'Data shares'!$C:$FA,24)</f>
        <v>2.4</v>
      </c>
      <c r="G109" s="144">
        <f>VLOOKUP($A109,'Data shares'!$C:$FA,25)</f>
        <v>0.5</v>
      </c>
    </row>
    <row r="110" spans="1:7" x14ac:dyDescent="0.25">
      <c r="A110" s="101" t="str">
        <f>'Data shares'!C106</f>
        <v>JIOFIN</v>
      </c>
      <c r="B110" s="144">
        <f>VLOOKUP($A110,'Data shares'!$C:$FA,7)</f>
        <v>292.3</v>
      </c>
      <c r="C110" s="144">
        <f>VLOOKUP($A110,'Data shares'!$C:$FA,3)</f>
        <v>292.89999999999998</v>
      </c>
      <c r="D110" s="144">
        <f>VLOOKUP($A110,'Data shares'!$C:$FA,23)</f>
        <v>0.6</v>
      </c>
      <c r="E110" s="145">
        <f>VLOOKUP($A110,'Data shares'!$C:$FA,26)*100</f>
        <v>0.21</v>
      </c>
      <c r="F110" s="144">
        <f>VLOOKUP($A110,'Data shares'!$C:$FA,24)</f>
        <v>0.55000000000000004</v>
      </c>
      <c r="G110" s="144">
        <f>VLOOKUP($A110,'Data shares'!$C:$FA,25)</f>
        <v>0.05</v>
      </c>
    </row>
    <row r="111" spans="1:7" x14ac:dyDescent="0.25">
      <c r="A111" s="101" t="str">
        <f>'Data shares'!C107</f>
        <v>JSWENERGY</v>
      </c>
      <c r="B111" s="144">
        <f>VLOOKUP($A111,'Data shares'!$C:$FA,7)</f>
        <v>472</v>
      </c>
      <c r="C111" s="144">
        <f>VLOOKUP($A111,'Data shares'!$C:$FA,3)</f>
        <v>472.35</v>
      </c>
      <c r="D111" s="144">
        <f>VLOOKUP($A111,'Data shares'!$C:$FA,23)</f>
        <v>0.35</v>
      </c>
      <c r="E111" s="145">
        <f>VLOOKUP($A111,'Data shares'!$C:$FA,26)*100</f>
        <v>6.9999999999999993E-2</v>
      </c>
      <c r="F111" s="144">
        <f>VLOOKUP($A111,'Data shares'!$C:$FA,24)</f>
        <v>0.55000000000000004</v>
      </c>
      <c r="G111" s="144">
        <f>VLOOKUP($A111,'Data shares'!$C:$FA,25)</f>
        <v>-0.2</v>
      </c>
    </row>
    <row r="112" spans="1:7" x14ac:dyDescent="0.25">
      <c r="A112" s="101" t="str">
        <f>'Data shares'!C108</f>
        <v>JSWSTEEL</v>
      </c>
      <c r="B112" s="144">
        <f>VLOOKUP($A112,'Data shares'!$C:$FA,7)</f>
        <v>1082.2</v>
      </c>
      <c r="C112" s="144">
        <f>VLOOKUP($A112,'Data shares'!$C:$FA,3)</f>
        <v>1084</v>
      </c>
      <c r="D112" s="144">
        <f>VLOOKUP($A112,'Data shares'!$C:$FA,23)</f>
        <v>1.8</v>
      </c>
      <c r="E112" s="145">
        <f>VLOOKUP($A112,'Data shares'!$C:$FA,26)*100</f>
        <v>0.16999999999999998</v>
      </c>
      <c r="F112" s="144">
        <f>VLOOKUP($A112,'Data shares'!$C:$FA,24)</f>
        <v>3.9</v>
      </c>
      <c r="G112" s="144">
        <f>VLOOKUP($A112,'Data shares'!$C:$FA,25)</f>
        <v>-2.1</v>
      </c>
    </row>
    <row r="113" spans="1:7" x14ac:dyDescent="0.25">
      <c r="A113" s="101" t="str">
        <f>'Data shares'!C109</f>
        <v>JUBLFOOD</v>
      </c>
      <c r="B113" s="144">
        <f>VLOOKUP($A113,'Data shares'!$C:$FA,7)</f>
        <v>558.70000000000005</v>
      </c>
      <c r="C113" s="144">
        <f>VLOOKUP($A113,'Data shares'!$C:$FA,3)</f>
        <v>559</v>
      </c>
      <c r="D113" s="144">
        <f>VLOOKUP($A113,'Data shares'!$C:$FA,23)</f>
        <v>0.3</v>
      </c>
      <c r="E113" s="145">
        <f>VLOOKUP($A113,'Data shares'!$C:$FA,26)*100</f>
        <v>0.05</v>
      </c>
      <c r="F113" s="144">
        <f>VLOOKUP($A113,'Data shares'!$C:$FA,24)</f>
        <v>0.65</v>
      </c>
      <c r="G113" s="144">
        <f>VLOOKUP($A113,'Data shares'!$C:$FA,25)</f>
        <v>-0.35</v>
      </c>
    </row>
    <row r="114" spans="1:7" x14ac:dyDescent="0.25">
      <c r="A114" s="101" t="str">
        <f>'Data shares'!C110</f>
        <v>KALYANKJIL</v>
      </c>
      <c r="B114" s="144">
        <f>VLOOKUP($A114,'Data shares'!$C:$FA,7)</f>
        <v>470.85</v>
      </c>
      <c r="C114" s="144">
        <f>VLOOKUP($A114,'Data shares'!$C:$FA,3)</f>
        <v>471.9</v>
      </c>
      <c r="D114" s="144">
        <f>VLOOKUP($A114,'Data shares'!$C:$FA,23)</f>
        <v>1.05</v>
      </c>
      <c r="E114" s="145">
        <f>VLOOKUP($A114,'Data shares'!$C:$FA,26)*100</f>
        <v>0.22</v>
      </c>
      <c r="F114" s="144">
        <f>VLOOKUP($A114,'Data shares'!$C:$FA,24)</f>
        <v>0.45</v>
      </c>
      <c r="G114" s="144">
        <f>VLOOKUP($A114,'Data shares'!$C:$FA,25)</f>
        <v>0.6</v>
      </c>
    </row>
    <row r="115" spans="1:7" x14ac:dyDescent="0.25">
      <c r="A115" s="101" t="str">
        <f>'Data shares'!C111</f>
        <v>KAYNES</v>
      </c>
      <c r="B115" s="144">
        <f>VLOOKUP($A115,'Data shares'!$C:$FA,7)</f>
        <v>4046.5</v>
      </c>
      <c r="C115" s="144">
        <f>VLOOKUP($A115,'Data shares'!$C:$FA,3)</f>
        <v>4048</v>
      </c>
      <c r="D115" s="144">
        <f>VLOOKUP($A115,'Data shares'!$C:$FA,23)</f>
        <v>1.5</v>
      </c>
      <c r="E115" s="145">
        <f>VLOOKUP($A115,'Data shares'!$C:$FA,26)*100</f>
        <v>0.04</v>
      </c>
      <c r="F115" s="144">
        <f>VLOOKUP($A115,'Data shares'!$C:$FA,24)</f>
        <v>5</v>
      </c>
      <c r="G115" s="144">
        <f>VLOOKUP($A115,'Data shares'!$C:$FA,25)</f>
        <v>-3.5</v>
      </c>
    </row>
    <row r="116" spans="1:7" x14ac:dyDescent="0.25">
      <c r="A116" s="101" t="str">
        <f>'Data shares'!C112</f>
        <v>KEI</v>
      </c>
      <c r="B116" s="144">
        <f>VLOOKUP($A116,'Data shares'!$C:$FA,7)</f>
        <v>4086.8</v>
      </c>
      <c r="C116" s="144">
        <f>VLOOKUP($A116,'Data shares'!$C:$FA,3)</f>
        <v>4103.5</v>
      </c>
      <c r="D116" s="144">
        <f>VLOOKUP($A116,'Data shares'!$C:$FA,23)</f>
        <v>16.7</v>
      </c>
      <c r="E116" s="145">
        <f>VLOOKUP($A116,'Data shares'!$C:$FA,26)*100</f>
        <v>0.41000000000000003</v>
      </c>
      <c r="F116" s="144">
        <f>VLOOKUP($A116,'Data shares'!$C:$FA,24)</f>
        <v>13.3</v>
      </c>
      <c r="G116" s="144">
        <f>VLOOKUP($A116,'Data shares'!$C:$FA,25)</f>
        <v>3.4</v>
      </c>
    </row>
    <row r="117" spans="1:7" x14ac:dyDescent="0.25">
      <c r="A117" s="101" t="str">
        <f>'Data shares'!C113</f>
        <v>KFINTECH</v>
      </c>
      <c r="B117" s="144">
        <f>VLOOKUP($A117,'Data shares'!$C:$FA,7)</f>
        <v>1069</v>
      </c>
      <c r="C117" s="144">
        <f>VLOOKUP($A117,'Data shares'!$C:$FA,3)</f>
        <v>1073.0999999999999</v>
      </c>
      <c r="D117" s="144">
        <f>VLOOKUP($A117,'Data shares'!$C:$FA,23)</f>
        <v>4.0999999999999996</v>
      </c>
      <c r="E117" s="145">
        <f>VLOOKUP($A117,'Data shares'!$C:$FA,26)*100</f>
        <v>0.38</v>
      </c>
      <c r="F117" s="144">
        <f>VLOOKUP($A117,'Data shares'!$C:$FA,24)</f>
        <v>0.1</v>
      </c>
      <c r="G117" s="144">
        <f>VLOOKUP($A117,'Data shares'!$C:$FA,25)</f>
        <v>4</v>
      </c>
    </row>
    <row r="118" spans="1:7" x14ac:dyDescent="0.25">
      <c r="A118" s="101" t="str">
        <f>'Data shares'!C114</f>
        <v>KOTAKBANK</v>
      </c>
      <c r="B118" s="144">
        <f>VLOOKUP($A118,'Data shares'!$C:$FA,7)</f>
        <v>2164.6</v>
      </c>
      <c r="C118" s="144">
        <f>VLOOKUP($A118,'Data shares'!$C:$FA,3)</f>
        <v>2170.6</v>
      </c>
      <c r="D118" s="144">
        <f>VLOOKUP($A118,'Data shares'!$C:$FA,23)</f>
        <v>6</v>
      </c>
      <c r="E118" s="145">
        <f>VLOOKUP($A118,'Data shares'!$C:$FA,26)*100</f>
        <v>0.27999999999999997</v>
      </c>
      <c r="F118" s="144">
        <f>VLOOKUP($A118,'Data shares'!$C:$FA,24)</f>
        <v>3.4</v>
      </c>
      <c r="G118" s="144">
        <f>VLOOKUP($A118,'Data shares'!$C:$FA,25)</f>
        <v>2.6</v>
      </c>
    </row>
    <row r="119" spans="1:7" x14ac:dyDescent="0.25">
      <c r="A119" s="101" t="str">
        <f>'Data shares'!C115</f>
        <v>KPITTECH</v>
      </c>
      <c r="B119" s="144">
        <f>VLOOKUP($A119,'Data shares'!$C:$FA,7)</f>
        <v>1160.8</v>
      </c>
      <c r="C119" s="144">
        <f>VLOOKUP($A119,'Data shares'!$C:$FA,3)</f>
        <v>1164.5999999999999</v>
      </c>
      <c r="D119" s="144">
        <f>VLOOKUP($A119,'Data shares'!$C:$FA,23)</f>
        <v>3.8</v>
      </c>
      <c r="E119" s="145">
        <f>VLOOKUP($A119,'Data shares'!$C:$FA,26)*100</f>
        <v>0.33</v>
      </c>
      <c r="F119" s="144">
        <f>VLOOKUP($A119,'Data shares'!$C:$FA,24)</f>
        <v>4.5</v>
      </c>
      <c r="G119" s="144">
        <f>VLOOKUP($A119,'Data shares'!$C:$FA,25)</f>
        <v>-0.7</v>
      </c>
    </row>
    <row r="120" spans="1:7" x14ac:dyDescent="0.25">
      <c r="A120" s="101" t="str">
        <f>'Data shares'!C116</f>
        <v>LAURUSLABS</v>
      </c>
      <c r="B120" s="144">
        <f>VLOOKUP($A120,'Data shares'!$C:$FA,7)</f>
        <v>1015.5</v>
      </c>
      <c r="C120" s="144">
        <f>VLOOKUP($A120,'Data shares'!$C:$FA,3)</f>
        <v>1018.9</v>
      </c>
      <c r="D120" s="144">
        <f>VLOOKUP($A120,'Data shares'!$C:$FA,23)</f>
        <v>3.4</v>
      </c>
      <c r="E120" s="145">
        <f>VLOOKUP($A120,'Data shares'!$C:$FA,26)*100</f>
        <v>0.33</v>
      </c>
      <c r="F120" s="144">
        <f>VLOOKUP($A120,'Data shares'!$C:$FA,24)</f>
        <v>0.6</v>
      </c>
      <c r="G120" s="144">
        <f>VLOOKUP($A120,'Data shares'!$C:$FA,25)</f>
        <v>2.8</v>
      </c>
    </row>
    <row r="121" spans="1:7" x14ac:dyDescent="0.25">
      <c r="A121" s="101" t="str">
        <f>'Data shares'!C117</f>
        <v>LICHSGFIN</v>
      </c>
      <c r="B121" s="144">
        <f>VLOOKUP($A121,'Data shares'!$C:$FA,7)</f>
        <v>528.1</v>
      </c>
      <c r="C121" s="144">
        <f>VLOOKUP($A121,'Data shares'!$C:$FA,3)</f>
        <v>528.35</v>
      </c>
      <c r="D121" s="144">
        <f>VLOOKUP($A121,'Data shares'!$C:$FA,23)</f>
        <v>0.25</v>
      </c>
      <c r="E121" s="145">
        <f>VLOOKUP($A121,'Data shares'!$C:$FA,26)*100</f>
        <v>0.05</v>
      </c>
      <c r="F121" s="144">
        <f>VLOOKUP($A121,'Data shares'!$C:$FA,24)</f>
        <v>-0.05</v>
      </c>
      <c r="G121" s="144">
        <f>VLOOKUP($A121,'Data shares'!$C:$FA,25)</f>
        <v>0.3</v>
      </c>
    </row>
    <row r="122" spans="1:7" x14ac:dyDescent="0.25">
      <c r="A122" s="101" t="str">
        <f>'Data shares'!C118</f>
        <v>LICI</v>
      </c>
      <c r="B122" s="144">
        <f>VLOOKUP($A122,'Data shares'!$C:$FA,7)</f>
        <v>847.4</v>
      </c>
      <c r="C122" s="144">
        <f>VLOOKUP($A122,'Data shares'!$C:$FA,3)</f>
        <v>848.05</v>
      </c>
      <c r="D122" s="144">
        <f>VLOOKUP($A122,'Data shares'!$C:$FA,23)</f>
        <v>0.65</v>
      </c>
      <c r="E122" s="145">
        <f>VLOOKUP($A122,'Data shares'!$C:$FA,26)*100</f>
        <v>0.08</v>
      </c>
      <c r="F122" s="144">
        <f>VLOOKUP($A122,'Data shares'!$C:$FA,24)</f>
        <v>2.5499999999999998</v>
      </c>
      <c r="G122" s="144">
        <f>VLOOKUP($A122,'Data shares'!$C:$FA,25)</f>
        <v>-1.9</v>
      </c>
    </row>
    <row r="123" spans="1:7" x14ac:dyDescent="0.25">
      <c r="A123" s="101" t="str">
        <f>'Data shares'!C119</f>
        <v>LODHA</v>
      </c>
      <c r="B123" s="144">
        <f>VLOOKUP($A123,'Data shares'!$C:$FA,7)</f>
        <v>1069.0999999999999</v>
      </c>
      <c r="C123" s="144">
        <f>VLOOKUP($A123,'Data shares'!$C:$FA,3)</f>
        <v>1071.3</v>
      </c>
      <c r="D123" s="144">
        <f>VLOOKUP($A123,'Data shares'!$C:$FA,23)</f>
        <v>2.2000000000000002</v>
      </c>
      <c r="E123" s="145">
        <f>VLOOKUP($A123,'Data shares'!$C:$FA,26)*100</f>
        <v>0.21</v>
      </c>
      <c r="F123" s="144">
        <f>VLOOKUP($A123,'Data shares'!$C:$FA,24)</f>
        <v>0.9</v>
      </c>
      <c r="G123" s="144">
        <f>VLOOKUP($A123,'Data shares'!$C:$FA,25)</f>
        <v>1.3</v>
      </c>
    </row>
    <row r="124" spans="1:7" x14ac:dyDescent="0.25">
      <c r="A124" s="101" t="str">
        <f>'Data shares'!C120</f>
        <v>LT</v>
      </c>
      <c r="B124" s="144">
        <f>VLOOKUP($A124,'Data shares'!$C:$FA,7)</f>
        <v>4031.1</v>
      </c>
      <c r="C124" s="144">
        <f>VLOOKUP($A124,'Data shares'!$C:$FA,3)</f>
        <v>4040.2</v>
      </c>
      <c r="D124" s="144">
        <f>VLOOKUP($A124,'Data shares'!$C:$FA,23)</f>
        <v>9.1</v>
      </c>
      <c r="E124" s="145">
        <f>VLOOKUP($A124,'Data shares'!$C:$FA,26)*100</f>
        <v>0.22999999999999998</v>
      </c>
      <c r="F124" s="144">
        <f>VLOOKUP($A124,'Data shares'!$C:$FA,24)</f>
        <v>6.3</v>
      </c>
      <c r="G124" s="144">
        <f>VLOOKUP($A124,'Data shares'!$C:$FA,25)</f>
        <v>2.8</v>
      </c>
    </row>
    <row r="125" spans="1:7" x14ac:dyDescent="0.25">
      <c r="A125" s="101" t="str">
        <f>'Data shares'!C121</f>
        <v>LTF</v>
      </c>
      <c r="B125" s="144">
        <f>VLOOKUP($A125,'Data shares'!$C:$FA,7)</f>
        <v>299.85000000000002</v>
      </c>
      <c r="C125" s="144">
        <f>VLOOKUP($A125,'Data shares'!$C:$FA,3)</f>
        <v>300.8</v>
      </c>
      <c r="D125" s="144">
        <f>VLOOKUP($A125,'Data shares'!$C:$FA,23)</f>
        <v>0.95</v>
      </c>
      <c r="E125" s="145">
        <f>VLOOKUP($A125,'Data shares'!$C:$FA,26)*100</f>
        <v>0.32</v>
      </c>
      <c r="F125" s="144">
        <f>VLOOKUP($A125,'Data shares'!$C:$FA,24)</f>
        <v>1.1499999999999999</v>
      </c>
      <c r="G125" s="144">
        <f>VLOOKUP($A125,'Data shares'!$C:$FA,25)</f>
        <v>-0.2</v>
      </c>
    </row>
    <row r="126" spans="1:7" x14ac:dyDescent="0.25">
      <c r="A126" s="101" t="str">
        <f>'Data shares'!C122</f>
        <v>LTIM</v>
      </c>
      <c r="B126" s="144">
        <f>VLOOKUP($A126,'Data shares'!$C:$FA,7)</f>
        <v>6245</v>
      </c>
      <c r="C126" s="144">
        <f>VLOOKUP($A126,'Data shares'!$C:$FA,3)</f>
        <v>6271.5</v>
      </c>
      <c r="D126" s="144">
        <f>VLOOKUP($A126,'Data shares'!$C:$FA,23)</f>
        <v>26.5</v>
      </c>
      <c r="E126" s="145">
        <f>VLOOKUP($A126,'Data shares'!$C:$FA,26)*100</f>
        <v>0.42</v>
      </c>
      <c r="F126" s="144">
        <f>VLOOKUP($A126,'Data shares'!$C:$FA,24)</f>
        <v>18</v>
      </c>
      <c r="G126" s="144">
        <f>VLOOKUP($A126,'Data shares'!$C:$FA,25)</f>
        <v>8.5</v>
      </c>
    </row>
    <row r="127" spans="1:7" x14ac:dyDescent="0.25">
      <c r="A127" s="101" t="str">
        <f>'Data shares'!C123</f>
        <v>LUPIN</v>
      </c>
      <c r="B127" s="144">
        <f>VLOOKUP($A127,'Data shares'!$C:$FA,7)</f>
        <v>2119.1</v>
      </c>
      <c r="C127" s="144">
        <f>VLOOKUP($A127,'Data shares'!$C:$FA,3)</f>
        <v>2119.3000000000002</v>
      </c>
      <c r="D127" s="144">
        <f>VLOOKUP($A127,'Data shares'!$C:$FA,23)</f>
        <v>0.2</v>
      </c>
      <c r="E127" s="145">
        <f>VLOOKUP($A127,'Data shares'!$C:$FA,26)*100</f>
        <v>0.01</v>
      </c>
      <c r="F127" s="144">
        <f>VLOOKUP($A127,'Data shares'!$C:$FA,24)</f>
        <v>0.9</v>
      </c>
      <c r="G127" s="144">
        <f>VLOOKUP($A127,'Data shares'!$C:$FA,25)</f>
        <v>-0.7</v>
      </c>
    </row>
    <row r="128" spans="1:7" x14ac:dyDescent="0.25">
      <c r="A128" s="101" t="str">
        <f>'Data shares'!C124</f>
        <v>M&amp;M</v>
      </c>
      <c r="B128" s="144">
        <f>VLOOKUP($A128,'Data shares'!$C:$FA,7)</f>
        <v>3586.6</v>
      </c>
      <c r="C128" s="144">
        <f>VLOOKUP($A128,'Data shares'!$C:$FA,3)</f>
        <v>3593.1</v>
      </c>
      <c r="D128" s="144">
        <f>VLOOKUP($A128,'Data shares'!$C:$FA,23)</f>
        <v>6.5</v>
      </c>
      <c r="E128" s="145">
        <f>VLOOKUP($A128,'Data shares'!$C:$FA,26)*100</f>
        <v>0.18</v>
      </c>
      <c r="F128" s="144">
        <f>VLOOKUP($A128,'Data shares'!$C:$FA,24)</f>
        <v>5.0999999999999996</v>
      </c>
      <c r="G128" s="144">
        <f>VLOOKUP($A128,'Data shares'!$C:$FA,25)</f>
        <v>1.4</v>
      </c>
    </row>
    <row r="129" spans="1:7" x14ac:dyDescent="0.25">
      <c r="A129" s="101" t="str">
        <f>'Data shares'!C125</f>
        <v>MANAPPURAM</v>
      </c>
      <c r="B129" s="144">
        <f>VLOOKUP($A129,'Data shares'!$C:$FA,7)</f>
        <v>287.05</v>
      </c>
      <c r="C129" s="144">
        <f>VLOOKUP($A129,'Data shares'!$C:$FA,3)</f>
        <v>287.39999999999998</v>
      </c>
      <c r="D129" s="144">
        <f>VLOOKUP($A129,'Data shares'!$C:$FA,23)</f>
        <v>0.35</v>
      </c>
      <c r="E129" s="145">
        <f>VLOOKUP($A129,'Data shares'!$C:$FA,26)*100</f>
        <v>0.12</v>
      </c>
      <c r="F129" s="144">
        <f>VLOOKUP($A129,'Data shares'!$C:$FA,24)</f>
        <v>0.25</v>
      </c>
      <c r="G129" s="144">
        <f>VLOOKUP($A129,'Data shares'!$C:$FA,25)</f>
        <v>0.1</v>
      </c>
    </row>
    <row r="130" spans="1:7" x14ac:dyDescent="0.25">
      <c r="A130" s="101" t="str">
        <f>'Data shares'!C126</f>
        <v>MANKIND</v>
      </c>
      <c r="B130" s="144">
        <f>VLOOKUP($A130,'Data shares'!$C:$FA,7)</f>
        <v>2142</v>
      </c>
      <c r="C130" s="144">
        <f>VLOOKUP($A130,'Data shares'!$C:$FA,3)</f>
        <v>2147.6999999999998</v>
      </c>
      <c r="D130" s="144">
        <f>VLOOKUP($A130,'Data shares'!$C:$FA,23)</f>
        <v>5.7</v>
      </c>
      <c r="E130" s="145">
        <f>VLOOKUP($A130,'Data shares'!$C:$FA,26)*100</f>
        <v>0.27</v>
      </c>
      <c r="F130" s="144">
        <f>VLOOKUP($A130,'Data shares'!$C:$FA,24)</f>
        <v>6.4</v>
      </c>
      <c r="G130" s="144">
        <f>VLOOKUP($A130,'Data shares'!$C:$FA,25)</f>
        <v>-0.7</v>
      </c>
    </row>
    <row r="131" spans="1:7" x14ac:dyDescent="0.25">
      <c r="A131" s="101" t="str">
        <f>'Data shares'!C127</f>
        <v>MARICO</v>
      </c>
      <c r="B131" s="144">
        <f>VLOOKUP($A131,'Data shares'!$C:$FA,7)</f>
        <v>742.45</v>
      </c>
      <c r="C131" s="144">
        <f>VLOOKUP($A131,'Data shares'!$C:$FA,3)</f>
        <v>742.95</v>
      </c>
      <c r="D131" s="144">
        <f>VLOOKUP($A131,'Data shares'!$C:$FA,23)</f>
        <v>0.5</v>
      </c>
      <c r="E131" s="145">
        <f>VLOOKUP($A131,'Data shares'!$C:$FA,26)*100</f>
        <v>6.9999999999999993E-2</v>
      </c>
      <c r="F131" s="144">
        <f>VLOOKUP($A131,'Data shares'!$C:$FA,24)</f>
        <v>0.85</v>
      </c>
      <c r="G131" s="144">
        <f>VLOOKUP($A131,'Data shares'!$C:$FA,25)</f>
        <v>-0.35</v>
      </c>
    </row>
    <row r="132" spans="1:7" x14ac:dyDescent="0.25">
      <c r="A132" s="101" t="str">
        <f>'Data shares'!C128</f>
        <v>MARUTI</v>
      </c>
      <c r="B132" s="144">
        <f>VLOOKUP($A132,'Data shares'!$C:$FA,7)</f>
        <v>16329</v>
      </c>
      <c r="C132" s="144">
        <f>VLOOKUP($A132,'Data shares'!$C:$FA,3)</f>
        <v>16367</v>
      </c>
      <c r="D132" s="144">
        <f>VLOOKUP($A132,'Data shares'!$C:$FA,23)</f>
        <v>38</v>
      </c>
      <c r="E132" s="145">
        <f>VLOOKUP($A132,'Data shares'!$C:$FA,26)*100</f>
        <v>0.22999999999999998</v>
      </c>
      <c r="F132" s="144">
        <f>VLOOKUP($A132,'Data shares'!$C:$FA,24)</f>
        <v>11</v>
      </c>
      <c r="G132" s="144">
        <f>VLOOKUP($A132,'Data shares'!$C:$FA,25)</f>
        <v>27</v>
      </c>
    </row>
    <row r="133" spans="1:7" x14ac:dyDescent="0.25">
      <c r="A133" s="101" t="str">
        <f>'Data shares'!C129</f>
        <v>MAXHEALTH</v>
      </c>
      <c r="B133" s="144">
        <f>VLOOKUP($A133,'Data shares'!$C:$FA,7)</f>
        <v>1048.5</v>
      </c>
      <c r="C133" s="144">
        <f>VLOOKUP($A133,'Data shares'!$C:$FA,3)</f>
        <v>1052</v>
      </c>
      <c r="D133" s="144">
        <f>VLOOKUP($A133,'Data shares'!$C:$FA,23)</f>
        <v>3.5</v>
      </c>
      <c r="E133" s="145">
        <f>VLOOKUP($A133,'Data shares'!$C:$FA,26)*100</f>
        <v>0.33</v>
      </c>
      <c r="F133" s="144">
        <f>VLOOKUP($A133,'Data shares'!$C:$FA,24)</f>
        <v>2.7</v>
      </c>
      <c r="G133" s="144">
        <f>VLOOKUP($A133,'Data shares'!$C:$FA,25)</f>
        <v>0.8</v>
      </c>
    </row>
    <row r="134" spans="1:7" x14ac:dyDescent="0.25">
      <c r="A134" s="101" t="str">
        <f>'Data shares'!C130</f>
        <v>MAZDOCK</v>
      </c>
      <c r="B134" s="144">
        <f>VLOOKUP($A134,'Data shares'!$C:$FA,7)</f>
        <v>2358</v>
      </c>
      <c r="C134" s="144">
        <f>VLOOKUP($A134,'Data shares'!$C:$FA,3)</f>
        <v>2366.4</v>
      </c>
      <c r="D134" s="144">
        <f>VLOOKUP($A134,'Data shares'!$C:$FA,23)</f>
        <v>8.4</v>
      </c>
      <c r="E134" s="145">
        <f>VLOOKUP($A134,'Data shares'!$C:$FA,26)*100</f>
        <v>0.36</v>
      </c>
      <c r="F134" s="144">
        <f>VLOOKUP($A134,'Data shares'!$C:$FA,24)</f>
        <v>6</v>
      </c>
      <c r="G134" s="144">
        <f>VLOOKUP($A134,'Data shares'!$C:$FA,25)</f>
        <v>2.4</v>
      </c>
    </row>
    <row r="135" spans="1:7" x14ac:dyDescent="0.25">
      <c r="A135" s="101" t="str">
        <f>'Data shares'!C131</f>
        <v>MCX</v>
      </c>
      <c r="B135" s="144">
        <f>VLOOKUP($A135,'Data shares'!$C:$FA,7)</f>
        <v>10172</v>
      </c>
      <c r="C135" s="144">
        <f>VLOOKUP($A135,'Data shares'!$C:$FA,3)</f>
        <v>10194</v>
      </c>
      <c r="D135" s="144">
        <f>VLOOKUP($A135,'Data shares'!$C:$FA,23)</f>
        <v>22</v>
      </c>
      <c r="E135" s="145">
        <f>VLOOKUP($A135,'Data shares'!$C:$FA,26)*100</f>
        <v>0.22</v>
      </c>
      <c r="F135" s="144">
        <f>VLOOKUP($A135,'Data shares'!$C:$FA,24)</f>
        <v>41</v>
      </c>
      <c r="G135" s="144">
        <f>VLOOKUP($A135,'Data shares'!$C:$FA,25)</f>
        <v>-19</v>
      </c>
    </row>
    <row r="136" spans="1:7" x14ac:dyDescent="0.25">
      <c r="A136" s="101" t="str">
        <f>'Data shares'!C132</f>
        <v>MFSL</v>
      </c>
      <c r="B136" s="144">
        <f>VLOOKUP($A136,'Data shares'!$C:$FA,7)</f>
        <v>1686.6</v>
      </c>
      <c r="C136" s="144">
        <f>VLOOKUP($A136,'Data shares'!$C:$FA,3)</f>
        <v>1688.8</v>
      </c>
      <c r="D136" s="144">
        <f>VLOOKUP($A136,'Data shares'!$C:$FA,23)</f>
        <v>2.2000000000000002</v>
      </c>
      <c r="E136" s="145">
        <f>VLOOKUP($A136,'Data shares'!$C:$FA,26)*100</f>
        <v>0.13</v>
      </c>
      <c r="F136" s="144">
        <f>VLOOKUP($A136,'Data shares'!$C:$FA,24)</f>
        <v>4.5999999999999996</v>
      </c>
      <c r="G136" s="144">
        <f>VLOOKUP($A136,'Data shares'!$C:$FA,25)</f>
        <v>-2.4</v>
      </c>
    </row>
    <row r="137" spans="1:7" x14ac:dyDescent="0.25">
      <c r="A137" s="101" t="str">
        <f>'Data shares'!C133</f>
        <v>MIDCPNIFTY</v>
      </c>
      <c r="B137" s="144">
        <f>VLOOKUP($A137,'Data shares'!$C:$FA,7)</f>
        <v>13745.15</v>
      </c>
      <c r="C137" s="144">
        <f>VLOOKUP($A137,'Data shares'!$C:$FA,3)</f>
        <v>13777.4</v>
      </c>
      <c r="D137" s="144">
        <f>VLOOKUP($A137,'Data shares'!$C:$FA,23)</f>
        <v>32.25</v>
      </c>
      <c r="E137" s="145">
        <f>VLOOKUP($A137,'Data shares'!$C:$FA,26)*100</f>
        <v>0.22999999999999998</v>
      </c>
      <c r="F137" s="144">
        <f>VLOOKUP($A137,'Data shares'!$C:$FA,24)</f>
        <v>33.75</v>
      </c>
      <c r="G137" s="144">
        <f>VLOOKUP($A137,'Data shares'!$C:$FA,25)</f>
        <v>-1.5</v>
      </c>
    </row>
    <row r="138" spans="1:7" x14ac:dyDescent="0.25">
      <c r="A138" s="101" t="str">
        <f>'Data shares'!C134</f>
        <v>MOTHERSON</v>
      </c>
      <c r="B138" s="144">
        <f>VLOOKUP($A138,'Data shares'!$C:$FA,7)</f>
        <v>117.15</v>
      </c>
      <c r="C138" s="144">
        <f>VLOOKUP($A138,'Data shares'!$C:$FA,3)</f>
        <v>117.39</v>
      </c>
      <c r="D138" s="144">
        <f>VLOOKUP($A138,'Data shares'!$C:$FA,23)</f>
        <v>0.24</v>
      </c>
      <c r="E138" s="145">
        <f>VLOOKUP($A138,'Data shares'!$C:$FA,26)*100</f>
        <v>0.2</v>
      </c>
      <c r="F138" s="144">
        <f>VLOOKUP($A138,'Data shares'!$C:$FA,24)</f>
        <v>0.17</v>
      </c>
      <c r="G138" s="144">
        <f>VLOOKUP($A138,'Data shares'!$C:$FA,25)</f>
        <v>7.0000000000000007E-2</v>
      </c>
    </row>
    <row r="139" spans="1:7" x14ac:dyDescent="0.25">
      <c r="A139" s="101" t="str">
        <f>'Data shares'!C135</f>
        <v>MPHASIS</v>
      </c>
      <c r="B139" s="144">
        <f>VLOOKUP($A139,'Data shares'!$C:$FA,7)</f>
        <v>2887.9</v>
      </c>
      <c r="C139" s="144">
        <f>VLOOKUP($A139,'Data shares'!$C:$FA,3)</f>
        <v>2891.1</v>
      </c>
      <c r="D139" s="144">
        <f>VLOOKUP($A139,'Data shares'!$C:$FA,23)</f>
        <v>3.2</v>
      </c>
      <c r="E139" s="145">
        <f>VLOOKUP($A139,'Data shares'!$C:$FA,26)*100</f>
        <v>0.11</v>
      </c>
      <c r="F139" s="144">
        <f>VLOOKUP($A139,'Data shares'!$C:$FA,24)</f>
        <v>3.1</v>
      </c>
      <c r="G139" s="144">
        <f>VLOOKUP($A139,'Data shares'!$C:$FA,25)</f>
        <v>0.1</v>
      </c>
    </row>
    <row r="140" spans="1:7" x14ac:dyDescent="0.25">
      <c r="A140" s="101" t="str">
        <f>'Data shares'!C136</f>
        <v>MUTHOOTFIN</v>
      </c>
      <c r="B140" s="144">
        <f>VLOOKUP($A140,'Data shares'!$C:$FA,7)</f>
        <v>3749.9</v>
      </c>
      <c r="C140" s="144">
        <f>VLOOKUP($A140,'Data shares'!$C:$FA,3)</f>
        <v>3750.9</v>
      </c>
      <c r="D140" s="144">
        <f>VLOOKUP($A140,'Data shares'!$C:$FA,23)</f>
        <v>1</v>
      </c>
      <c r="E140" s="145">
        <f>VLOOKUP($A140,'Data shares'!$C:$FA,26)*100</f>
        <v>0.03</v>
      </c>
      <c r="F140" s="144">
        <f>VLOOKUP($A140,'Data shares'!$C:$FA,24)</f>
        <v>2.7</v>
      </c>
      <c r="G140" s="144">
        <f>VLOOKUP($A140,'Data shares'!$C:$FA,25)</f>
        <v>-1.7</v>
      </c>
    </row>
    <row r="141" spans="1:7" x14ac:dyDescent="0.25">
      <c r="A141" s="101" t="str">
        <f>'Data shares'!C137</f>
        <v>NATIONALUM</v>
      </c>
      <c r="B141" s="144">
        <f>VLOOKUP($A141,'Data shares'!$C:$FA,7)</f>
        <v>279.25</v>
      </c>
      <c r="C141" s="144">
        <f>VLOOKUP($A141,'Data shares'!$C:$FA,3)</f>
        <v>279.55</v>
      </c>
      <c r="D141" s="144">
        <f>VLOOKUP($A141,'Data shares'!$C:$FA,23)</f>
        <v>0.3</v>
      </c>
      <c r="E141" s="145">
        <f>VLOOKUP($A141,'Data shares'!$C:$FA,26)*100</f>
        <v>0.11</v>
      </c>
      <c r="F141" s="144">
        <f>VLOOKUP($A141,'Data shares'!$C:$FA,24)</f>
        <v>0.25</v>
      </c>
      <c r="G141" s="144">
        <f>VLOOKUP($A141,'Data shares'!$C:$FA,25)</f>
        <v>0.05</v>
      </c>
    </row>
    <row r="142" spans="1:7" x14ac:dyDescent="0.25">
      <c r="A142" s="101" t="str">
        <f>'Data shares'!C138</f>
        <v>NAUKRI</v>
      </c>
      <c r="B142" s="144">
        <f>VLOOKUP($A142,'Data shares'!$C:$FA,7)</f>
        <v>1333.7</v>
      </c>
      <c r="C142" s="144">
        <f>VLOOKUP($A142,'Data shares'!$C:$FA,3)</f>
        <v>1336.5</v>
      </c>
      <c r="D142" s="144">
        <f>VLOOKUP($A142,'Data shares'!$C:$FA,23)</f>
        <v>2.8</v>
      </c>
      <c r="E142" s="145">
        <f>VLOOKUP($A142,'Data shares'!$C:$FA,26)*100</f>
        <v>0.21</v>
      </c>
      <c r="F142" s="144">
        <f>VLOOKUP($A142,'Data shares'!$C:$FA,24)</f>
        <v>5</v>
      </c>
      <c r="G142" s="144">
        <f>VLOOKUP($A142,'Data shares'!$C:$FA,25)</f>
        <v>-2.2000000000000002</v>
      </c>
    </row>
    <row r="143" spans="1:7" x14ac:dyDescent="0.25">
      <c r="A143" s="101" t="str">
        <f>'Data shares'!C139</f>
        <v>NBCC</v>
      </c>
      <c r="B143" s="144">
        <f>VLOOKUP($A143,'Data shares'!$C:$FA,7)</f>
        <v>108.26</v>
      </c>
      <c r="C143" s="144">
        <f>VLOOKUP($A143,'Data shares'!$C:$FA,3)</f>
        <v>108.37</v>
      </c>
      <c r="D143" s="144">
        <f>VLOOKUP($A143,'Data shares'!$C:$FA,23)</f>
        <v>0.11</v>
      </c>
      <c r="E143" s="145">
        <f>VLOOKUP($A143,'Data shares'!$C:$FA,26)*100</f>
        <v>0.1</v>
      </c>
      <c r="F143" s="144">
        <f>VLOOKUP($A143,'Data shares'!$C:$FA,24)</f>
        <v>0.15</v>
      </c>
      <c r="G143" s="144">
        <f>VLOOKUP($A143,'Data shares'!$C:$FA,25)</f>
        <v>-0.04</v>
      </c>
    </row>
    <row r="144" spans="1:7" x14ac:dyDescent="0.25">
      <c r="A144" s="101" t="str">
        <f>'Data shares'!C140</f>
        <v>NCC</v>
      </c>
      <c r="B144" s="144">
        <f>VLOOKUP($A144,'Data shares'!$C:$FA,7)</f>
        <v>153.07</v>
      </c>
      <c r="C144" s="144">
        <f>VLOOKUP($A144,'Data shares'!$C:$FA,3)</f>
        <v>153.30000000000001</v>
      </c>
      <c r="D144" s="144">
        <f>VLOOKUP($A144,'Data shares'!$C:$FA,23)</f>
        <v>0.23</v>
      </c>
      <c r="E144" s="145">
        <f>VLOOKUP($A144,'Data shares'!$C:$FA,26)*100</f>
        <v>0.15</v>
      </c>
      <c r="F144" s="144">
        <f>VLOOKUP($A144,'Data shares'!$C:$FA,24)</f>
        <v>0.65</v>
      </c>
      <c r="G144" s="144">
        <f>VLOOKUP($A144,'Data shares'!$C:$FA,25)</f>
        <v>-0.42</v>
      </c>
    </row>
    <row r="145" spans="1:7" x14ac:dyDescent="0.25">
      <c r="A145" s="101" t="str">
        <f>'Data shares'!C141</f>
        <v>NESTLEIND</v>
      </c>
      <c r="B145" s="144">
        <f>VLOOKUP($A145,'Data shares'!$C:$FA,7)</f>
        <v>1233.5</v>
      </c>
      <c r="C145" s="144">
        <f>VLOOKUP($A145,'Data shares'!$C:$FA,3)</f>
        <v>1236.8</v>
      </c>
      <c r="D145" s="144">
        <f>VLOOKUP($A145,'Data shares'!$C:$FA,23)</f>
        <v>3.3</v>
      </c>
      <c r="E145" s="145">
        <f>VLOOKUP($A145,'Data shares'!$C:$FA,26)*100</f>
        <v>0.27</v>
      </c>
      <c r="F145" s="144">
        <f>VLOOKUP($A145,'Data shares'!$C:$FA,24)</f>
        <v>1.3</v>
      </c>
      <c r="G145" s="144">
        <f>VLOOKUP($A145,'Data shares'!$C:$FA,25)</f>
        <v>2</v>
      </c>
    </row>
    <row r="146" spans="1:7" x14ac:dyDescent="0.25">
      <c r="A146" s="101" t="str">
        <f>'Data shares'!C142</f>
        <v>NHPC</v>
      </c>
      <c r="B146" s="144">
        <f>VLOOKUP($A146,'Data shares'!$C:$FA,7)</f>
        <v>75.040000000000006</v>
      </c>
      <c r="C146" s="144">
        <f>VLOOKUP($A146,'Data shares'!$C:$FA,3)</f>
        <v>75.239999999999995</v>
      </c>
      <c r="D146" s="144">
        <f>VLOOKUP($A146,'Data shares'!$C:$FA,23)</f>
        <v>0.2</v>
      </c>
      <c r="E146" s="145">
        <f>VLOOKUP($A146,'Data shares'!$C:$FA,26)*100</f>
        <v>0.27</v>
      </c>
      <c r="F146" s="144">
        <f>VLOOKUP($A146,'Data shares'!$C:$FA,24)</f>
        <v>0.18</v>
      </c>
      <c r="G146" s="144">
        <f>VLOOKUP($A146,'Data shares'!$C:$FA,25)</f>
        <v>0.02</v>
      </c>
    </row>
    <row r="147" spans="1:7" x14ac:dyDescent="0.25">
      <c r="A147" s="101" t="str">
        <f>'Data shares'!C143</f>
        <v>NIFTY</v>
      </c>
      <c r="B147" s="144">
        <f>VLOOKUP($A147,'Data shares'!$C:$FA,7)</f>
        <v>25815.55</v>
      </c>
      <c r="C147" s="144">
        <f>VLOOKUP($A147,'Data shares'!$C:$FA,3)</f>
        <v>25880.6</v>
      </c>
      <c r="D147" s="144">
        <f>VLOOKUP($A147,'Data shares'!$C:$FA,23)</f>
        <v>65.05</v>
      </c>
      <c r="E147" s="145">
        <f>VLOOKUP($A147,'Data shares'!$C:$FA,26)*100</f>
        <v>0.25</v>
      </c>
      <c r="F147" s="144">
        <f>VLOOKUP($A147,'Data shares'!$C:$FA,24)</f>
        <v>79.25</v>
      </c>
      <c r="G147" s="144">
        <f>VLOOKUP($A147,'Data shares'!$C:$FA,25)</f>
        <v>-14.2</v>
      </c>
    </row>
    <row r="148" spans="1:7" x14ac:dyDescent="0.25">
      <c r="A148" s="101" t="str">
        <f>'Data shares'!C144</f>
        <v>NIFTYNXT50</v>
      </c>
      <c r="B148" s="144">
        <f>VLOOKUP($A148,'Data shares'!$C:$FA,7)</f>
        <v>67830.25</v>
      </c>
      <c r="C148" s="144">
        <f>VLOOKUP($A148,'Data shares'!$C:$FA,3)</f>
        <v>67881</v>
      </c>
      <c r="D148" s="144">
        <f>VLOOKUP($A148,'Data shares'!$C:$FA,23)</f>
        <v>50.75</v>
      </c>
      <c r="E148" s="145">
        <f>VLOOKUP($A148,'Data shares'!$C:$FA,26)*100</f>
        <v>6.9999999999999993E-2</v>
      </c>
      <c r="F148" s="144">
        <f>VLOOKUP($A148,'Data shares'!$C:$FA,24)</f>
        <v>143.15</v>
      </c>
      <c r="G148" s="144">
        <f>VLOOKUP($A148,'Data shares'!$C:$FA,25)</f>
        <v>-92.4</v>
      </c>
    </row>
    <row r="149" spans="1:7" x14ac:dyDescent="0.25">
      <c r="A149" s="101" t="str">
        <f>'Data shares'!C145</f>
        <v>NMDC</v>
      </c>
      <c r="B149" s="144">
        <f>VLOOKUP($A149,'Data shares'!$C:$FA,7)</f>
        <v>76.510000000000005</v>
      </c>
      <c r="C149" s="144">
        <f>VLOOKUP($A149,'Data shares'!$C:$FA,3)</f>
        <v>76.72</v>
      </c>
      <c r="D149" s="144">
        <f>VLOOKUP($A149,'Data shares'!$C:$FA,23)</f>
        <v>0.21</v>
      </c>
      <c r="E149" s="145">
        <f>VLOOKUP($A149,'Data shares'!$C:$FA,26)*100</f>
        <v>0.27</v>
      </c>
      <c r="F149" s="144">
        <f>VLOOKUP($A149,'Data shares'!$C:$FA,24)</f>
        <v>7.0000000000000007E-2</v>
      </c>
      <c r="G149" s="144">
        <f>VLOOKUP($A149,'Data shares'!$C:$FA,25)</f>
        <v>0.14000000000000001</v>
      </c>
    </row>
    <row r="150" spans="1:7" x14ac:dyDescent="0.25">
      <c r="A150" s="101" t="str">
        <f>'Data shares'!C146</f>
        <v>NTPC</v>
      </c>
      <c r="B150" s="144">
        <f>VLOOKUP($A150,'Data shares'!$C:$FA,7)</f>
        <v>318.5</v>
      </c>
      <c r="C150" s="144">
        <f>VLOOKUP($A150,'Data shares'!$C:$FA,3)</f>
        <v>319.10000000000002</v>
      </c>
      <c r="D150" s="144">
        <f>VLOOKUP($A150,'Data shares'!$C:$FA,23)</f>
        <v>0.6</v>
      </c>
      <c r="E150" s="145">
        <f>VLOOKUP($A150,'Data shares'!$C:$FA,26)*100</f>
        <v>0.19</v>
      </c>
      <c r="F150" s="144">
        <f>VLOOKUP($A150,'Data shares'!$C:$FA,24)</f>
        <v>0.25</v>
      </c>
      <c r="G150" s="144">
        <f>VLOOKUP($A150,'Data shares'!$C:$FA,25)</f>
        <v>0.35</v>
      </c>
    </row>
    <row r="151" spans="1:7" x14ac:dyDescent="0.25">
      <c r="A151" s="101" t="str">
        <f>'Data shares'!C147</f>
        <v>NUVAMA</v>
      </c>
      <c r="B151" s="144">
        <f>VLOOKUP($A151,'Data shares'!$C:$FA,7)</f>
        <v>7301.5</v>
      </c>
      <c r="C151" s="144">
        <f>VLOOKUP($A151,'Data shares'!$C:$FA,3)</f>
        <v>7331.5</v>
      </c>
      <c r="D151" s="144">
        <f>VLOOKUP($A151,'Data shares'!$C:$FA,23)</f>
        <v>30</v>
      </c>
      <c r="E151" s="145">
        <f>VLOOKUP($A151,'Data shares'!$C:$FA,26)*100</f>
        <v>0.41000000000000003</v>
      </c>
      <c r="F151" s="144">
        <f>VLOOKUP($A151,'Data shares'!$C:$FA,24)</f>
        <v>30.5</v>
      </c>
      <c r="G151" s="144">
        <f>VLOOKUP($A151,'Data shares'!$C:$FA,25)</f>
        <v>-0.5</v>
      </c>
    </row>
    <row r="152" spans="1:7" x14ac:dyDescent="0.25">
      <c r="A152" s="101" t="str">
        <f>'Data shares'!C148</f>
        <v>NYKAA</v>
      </c>
      <c r="B152" s="144">
        <f>VLOOKUP($A152,'Data shares'!$C:$FA,7)</f>
        <v>244.1</v>
      </c>
      <c r="C152" s="144">
        <f>VLOOKUP($A152,'Data shares'!$C:$FA,3)</f>
        <v>245.05</v>
      </c>
      <c r="D152" s="144">
        <f>VLOOKUP($A152,'Data shares'!$C:$FA,23)</f>
        <v>0.95</v>
      </c>
      <c r="E152" s="145">
        <f>VLOOKUP($A152,'Data shares'!$C:$FA,26)*100</f>
        <v>0.38999999999999996</v>
      </c>
      <c r="F152" s="144">
        <f>VLOOKUP($A152,'Data shares'!$C:$FA,24)</f>
        <v>0.95</v>
      </c>
      <c r="G152" s="144">
        <f>VLOOKUP($A152,'Data shares'!$C:$FA,25)</f>
        <v>0</v>
      </c>
    </row>
    <row r="153" spans="1:7" x14ac:dyDescent="0.25">
      <c r="A153" s="101" t="str">
        <f>'Data shares'!C149</f>
        <v>OBEROIRLTY</v>
      </c>
      <c r="B153" s="144">
        <f>VLOOKUP($A153,'Data shares'!$C:$FA,7)</f>
        <v>1658.2</v>
      </c>
      <c r="C153" s="144">
        <f>VLOOKUP($A153,'Data shares'!$C:$FA,3)</f>
        <v>1653.8</v>
      </c>
      <c r="D153" s="144">
        <f>VLOOKUP($A153,'Data shares'!$C:$FA,23)</f>
        <v>-4.4000000000000004</v>
      </c>
      <c r="E153" s="145">
        <f>VLOOKUP($A153,'Data shares'!$C:$FA,26)*100</f>
        <v>-0.27</v>
      </c>
      <c r="F153" s="144">
        <f>VLOOKUP($A153,'Data shares'!$C:$FA,24)</f>
        <v>-0.3</v>
      </c>
      <c r="G153" s="144">
        <f>VLOOKUP($A153,'Data shares'!$C:$FA,25)</f>
        <v>-4.0999999999999996</v>
      </c>
    </row>
    <row r="154" spans="1:7" x14ac:dyDescent="0.25">
      <c r="A154" s="101" t="str">
        <f>'Data shares'!C150</f>
        <v>OFSS</v>
      </c>
      <c r="B154" s="144">
        <f>VLOOKUP($A154,'Data shares'!$C:$FA,7)</f>
        <v>7662.5</v>
      </c>
      <c r="C154" s="144">
        <f>VLOOKUP($A154,'Data shares'!$C:$FA,3)</f>
        <v>7684.5</v>
      </c>
      <c r="D154" s="144">
        <f>VLOOKUP($A154,'Data shares'!$C:$FA,23)</f>
        <v>22</v>
      </c>
      <c r="E154" s="145">
        <f>VLOOKUP($A154,'Data shares'!$C:$FA,26)*100</f>
        <v>0.28999999999999998</v>
      </c>
      <c r="F154" s="144">
        <f>VLOOKUP($A154,'Data shares'!$C:$FA,24)</f>
        <v>15</v>
      </c>
      <c r="G154" s="144">
        <f>VLOOKUP($A154,'Data shares'!$C:$FA,25)</f>
        <v>7</v>
      </c>
    </row>
    <row r="155" spans="1:7" x14ac:dyDescent="0.25">
      <c r="A155" s="101" t="str">
        <f>'Data shares'!C151</f>
        <v>OIL</v>
      </c>
      <c r="B155" s="144">
        <f>VLOOKUP($A155,'Data shares'!$C:$FA,7)</f>
        <v>399.85</v>
      </c>
      <c r="C155" s="144">
        <f>VLOOKUP($A155,'Data shares'!$C:$FA,3)</f>
        <v>401.4</v>
      </c>
      <c r="D155" s="144">
        <f>VLOOKUP($A155,'Data shares'!$C:$FA,23)</f>
        <v>1.55</v>
      </c>
      <c r="E155" s="145">
        <f>VLOOKUP($A155,'Data shares'!$C:$FA,26)*100</f>
        <v>0.38999999999999996</v>
      </c>
      <c r="F155" s="144">
        <f>VLOOKUP($A155,'Data shares'!$C:$FA,24)</f>
        <v>0.1</v>
      </c>
      <c r="G155" s="144">
        <f>VLOOKUP($A155,'Data shares'!$C:$FA,25)</f>
        <v>1.45</v>
      </c>
    </row>
    <row r="156" spans="1:7" x14ac:dyDescent="0.25">
      <c r="A156" s="101" t="str">
        <f>'Data shares'!C152</f>
        <v>ONGC</v>
      </c>
      <c r="B156" s="144">
        <f>VLOOKUP($A156,'Data shares'!$C:$FA,7)</f>
        <v>232</v>
      </c>
      <c r="C156" s="144">
        <f>VLOOKUP($A156,'Data shares'!$C:$FA,3)</f>
        <v>232.2</v>
      </c>
      <c r="D156" s="144">
        <f>VLOOKUP($A156,'Data shares'!$C:$FA,23)</f>
        <v>0.2</v>
      </c>
      <c r="E156" s="145">
        <f>VLOOKUP($A156,'Data shares'!$C:$FA,26)*100</f>
        <v>0.09</v>
      </c>
      <c r="F156" s="144">
        <f>VLOOKUP($A156,'Data shares'!$C:$FA,24)</f>
        <v>0.23</v>
      </c>
      <c r="G156" s="144">
        <f>VLOOKUP($A156,'Data shares'!$C:$FA,25)</f>
        <v>-0.03</v>
      </c>
    </row>
    <row r="157" spans="1:7" x14ac:dyDescent="0.25">
      <c r="A157" s="101" t="str">
        <f>'Data shares'!C153</f>
        <v>PAGEIND</v>
      </c>
      <c r="B157" s="144">
        <f>VLOOKUP($A157,'Data shares'!$C:$FA,7)</f>
        <v>35695</v>
      </c>
      <c r="C157" s="144">
        <f>VLOOKUP($A157,'Data shares'!$C:$FA,3)</f>
        <v>35840</v>
      </c>
      <c r="D157" s="144">
        <f>VLOOKUP($A157,'Data shares'!$C:$FA,23)</f>
        <v>145</v>
      </c>
      <c r="E157" s="145">
        <f>VLOOKUP($A157,'Data shares'!$C:$FA,26)*100</f>
        <v>0.41000000000000003</v>
      </c>
      <c r="F157" s="144">
        <f>VLOOKUP($A157,'Data shares'!$C:$FA,24)</f>
        <v>30</v>
      </c>
      <c r="G157" s="144">
        <f>VLOOKUP($A157,'Data shares'!$C:$FA,25)</f>
        <v>115</v>
      </c>
    </row>
    <row r="158" spans="1:7" x14ac:dyDescent="0.25">
      <c r="A158" s="101" t="str">
        <f>'Data shares'!C154</f>
        <v>PATANJALI</v>
      </c>
      <c r="B158" s="144">
        <f>VLOOKUP($A158,'Data shares'!$C:$FA,7)</f>
        <v>550.29999999999995</v>
      </c>
      <c r="C158" s="144">
        <f>VLOOKUP($A158,'Data shares'!$C:$FA,3)</f>
        <v>552.15</v>
      </c>
      <c r="D158" s="144">
        <f>VLOOKUP($A158,'Data shares'!$C:$FA,23)</f>
        <v>1.85</v>
      </c>
      <c r="E158" s="145">
        <f>VLOOKUP($A158,'Data shares'!$C:$FA,26)*100</f>
        <v>0.33999999999999997</v>
      </c>
      <c r="F158" s="144">
        <f>VLOOKUP($A158,'Data shares'!$C:$FA,24)</f>
        <v>0.7</v>
      </c>
      <c r="G158" s="144">
        <f>VLOOKUP($A158,'Data shares'!$C:$FA,25)</f>
        <v>1.1499999999999999</v>
      </c>
    </row>
    <row r="159" spans="1:7" x14ac:dyDescent="0.25">
      <c r="A159" s="101" t="str">
        <f>'Data shares'!C155</f>
        <v>PAYTM</v>
      </c>
      <c r="B159" s="144">
        <f>VLOOKUP($A159,'Data shares'!$C:$FA,7)</f>
        <v>1286.0999999999999</v>
      </c>
      <c r="C159" s="144">
        <f>VLOOKUP($A159,'Data shares'!$C:$FA,3)</f>
        <v>1290.5</v>
      </c>
      <c r="D159" s="144">
        <f>VLOOKUP($A159,'Data shares'!$C:$FA,23)</f>
        <v>4.4000000000000004</v>
      </c>
      <c r="E159" s="145">
        <f>VLOOKUP($A159,'Data shares'!$C:$FA,26)*100</f>
        <v>0.33999999999999997</v>
      </c>
      <c r="F159" s="144">
        <f>VLOOKUP($A159,'Data shares'!$C:$FA,24)</f>
        <v>4.0999999999999996</v>
      </c>
      <c r="G159" s="144">
        <f>VLOOKUP($A159,'Data shares'!$C:$FA,25)</f>
        <v>0.3</v>
      </c>
    </row>
    <row r="160" spans="1:7" x14ac:dyDescent="0.25">
      <c r="A160" s="101" t="str">
        <f>'Data shares'!C156</f>
        <v>PERSISTENT</v>
      </c>
      <c r="B160" s="144">
        <f>VLOOKUP($A160,'Data shares'!$C:$FA,7)</f>
        <v>6318.5</v>
      </c>
      <c r="C160" s="144">
        <f>VLOOKUP($A160,'Data shares'!$C:$FA,3)</f>
        <v>6338</v>
      </c>
      <c r="D160" s="144">
        <f>VLOOKUP($A160,'Data shares'!$C:$FA,23)</f>
        <v>19.5</v>
      </c>
      <c r="E160" s="145">
        <f>VLOOKUP($A160,'Data shares'!$C:$FA,26)*100</f>
        <v>0.31</v>
      </c>
      <c r="F160" s="144">
        <f>VLOOKUP($A160,'Data shares'!$C:$FA,24)</f>
        <v>6.5</v>
      </c>
      <c r="G160" s="144">
        <f>VLOOKUP($A160,'Data shares'!$C:$FA,25)</f>
        <v>13</v>
      </c>
    </row>
    <row r="161" spans="1:7" x14ac:dyDescent="0.25">
      <c r="A161" s="101" t="str">
        <f>'Data shares'!C157</f>
        <v>PETRONET</v>
      </c>
      <c r="B161" s="144">
        <f>VLOOKUP($A161,'Data shares'!$C:$FA,7)</f>
        <v>268.8</v>
      </c>
      <c r="C161" s="144">
        <f>VLOOKUP($A161,'Data shares'!$C:$FA,3)</f>
        <v>269.60000000000002</v>
      </c>
      <c r="D161" s="144">
        <f>VLOOKUP($A161,'Data shares'!$C:$FA,23)</f>
        <v>0.8</v>
      </c>
      <c r="E161" s="145">
        <f>VLOOKUP($A161,'Data shares'!$C:$FA,26)*100</f>
        <v>0.3</v>
      </c>
      <c r="F161" s="144">
        <f>VLOOKUP($A161,'Data shares'!$C:$FA,24)</f>
        <v>0.8</v>
      </c>
      <c r="G161" s="144">
        <f>VLOOKUP($A161,'Data shares'!$C:$FA,25)</f>
        <v>0</v>
      </c>
    </row>
    <row r="162" spans="1:7" x14ac:dyDescent="0.25">
      <c r="A162" s="101" t="str">
        <f>'Data shares'!C158</f>
        <v>PFC</v>
      </c>
      <c r="B162" s="144">
        <f>VLOOKUP($A162,'Data shares'!$C:$FA,7)</f>
        <v>335.05</v>
      </c>
      <c r="C162" s="144">
        <f>VLOOKUP($A162,'Data shares'!$C:$FA,3)</f>
        <v>336.1</v>
      </c>
      <c r="D162" s="144">
        <f>VLOOKUP($A162,'Data shares'!$C:$FA,23)</f>
        <v>1.05</v>
      </c>
      <c r="E162" s="145">
        <f>VLOOKUP($A162,'Data shares'!$C:$FA,26)*100</f>
        <v>0.31</v>
      </c>
      <c r="F162" s="144">
        <f>VLOOKUP($A162,'Data shares'!$C:$FA,24)</f>
        <v>1.1000000000000001</v>
      </c>
      <c r="G162" s="144">
        <f>VLOOKUP($A162,'Data shares'!$C:$FA,25)</f>
        <v>-0.05</v>
      </c>
    </row>
    <row r="163" spans="1:7" x14ac:dyDescent="0.25">
      <c r="A163" s="101" t="str">
        <f>'Data shares'!C159</f>
        <v>PGEL</v>
      </c>
      <c r="B163" s="144">
        <f>VLOOKUP($A163,'Data shares'!$C:$FA,7)</f>
        <v>566.35</v>
      </c>
      <c r="C163" s="144">
        <f>VLOOKUP($A163,'Data shares'!$C:$FA,3)</f>
        <v>566.29999999999995</v>
      </c>
      <c r="D163" s="144">
        <f>VLOOKUP($A163,'Data shares'!$C:$FA,23)</f>
        <v>-0.05</v>
      </c>
      <c r="E163" s="145">
        <f>VLOOKUP($A163,'Data shares'!$C:$FA,26)*100</f>
        <v>-0.01</v>
      </c>
      <c r="F163" s="144">
        <f>VLOOKUP($A163,'Data shares'!$C:$FA,24)</f>
        <v>-0.1</v>
      </c>
      <c r="G163" s="144">
        <f>VLOOKUP($A163,'Data shares'!$C:$FA,25)</f>
        <v>0.05</v>
      </c>
    </row>
    <row r="164" spans="1:7" x14ac:dyDescent="0.25">
      <c r="A164" s="101" t="str">
        <f>'Data shares'!C160</f>
        <v>PHOENIXLTD</v>
      </c>
      <c r="B164" s="144">
        <f>VLOOKUP($A164,'Data shares'!$C:$FA,7)</f>
        <v>1798</v>
      </c>
      <c r="C164" s="144">
        <f>VLOOKUP($A164,'Data shares'!$C:$FA,3)</f>
        <v>1802.6</v>
      </c>
      <c r="D164" s="144">
        <f>VLOOKUP($A164,'Data shares'!$C:$FA,23)</f>
        <v>4.5999999999999996</v>
      </c>
      <c r="E164" s="145">
        <f>VLOOKUP($A164,'Data shares'!$C:$FA,26)*100</f>
        <v>0.26</v>
      </c>
      <c r="F164" s="144">
        <f>VLOOKUP($A164,'Data shares'!$C:$FA,24)</f>
        <v>1</v>
      </c>
      <c r="G164" s="144">
        <f>VLOOKUP($A164,'Data shares'!$C:$FA,25)</f>
        <v>3.6</v>
      </c>
    </row>
    <row r="165" spans="1:7" x14ac:dyDescent="0.25">
      <c r="A165" s="101" t="str">
        <f>'Data shares'!C161</f>
        <v>PIDILITIND</v>
      </c>
      <c r="B165" s="144">
        <f>VLOOKUP($A165,'Data shares'!$C:$FA,7)</f>
        <v>1451.6</v>
      </c>
      <c r="C165" s="144">
        <f>VLOOKUP($A165,'Data shares'!$C:$FA,3)</f>
        <v>1455</v>
      </c>
      <c r="D165" s="144">
        <f>VLOOKUP($A165,'Data shares'!$C:$FA,23)</f>
        <v>3.4</v>
      </c>
      <c r="E165" s="145">
        <f>VLOOKUP($A165,'Data shares'!$C:$FA,26)*100</f>
        <v>0.22999999999999998</v>
      </c>
      <c r="F165" s="144">
        <f>VLOOKUP($A165,'Data shares'!$C:$FA,24)</f>
        <v>1.9</v>
      </c>
      <c r="G165" s="144">
        <f>VLOOKUP($A165,'Data shares'!$C:$FA,25)</f>
        <v>1.5</v>
      </c>
    </row>
    <row r="166" spans="1:7" x14ac:dyDescent="0.25">
      <c r="A166" s="101" t="str">
        <f>'Data shares'!C162</f>
        <v>PIIND</v>
      </c>
      <c r="B166" s="144">
        <f>VLOOKUP($A166,'Data shares'!$C:$FA,7)</f>
        <v>3213.8</v>
      </c>
      <c r="C166" s="144">
        <f>VLOOKUP($A166,'Data shares'!$C:$FA,3)</f>
        <v>3225.3</v>
      </c>
      <c r="D166" s="144">
        <f>VLOOKUP($A166,'Data shares'!$C:$FA,23)</f>
        <v>11.5</v>
      </c>
      <c r="E166" s="145">
        <f>VLOOKUP($A166,'Data shares'!$C:$FA,26)*100</f>
        <v>0.36</v>
      </c>
      <c r="F166" s="144">
        <f>VLOOKUP($A166,'Data shares'!$C:$FA,24)</f>
        <v>10.4</v>
      </c>
      <c r="G166" s="144">
        <f>VLOOKUP($A166,'Data shares'!$C:$FA,25)</f>
        <v>1.1000000000000001</v>
      </c>
    </row>
    <row r="167" spans="1:7" x14ac:dyDescent="0.25">
      <c r="A167" s="101" t="str">
        <f>'Data shares'!C163</f>
        <v>PNB</v>
      </c>
      <c r="B167" s="144">
        <f>VLOOKUP($A167,'Data shares'!$C:$FA,7)</f>
        <v>118.9</v>
      </c>
      <c r="C167" s="144">
        <f>VLOOKUP($A167,'Data shares'!$C:$FA,3)</f>
        <v>119.06</v>
      </c>
      <c r="D167" s="144">
        <f>VLOOKUP($A167,'Data shares'!$C:$FA,23)</f>
        <v>0.16</v>
      </c>
      <c r="E167" s="145">
        <f>VLOOKUP($A167,'Data shares'!$C:$FA,26)*100</f>
        <v>0.13</v>
      </c>
      <c r="F167" s="144">
        <f>VLOOKUP($A167,'Data shares'!$C:$FA,24)</f>
        <v>0.42</v>
      </c>
      <c r="G167" s="144">
        <f>VLOOKUP($A167,'Data shares'!$C:$FA,25)</f>
        <v>-0.26</v>
      </c>
    </row>
    <row r="168" spans="1:7" s="175" customFormat="1" x14ac:dyDescent="0.25">
      <c r="A168" s="101" t="str">
        <f>'Data shares'!C164</f>
        <v>PNBHOUSING</v>
      </c>
      <c r="B168" s="144">
        <f>VLOOKUP($A168,'Data shares'!$C:$FA,7)</f>
        <v>896.15</v>
      </c>
      <c r="C168" s="144">
        <f>VLOOKUP($A168,'Data shares'!$C:$FA,3)</f>
        <v>898.8</v>
      </c>
      <c r="D168" s="144">
        <f>VLOOKUP($A168,'Data shares'!$C:$FA,23)</f>
        <v>2.65</v>
      </c>
      <c r="E168" s="145">
        <f>VLOOKUP($A168,'Data shares'!$C:$FA,26)*100</f>
        <v>0.3</v>
      </c>
      <c r="F168" s="144">
        <f>VLOOKUP($A168,'Data shares'!$C:$FA,24)</f>
        <v>2.95</v>
      </c>
      <c r="G168" s="144">
        <f>VLOOKUP($A168,'Data shares'!$C:$FA,25)</f>
        <v>-0.3</v>
      </c>
    </row>
    <row r="169" spans="1:7" x14ac:dyDescent="0.25">
      <c r="A169" s="101" t="str">
        <f>'Data shares'!C165</f>
        <v>POLICYBZR</v>
      </c>
      <c r="B169" s="144">
        <f>VLOOKUP($A169,'Data shares'!$C:$FA,7)</f>
        <v>1834.4</v>
      </c>
      <c r="C169" s="144">
        <f>VLOOKUP($A169,'Data shares'!$C:$FA,3)</f>
        <v>1839.4</v>
      </c>
      <c r="D169" s="144">
        <f>VLOOKUP($A169,'Data shares'!$C:$FA,23)</f>
        <v>5</v>
      </c>
      <c r="E169" s="145">
        <f>VLOOKUP($A169,'Data shares'!$C:$FA,26)*100</f>
        <v>0.27</v>
      </c>
      <c r="F169" s="144">
        <f>VLOOKUP($A169,'Data shares'!$C:$FA,24)</f>
        <v>5.4</v>
      </c>
      <c r="G169" s="144">
        <f>VLOOKUP($A169,'Data shares'!$C:$FA,25)</f>
        <v>-0.4</v>
      </c>
    </row>
    <row r="170" spans="1:7" x14ac:dyDescent="0.25">
      <c r="A170" s="101" t="str">
        <f>'Data shares'!C166</f>
        <v>POLYCAB</v>
      </c>
      <c r="B170" s="144">
        <f>VLOOKUP($A170,'Data shares'!$C:$FA,7)</f>
        <v>7099</v>
      </c>
      <c r="C170" s="144">
        <f>VLOOKUP($A170,'Data shares'!$C:$FA,3)</f>
        <v>7122</v>
      </c>
      <c r="D170" s="144">
        <f>VLOOKUP($A170,'Data shares'!$C:$FA,23)</f>
        <v>23</v>
      </c>
      <c r="E170" s="145">
        <f>VLOOKUP($A170,'Data shares'!$C:$FA,26)*100</f>
        <v>0.32</v>
      </c>
      <c r="F170" s="144">
        <f>VLOOKUP($A170,'Data shares'!$C:$FA,24)</f>
        <v>23.5</v>
      </c>
      <c r="G170" s="144">
        <f>VLOOKUP($A170,'Data shares'!$C:$FA,25)</f>
        <v>-0.5</v>
      </c>
    </row>
    <row r="171" spans="1:7" x14ac:dyDescent="0.25">
      <c r="A171" s="101" t="str">
        <f>'Data shares'!C167</f>
        <v>POWERGRID</v>
      </c>
      <c r="B171" s="144">
        <f>VLOOKUP($A171,'Data shares'!$C:$FA,7)</f>
        <v>257.95</v>
      </c>
      <c r="C171" s="144">
        <f>VLOOKUP($A171,'Data shares'!$C:$FA,3)</f>
        <v>258.75</v>
      </c>
      <c r="D171" s="144">
        <f>VLOOKUP($A171,'Data shares'!$C:$FA,23)</f>
        <v>0.8</v>
      </c>
      <c r="E171" s="145">
        <f>VLOOKUP($A171,'Data shares'!$C:$FA,26)*100</f>
        <v>0.31</v>
      </c>
      <c r="F171" s="144">
        <f>VLOOKUP($A171,'Data shares'!$C:$FA,24)</f>
        <v>0.8</v>
      </c>
      <c r="G171" s="144">
        <f>VLOOKUP($A171,'Data shares'!$C:$FA,25)</f>
        <v>0</v>
      </c>
    </row>
    <row r="172" spans="1:7" x14ac:dyDescent="0.25">
      <c r="A172" s="101" t="str">
        <f>'Data shares'!C168</f>
        <v>POWERINDIA</v>
      </c>
      <c r="B172" s="144">
        <f>VLOOKUP($A172,'Data shares'!$C:$FA,7)</f>
        <v>18160</v>
      </c>
      <c r="C172" s="144">
        <f>VLOOKUP($A172,'Data shares'!$C:$FA,3)</f>
        <v>18210</v>
      </c>
      <c r="D172" s="144">
        <f>VLOOKUP($A172,'Data shares'!$C:$FA,23)</f>
        <v>50</v>
      </c>
      <c r="E172" s="145">
        <f>VLOOKUP($A172,'Data shares'!$C:$FA,26)*100</f>
        <v>0.27999999999999997</v>
      </c>
      <c r="F172" s="144">
        <f>VLOOKUP($A172,'Data shares'!$C:$FA,24)</f>
        <v>65</v>
      </c>
      <c r="G172" s="144">
        <f>VLOOKUP($A172,'Data shares'!$C:$FA,25)</f>
        <v>-15</v>
      </c>
    </row>
    <row r="173" spans="1:7" x14ac:dyDescent="0.25">
      <c r="A173" s="101" t="str">
        <f>'Data shares'!C169</f>
        <v>PPLPHARMA</v>
      </c>
      <c r="B173" s="144">
        <f>VLOOKUP($A173,'Data shares'!$C:$FA,7)</f>
        <v>166.52</v>
      </c>
      <c r="C173" s="144">
        <f>VLOOKUP($A173,'Data shares'!$C:$FA,3)</f>
        <v>167.19</v>
      </c>
      <c r="D173" s="144">
        <f>VLOOKUP($A173,'Data shares'!$C:$FA,23)</f>
        <v>0.67</v>
      </c>
      <c r="E173" s="145">
        <f>VLOOKUP($A173,'Data shares'!$C:$FA,26)*100</f>
        <v>0.4</v>
      </c>
      <c r="F173" s="144">
        <f>VLOOKUP($A173,'Data shares'!$C:$FA,24)</f>
        <v>0.3</v>
      </c>
      <c r="G173" s="144">
        <f>VLOOKUP($A173,'Data shares'!$C:$FA,25)</f>
        <v>0.37</v>
      </c>
    </row>
    <row r="174" spans="1:7" x14ac:dyDescent="0.25">
      <c r="A174" s="101" t="str">
        <f>'Data shares'!C170</f>
        <v>PRESTIGE</v>
      </c>
      <c r="B174" s="144">
        <f>VLOOKUP($A174,'Data shares'!$C:$FA,7)</f>
        <v>1600.2</v>
      </c>
      <c r="C174" s="144">
        <f>VLOOKUP($A174,'Data shares'!$C:$FA,3)</f>
        <v>1605.1</v>
      </c>
      <c r="D174" s="144">
        <f>VLOOKUP($A174,'Data shares'!$C:$FA,23)</f>
        <v>4.9000000000000004</v>
      </c>
      <c r="E174" s="145">
        <f>VLOOKUP($A174,'Data shares'!$C:$FA,26)*100</f>
        <v>0.31</v>
      </c>
      <c r="F174" s="144">
        <f>VLOOKUP($A174,'Data shares'!$C:$FA,24)</f>
        <v>5.8</v>
      </c>
      <c r="G174" s="144">
        <f>VLOOKUP($A174,'Data shares'!$C:$FA,25)</f>
        <v>-0.9</v>
      </c>
    </row>
    <row r="175" spans="1:7" x14ac:dyDescent="0.25">
      <c r="A175" s="101" t="str">
        <f>'Data shares'!C171</f>
        <v>RBLBANK</v>
      </c>
      <c r="B175" s="144">
        <f>VLOOKUP($A175,'Data shares'!$C:$FA,7)</f>
        <v>298.75</v>
      </c>
      <c r="C175" s="144">
        <f>VLOOKUP($A175,'Data shares'!$C:$FA,3)</f>
        <v>299.05</v>
      </c>
      <c r="D175" s="144">
        <f>VLOOKUP($A175,'Data shares'!$C:$FA,23)</f>
        <v>0.3</v>
      </c>
      <c r="E175" s="145">
        <f>VLOOKUP($A175,'Data shares'!$C:$FA,26)*100</f>
        <v>0.1</v>
      </c>
      <c r="F175" s="144">
        <f>VLOOKUP($A175,'Data shares'!$C:$FA,24)</f>
        <v>1.05</v>
      </c>
      <c r="G175" s="144">
        <f>VLOOKUP($A175,'Data shares'!$C:$FA,25)</f>
        <v>-0.75</v>
      </c>
    </row>
    <row r="176" spans="1:7" x14ac:dyDescent="0.25">
      <c r="A176" s="101" t="str">
        <f>'Data shares'!C172</f>
        <v>RECLTD</v>
      </c>
      <c r="B176" s="144">
        <f>VLOOKUP($A176,'Data shares'!$C:$FA,7)</f>
        <v>337</v>
      </c>
      <c r="C176" s="144">
        <f>VLOOKUP($A176,'Data shares'!$C:$FA,3)</f>
        <v>337.8</v>
      </c>
      <c r="D176" s="144">
        <f>VLOOKUP($A176,'Data shares'!$C:$FA,23)</f>
        <v>0.8</v>
      </c>
      <c r="E176" s="145">
        <f>VLOOKUP($A176,'Data shares'!$C:$FA,26)*100</f>
        <v>0.24</v>
      </c>
      <c r="F176" s="144">
        <f>VLOOKUP($A176,'Data shares'!$C:$FA,24)</f>
        <v>0.55000000000000004</v>
      </c>
      <c r="G176" s="144">
        <f>VLOOKUP($A176,'Data shares'!$C:$FA,25)</f>
        <v>0.25</v>
      </c>
    </row>
    <row r="177" spans="1:7" x14ac:dyDescent="0.25">
      <c r="A177" s="101" t="str">
        <f>'Data shares'!C173</f>
        <v>RELIANCE</v>
      </c>
      <c r="B177" s="144">
        <f>VLOOKUP($A177,'Data shares'!$C:$FA,7)</f>
        <v>1544.4</v>
      </c>
      <c r="C177" s="144">
        <f>VLOOKUP($A177,'Data shares'!$C:$FA,3)</f>
        <v>1548.1</v>
      </c>
      <c r="D177" s="144">
        <f>VLOOKUP($A177,'Data shares'!$C:$FA,23)</f>
        <v>3.7</v>
      </c>
      <c r="E177" s="145">
        <f>VLOOKUP($A177,'Data shares'!$C:$FA,26)*100</f>
        <v>0.24</v>
      </c>
      <c r="F177" s="144">
        <f>VLOOKUP($A177,'Data shares'!$C:$FA,24)</f>
        <v>4.4000000000000004</v>
      </c>
      <c r="G177" s="144">
        <f>VLOOKUP($A177,'Data shares'!$C:$FA,25)</f>
        <v>-0.7</v>
      </c>
    </row>
    <row r="178" spans="1:7" x14ac:dyDescent="0.25">
      <c r="A178" s="101" t="str">
        <f>'Data shares'!C174</f>
        <v>RVNL</v>
      </c>
      <c r="B178" s="144">
        <f>VLOOKUP($A178,'Data shares'!$C:$FA,7)</f>
        <v>305.95</v>
      </c>
      <c r="C178" s="144">
        <f>VLOOKUP($A178,'Data shares'!$C:$FA,3)</f>
        <v>304.60000000000002</v>
      </c>
      <c r="D178" s="144">
        <f>VLOOKUP($A178,'Data shares'!$C:$FA,23)</f>
        <v>-1.35</v>
      </c>
      <c r="E178" s="145">
        <f>VLOOKUP($A178,'Data shares'!$C:$FA,26)*100</f>
        <v>-0.44</v>
      </c>
      <c r="F178" s="144">
        <f>VLOOKUP($A178,'Data shares'!$C:$FA,24)</f>
        <v>-1.85</v>
      </c>
      <c r="G178" s="144">
        <f>VLOOKUP($A178,'Data shares'!$C:$FA,25)</f>
        <v>0.5</v>
      </c>
    </row>
    <row r="179" spans="1:7" x14ac:dyDescent="0.25">
      <c r="A179" s="101" t="str">
        <f>'Data shares'!C175</f>
        <v>SAIL</v>
      </c>
      <c r="B179" s="144">
        <f>VLOOKUP($A179,'Data shares'!$C:$FA,7)</f>
        <v>127.27</v>
      </c>
      <c r="C179" s="144">
        <f>VLOOKUP($A179,'Data shares'!$C:$FA,3)</f>
        <v>127.26</v>
      </c>
      <c r="D179" s="144">
        <f>VLOOKUP($A179,'Data shares'!$C:$FA,23)</f>
        <v>-0.01</v>
      </c>
      <c r="E179" s="145">
        <f>VLOOKUP($A179,'Data shares'!$C:$FA,26)*100</f>
        <v>-0.01</v>
      </c>
      <c r="F179" s="144">
        <f>VLOOKUP($A179,'Data shares'!$C:$FA,24)</f>
        <v>0.11</v>
      </c>
      <c r="G179" s="144">
        <f>VLOOKUP($A179,'Data shares'!$C:$FA,25)</f>
        <v>-0.12</v>
      </c>
    </row>
    <row r="180" spans="1:7" x14ac:dyDescent="0.25">
      <c r="A180" s="101" t="str">
        <f>'Data shares'!C176</f>
        <v>SAMMAANCAP</v>
      </c>
      <c r="B180" s="144">
        <f>VLOOKUP($A180,'Data shares'!$C:$FA,7)</f>
        <v>143.47999999999999</v>
      </c>
      <c r="C180" s="144">
        <f>VLOOKUP($A180,'Data shares'!$C:$FA,3)</f>
        <v>144.03</v>
      </c>
      <c r="D180" s="144">
        <f>VLOOKUP($A180,'Data shares'!$C:$FA,23)</f>
        <v>0.55000000000000004</v>
      </c>
      <c r="E180" s="145">
        <f>VLOOKUP($A180,'Data shares'!$C:$FA,26)*100</f>
        <v>0.38</v>
      </c>
      <c r="F180" s="144">
        <f>VLOOKUP($A180,'Data shares'!$C:$FA,24)</f>
        <v>0.41</v>
      </c>
      <c r="G180" s="144">
        <f>VLOOKUP($A180,'Data shares'!$C:$FA,25)</f>
        <v>0.14000000000000001</v>
      </c>
    </row>
    <row r="181" spans="1:7" x14ac:dyDescent="0.25">
      <c r="A181" s="101" t="str">
        <f>'Data shares'!C177</f>
        <v>SBICARD</v>
      </c>
      <c r="B181" s="144">
        <f>VLOOKUP($A181,'Data shares'!$C:$FA,7)</f>
        <v>848.15</v>
      </c>
      <c r="C181" s="144">
        <f>VLOOKUP($A181,'Data shares'!$C:$FA,3)</f>
        <v>851.15</v>
      </c>
      <c r="D181" s="144">
        <f>VLOOKUP($A181,'Data shares'!$C:$FA,23)</f>
        <v>3</v>
      </c>
      <c r="E181" s="145">
        <f>VLOOKUP($A181,'Data shares'!$C:$FA,26)*100</f>
        <v>0.35000000000000003</v>
      </c>
      <c r="F181" s="144">
        <f>VLOOKUP($A181,'Data shares'!$C:$FA,24)</f>
        <v>2.15</v>
      </c>
      <c r="G181" s="144">
        <f>VLOOKUP($A181,'Data shares'!$C:$FA,25)</f>
        <v>0.85</v>
      </c>
    </row>
    <row r="182" spans="1:7" x14ac:dyDescent="0.25">
      <c r="A182" s="101" t="str">
        <f>'Data shares'!C178</f>
        <v>SBILIFE</v>
      </c>
      <c r="B182" s="144">
        <f>VLOOKUP($A182,'Data shares'!$C:$FA,7)</f>
        <v>2014.4</v>
      </c>
      <c r="C182" s="144">
        <f>VLOOKUP($A182,'Data shares'!$C:$FA,3)</f>
        <v>2018.5</v>
      </c>
      <c r="D182" s="144">
        <f>VLOOKUP($A182,'Data shares'!$C:$FA,23)</f>
        <v>4.0999999999999996</v>
      </c>
      <c r="E182" s="145">
        <f>VLOOKUP($A182,'Data shares'!$C:$FA,26)*100</f>
        <v>0.2</v>
      </c>
      <c r="F182" s="144">
        <f>VLOOKUP($A182,'Data shares'!$C:$FA,24)</f>
        <v>6.1</v>
      </c>
      <c r="G182" s="144">
        <f>VLOOKUP($A182,'Data shares'!$C:$FA,25)</f>
        <v>-2</v>
      </c>
    </row>
    <row r="183" spans="1:7" x14ac:dyDescent="0.25">
      <c r="A183" s="101" t="str">
        <f>'Data shares'!C179</f>
        <v>SBIN</v>
      </c>
      <c r="B183" s="144">
        <f>VLOOKUP($A183,'Data shares'!$C:$FA,7)</f>
        <v>977.55</v>
      </c>
      <c r="C183" s="144">
        <f>VLOOKUP($A183,'Data shares'!$C:$FA,3)</f>
        <v>977.85</v>
      </c>
      <c r="D183" s="144">
        <f>VLOOKUP($A183,'Data shares'!$C:$FA,23)</f>
        <v>0.3</v>
      </c>
      <c r="E183" s="145">
        <f>VLOOKUP($A183,'Data shares'!$C:$FA,26)*100</f>
        <v>0.03</v>
      </c>
      <c r="F183" s="144">
        <f>VLOOKUP($A183,'Data shares'!$C:$FA,24)</f>
        <v>1.65</v>
      </c>
      <c r="G183" s="144">
        <f>VLOOKUP($A183,'Data shares'!$C:$FA,25)</f>
        <v>-1.35</v>
      </c>
    </row>
    <row r="184" spans="1:7" x14ac:dyDescent="0.25">
      <c r="A184" s="101" t="str">
        <f>'Data shares'!C180</f>
        <v>SHREECEM</v>
      </c>
      <c r="B184" s="144">
        <f>VLOOKUP($A184,'Data shares'!$C:$FA,7)</f>
        <v>25645</v>
      </c>
      <c r="C184" s="144">
        <f>VLOOKUP($A184,'Data shares'!$C:$FA,3)</f>
        <v>25755</v>
      </c>
      <c r="D184" s="144">
        <f>VLOOKUP($A184,'Data shares'!$C:$FA,23)</f>
        <v>110</v>
      </c>
      <c r="E184" s="145">
        <f>VLOOKUP($A184,'Data shares'!$C:$FA,26)*100</f>
        <v>0.43</v>
      </c>
      <c r="F184" s="144">
        <f>VLOOKUP($A184,'Data shares'!$C:$FA,24)</f>
        <v>35</v>
      </c>
      <c r="G184" s="144">
        <f>VLOOKUP($A184,'Data shares'!$C:$FA,25)</f>
        <v>75</v>
      </c>
    </row>
    <row r="185" spans="1:7" x14ac:dyDescent="0.25">
      <c r="A185" s="101" t="str">
        <f>'Data shares'!C181</f>
        <v>SHRIRAMFIN</v>
      </c>
      <c r="B185" s="144">
        <f>VLOOKUP($A185,'Data shares'!$C:$FA,7)</f>
        <v>869.45</v>
      </c>
      <c r="C185" s="144">
        <f>VLOOKUP($A185,'Data shares'!$C:$FA,3)</f>
        <v>869.55</v>
      </c>
      <c r="D185" s="144">
        <f>VLOOKUP($A185,'Data shares'!$C:$FA,23)</f>
        <v>0.1</v>
      </c>
      <c r="E185" s="145">
        <f>VLOOKUP($A185,'Data shares'!$C:$FA,26)*100</f>
        <v>0.01</v>
      </c>
      <c r="F185" s="144">
        <f>VLOOKUP($A185,'Data shares'!$C:$FA,24)</f>
        <v>3.75</v>
      </c>
      <c r="G185" s="144">
        <f>VLOOKUP($A185,'Data shares'!$C:$FA,25)</f>
        <v>-3.65</v>
      </c>
    </row>
    <row r="186" spans="1:7" x14ac:dyDescent="0.25">
      <c r="A186" s="101" t="str">
        <f>'Data shares'!C182</f>
        <v>SIEMENS</v>
      </c>
      <c r="B186" s="144">
        <f>VLOOKUP($A186,'Data shares'!$C:$FA,7)</f>
        <v>3074</v>
      </c>
      <c r="C186" s="144">
        <f>VLOOKUP($A186,'Data shares'!$C:$FA,3)</f>
        <v>3080.4</v>
      </c>
      <c r="D186" s="144">
        <f>VLOOKUP($A186,'Data shares'!$C:$FA,23)</f>
        <v>6.4</v>
      </c>
      <c r="E186" s="145">
        <f>VLOOKUP($A186,'Data shares'!$C:$FA,26)*100</f>
        <v>0.21</v>
      </c>
      <c r="F186" s="144">
        <f>VLOOKUP($A186,'Data shares'!$C:$FA,24)</f>
        <v>12.2</v>
      </c>
      <c r="G186" s="144">
        <f>VLOOKUP($A186,'Data shares'!$C:$FA,25)</f>
        <v>-5.8</v>
      </c>
    </row>
    <row r="187" spans="1:7" x14ac:dyDescent="0.25">
      <c r="A187" s="101" t="str">
        <f>'Data shares'!C183</f>
        <v>SOLARINDS</v>
      </c>
      <c r="B187" s="144">
        <f>VLOOKUP($A187,'Data shares'!$C:$FA,7)</f>
        <v>11772</v>
      </c>
      <c r="C187" s="144">
        <f>VLOOKUP($A187,'Data shares'!$C:$FA,3)</f>
        <v>11802</v>
      </c>
      <c r="D187" s="144">
        <f>VLOOKUP($A187,'Data shares'!$C:$FA,23)</f>
        <v>30</v>
      </c>
      <c r="E187" s="145">
        <f>VLOOKUP($A187,'Data shares'!$C:$FA,26)*100</f>
        <v>0.25</v>
      </c>
      <c r="F187" s="144">
        <f>VLOOKUP($A187,'Data shares'!$C:$FA,24)</f>
        <v>9</v>
      </c>
      <c r="G187" s="144">
        <f>VLOOKUP($A187,'Data shares'!$C:$FA,25)</f>
        <v>21</v>
      </c>
    </row>
    <row r="188" spans="1:7" x14ac:dyDescent="0.25">
      <c r="A188" s="101" t="str">
        <f>'Data shares'!C184</f>
        <v>SONACOMS</v>
      </c>
      <c r="B188" s="144">
        <f>VLOOKUP($A188,'Data shares'!$C:$FA,7)</f>
        <v>486.45</v>
      </c>
      <c r="C188" s="144">
        <f>VLOOKUP($A188,'Data shares'!$C:$FA,3)</f>
        <v>486.85</v>
      </c>
      <c r="D188" s="144">
        <f>VLOOKUP($A188,'Data shares'!$C:$FA,23)</f>
        <v>0.4</v>
      </c>
      <c r="E188" s="145">
        <f>VLOOKUP($A188,'Data shares'!$C:$FA,26)*100</f>
        <v>0.08</v>
      </c>
      <c r="F188" s="144">
        <f>VLOOKUP($A188,'Data shares'!$C:$FA,24)</f>
        <v>1.55</v>
      </c>
      <c r="G188" s="144">
        <f>VLOOKUP($A188,'Data shares'!$C:$FA,25)</f>
        <v>-1.1499999999999999</v>
      </c>
    </row>
    <row r="189" spans="1:7" x14ac:dyDescent="0.25">
      <c r="A189" s="101"/>
      <c r="B189" s="144"/>
      <c r="C189" s="144"/>
      <c r="D189" s="144"/>
      <c r="E189" s="145"/>
      <c r="F189" s="144"/>
      <c r="G189" s="144"/>
    </row>
    <row r="190" spans="1:7" x14ac:dyDescent="0.25">
      <c r="A190" s="101"/>
      <c r="B190" s="144"/>
      <c r="C190" s="144"/>
      <c r="D190" s="144"/>
      <c r="E190" s="145"/>
      <c r="F190" s="144"/>
      <c r="G190" s="144"/>
    </row>
    <row r="191" spans="1:7" x14ac:dyDescent="0.25">
      <c r="A191" s="101"/>
      <c r="B191" s="144"/>
      <c r="C191" s="144"/>
      <c r="D191" s="144"/>
      <c r="E191" s="145"/>
      <c r="F191" s="144"/>
      <c r="G191" s="144"/>
    </row>
    <row r="192" spans="1:7" x14ac:dyDescent="0.25">
      <c r="A192" s="101"/>
      <c r="B192" s="144"/>
      <c r="C192" s="144"/>
      <c r="D192" s="144"/>
      <c r="E192" s="145"/>
      <c r="F192" s="144"/>
      <c r="G192" s="144"/>
    </row>
    <row r="193" spans="1:7" x14ac:dyDescent="0.25">
      <c r="A193" s="101"/>
      <c r="B193" s="144"/>
      <c r="C193" s="144"/>
      <c r="D193" s="144"/>
      <c r="E193" s="145"/>
      <c r="F193" s="144"/>
      <c r="G193" s="144"/>
    </row>
    <row r="194" spans="1:7" x14ac:dyDescent="0.25">
      <c r="A194" s="101"/>
      <c r="B194" s="144"/>
      <c r="C194" s="144"/>
      <c r="D194" s="144"/>
      <c r="E194" s="145"/>
      <c r="F194" s="144"/>
      <c r="G194" s="144"/>
    </row>
    <row r="195" spans="1:7" x14ac:dyDescent="0.25">
      <c r="A195" s="101"/>
      <c r="B195" s="144"/>
      <c r="C195" s="144"/>
      <c r="D195" s="144"/>
      <c r="E195" s="145"/>
      <c r="F195" s="144"/>
      <c r="G195" s="144"/>
    </row>
    <row r="196" spans="1:7" x14ac:dyDescent="0.25">
      <c r="A196" s="101"/>
      <c r="B196" s="144"/>
      <c r="C196" s="144"/>
      <c r="D196" s="144"/>
      <c r="E196" s="145"/>
      <c r="F196" s="144"/>
      <c r="G196" s="144"/>
    </row>
    <row r="197" spans="1:7" x14ac:dyDescent="0.25">
      <c r="A197" s="101"/>
      <c r="B197" s="144"/>
      <c r="C197" s="144"/>
      <c r="D197" s="144"/>
      <c r="E197" s="145"/>
      <c r="F197" s="144"/>
      <c r="G197" s="144"/>
    </row>
    <row r="198" spans="1:7" x14ac:dyDescent="0.25">
      <c r="A198" s="101"/>
      <c r="B198" s="144"/>
      <c r="C198" s="144"/>
      <c r="D198" s="144"/>
      <c r="E198" s="145"/>
      <c r="F198" s="144"/>
      <c r="G198" s="144"/>
    </row>
    <row r="199" spans="1:7" x14ac:dyDescent="0.25">
      <c r="A199" s="101"/>
      <c r="B199" s="144"/>
      <c r="C199" s="144"/>
      <c r="D199" s="144"/>
      <c r="E199" s="145"/>
      <c r="F199" s="144"/>
      <c r="G199" s="144"/>
    </row>
    <row r="200" spans="1:7" x14ac:dyDescent="0.25">
      <c r="A200" s="101"/>
      <c r="B200" s="144"/>
      <c r="C200" s="144"/>
      <c r="D200" s="144"/>
      <c r="E200" s="145"/>
      <c r="F200" s="144"/>
      <c r="G200" s="144"/>
    </row>
    <row r="201" spans="1:7" x14ac:dyDescent="0.25">
      <c r="A201" s="101"/>
      <c r="B201" s="144"/>
      <c r="C201" s="144"/>
      <c r="D201" s="144"/>
      <c r="E201" s="145"/>
      <c r="F201" s="144"/>
      <c r="G201" s="144"/>
    </row>
    <row r="202" spans="1:7" x14ac:dyDescent="0.25">
      <c r="A202" s="101"/>
      <c r="B202" s="144"/>
      <c r="C202" s="144"/>
      <c r="D202" s="144"/>
      <c r="E202" s="145"/>
      <c r="F202" s="144"/>
      <c r="G202" s="144"/>
    </row>
    <row r="203" spans="1:7" x14ac:dyDescent="0.25">
      <c r="A203" s="101"/>
      <c r="B203" s="144"/>
      <c r="C203" s="144"/>
      <c r="D203" s="144"/>
      <c r="E203" s="145"/>
      <c r="F203" s="144"/>
      <c r="G203" s="144"/>
    </row>
    <row r="204" spans="1:7" x14ac:dyDescent="0.25">
      <c r="A204" s="101"/>
      <c r="B204" s="144"/>
      <c r="C204" s="144"/>
      <c r="D204" s="144"/>
      <c r="E204" s="145"/>
      <c r="F204" s="144"/>
      <c r="G204" s="144"/>
    </row>
    <row r="205" spans="1:7" x14ac:dyDescent="0.25">
      <c r="A205" s="101"/>
      <c r="B205" s="144"/>
      <c r="C205" s="144"/>
      <c r="D205" s="144"/>
      <c r="E205" s="145"/>
      <c r="F205" s="144"/>
      <c r="G205" s="144"/>
    </row>
    <row r="206" spans="1:7" x14ac:dyDescent="0.25">
      <c r="A206" s="101">
        <f>'Data shares'!C216</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8"/>
  <sheetViews>
    <sheetView workbookViewId="0">
      <pane ySplit="6" topLeftCell="A25" activePane="bottomLeft" state="frozen"/>
      <selection pane="bottomLeft" activeCell="A32" sqref="A32"/>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50" t="s">
        <v>371</v>
      </c>
      <c r="C4" s="250"/>
      <c r="D4" s="250"/>
      <c r="E4" s="250"/>
      <c r="F4" s="250"/>
      <c r="G4" s="250"/>
    </row>
    <row r="5" spans="1:7" x14ac:dyDescent="0.25">
      <c r="A5" s="317"/>
      <c r="B5" s="315" t="s">
        <v>372</v>
      </c>
      <c r="C5" s="315"/>
      <c r="D5" s="315"/>
      <c r="E5" s="315" t="s">
        <v>373</v>
      </c>
      <c r="F5" s="315"/>
      <c r="G5" s="315"/>
    </row>
    <row r="6" spans="1:7" x14ac:dyDescent="0.25">
      <c r="A6" s="250"/>
      <c r="B6" s="2" t="s">
        <v>374</v>
      </c>
      <c r="C6" s="2" t="s">
        <v>375</v>
      </c>
      <c r="D6" s="2" t="s">
        <v>376</v>
      </c>
      <c r="E6" s="2" t="s">
        <v>377</v>
      </c>
      <c r="F6" s="2" t="s">
        <v>378</v>
      </c>
      <c r="G6" s="2" t="s">
        <v>379</v>
      </c>
    </row>
    <row r="7" spans="1:7" x14ac:dyDescent="0.25">
      <c r="A7" s="49" t="str">
        <f>'Data shares'!C2</f>
        <v>360ONE</v>
      </c>
      <c r="B7" s="50">
        <f>VLOOKUP($A7,'Data shares'!$C:$FM,102)</f>
        <v>27.33</v>
      </c>
      <c r="C7" s="50">
        <f>VLOOKUP($A7,'Data shares'!$C:$FM,110)</f>
        <v>26.96</v>
      </c>
      <c r="D7" s="50">
        <f>VLOOKUP($A7,'Data shares'!$C:$FM,114)</f>
        <v>29.12</v>
      </c>
      <c r="E7" s="50">
        <f>VLOOKUP($A7,'Data shares'!$C:$FM,106)</f>
        <v>43.36</v>
      </c>
      <c r="F7" s="50">
        <f>VLOOKUP($A7,'Data shares'!$C:$FM,108)</f>
        <v>-16.03</v>
      </c>
      <c r="G7" s="50">
        <f t="shared" ref="G7:G38" si="0">B7/E7</f>
        <v>0.63030442804428044</v>
      </c>
    </row>
    <row r="8" spans="1:7" x14ac:dyDescent="0.25">
      <c r="A8" s="49" t="str">
        <f>'Data shares'!C3</f>
        <v>ABB</v>
      </c>
      <c r="B8" s="50">
        <f>VLOOKUP($A8,'Data shares'!$C:$FM,102)</f>
        <v>21.12</v>
      </c>
      <c r="C8" s="50">
        <f>VLOOKUP($A8,'Data shares'!$C:$FM,110)</f>
        <v>21.43</v>
      </c>
      <c r="D8" s="50">
        <f>VLOOKUP($A8,'Data shares'!$C:$FM,114)</f>
        <v>20.66</v>
      </c>
      <c r="E8" s="50">
        <f>VLOOKUP($A8,'Data shares'!$C:$FM,106)</f>
        <v>34.409999999999997</v>
      </c>
      <c r="F8" s="50">
        <f>VLOOKUP($A8,'Data shares'!$C:$FM,108)</f>
        <v>-13.29</v>
      </c>
      <c r="G8" s="50">
        <f t="shared" si="0"/>
        <v>0.61377506538796867</v>
      </c>
    </row>
    <row r="9" spans="1:7" x14ac:dyDescent="0.25">
      <c r="A9" s="49" t="str">
        <f>'Data shares'!C4</f>
        <v>ABCAPITAL</v>
      </c>
      <c r="B9" s="50">
        <f>VLOOKUP($A9,'Data shares'!$C:$FM,102)</f>
        <v>26.57</v>
      </c>
      <c r="C9" s="50">
        <f>VLOOKUP($A9,'Data shares'!$C:$FM,110)</f>
        <v>26.94</v>
      </c>
      <c r="D9" s="50">
        <f>VLOOKUP($A9,'Data shares'!$C:$FM,114)</f>
        <v>25.74</v>
      </c>
      <c r="E9" s="50">
        <f>VLOOKUP($A9,'Data shares'!$C:$FM,106)</f>
        <v>38.869999999999997</v>
      </c>
      <c r="F9" s="50">
        <f>VLOOKUP($A9,'Data shares'!$C:$FM,108)</f>
        <v>-12.3</v>
      </c>
      <c r="G9" s="50">
        <f t="shared" si="0"/>
        <v>0.68356058657062002</v>
      </c>
    </row>
    <row r="10" spans="1:7" x14ac:dyDescent="0.25">
      <c r="A10" s="49" t="str">
        <f>'Data shares'!C5</f>
        <v>ADANIENSOL</v>
      </c>
      <c r="B10" s="50">
        <f>VLOOKUP($A10,'Data shares'!$C:$FM,102)</f>
        <v>24.64</v>
      </c>
      <c r="C10" s="50">
        <f>VLOOKUP($A10,'Data shares'!$C:$FM,110)</f>
        <v>24.96</v>
      </c>
      <c r="D10" s="50">
        <f>VLOOKUP($A10,'Data shares'!$C:$FM,114)</f>
        <v>23.73</v>
      </c>
      <c r="E10" s="50">
        <f>VLOOKUP($A10,'Data shares'!$C:$FM,106)</f>
        <v>51.73</v>
      </c>
      <c r="F10" s="50">
        <f>VLOOKUP($A10,'Data shares'!$C:$FM,108)</f>
        <v>-27.09</v>
      </c>
      <c r="G10" s="50">
        <f t="shared" si="0"/>
        <v>0.47631935047361301</v>
      </c>
    </row>
    <row r="11" spans="1:7" x14ac:dyDescent="0.25">
      <c r="A11" s="49" t="str">
        <f>'Data shares'!C6</f>
        <v>ADANIENT</v>
      </c>
      <c r="B11" s="50">
        <f>VLOOKUP($A11,'Data shares'!$C:$FM,102)</f>
        <v>27.53</v>
      </c>
      <c r="C11" s="50">
        <f>VLOOKUP($A11,'Data shares'!$C:$FM,110)</f>
        <v>27.49</v>
      </c>
      <c r="D11" s="50">
        <f>VLOOKUP($A11,'Data shares'!$C:$FM,114)</f>
        <v>27.65</v>
      </c>
      <c r="E11" s="50">
        <f>VLOOKUP($A11,'Data shares'!$C:$FM,106)</f>
        <v>46.57</v>
      </c>
      <c r="F11" s="50">
        <f>VLOOKUP($A11,'Data shares'!$C:$FM,108)</f>
        <v>-19.04</v>
      </c>
      <c r="G11" s="50">
        <f t="shared" si="0"/>
        <v>0.59115310285591582</v>
      </c>
    </row>
    <row r="12" spans="1:7" x14ac:dyDescent="0.25">
      <c r="A12" s="49" t="str">
        <f>'Data shares'!C7</f>
        <v>ADANIGREEN</v>
      </c>
      <c r="B12" s="50">
        <f>VLOOKUP($A12,'Data shares'!$C:$FM,102)</f>
        <v>29.25</v>
      </c>
      <c r="C12" s="50">
        <f>VLOOKUP($A12,'Data shares'!$C:$FM,110)</f>
        <v>29.98</v>
      </c>
      <c r="D12" s="50">
        <f>VLOOKUP($A12,'Data shares'!$C:$FM,114)</f>
        <v>27.64</v>
      </c>
      <c r="E12" s="50">
        <f>VLOOKUP($A12,'Data shares'!$C:$FM,106)</f>
        <v>55.63</v>
      </c>
      <c r="F12" s="50">
        <f>VLOOKUP($A12,'Data shares'!$C:$FM,108)</f>
        <v>-26.38</v>
      </c>
      <c r="G12" s="50">
        <f t="shared" si="0"/>
        <v>0.52579543411828145</v>
      </c>
    </row>
    <row r="13" spans="1:7" x14ac:dyDescent="0.25">
      <c r="A13" s="49" t="str">
        <f>'Data shares'!C8</f>
        <v>ADANIPORTS</v>
      </c>
      <c r="B13" s="50">
        <f>VLOOKUP($A13,'Data shares'!$C:$FM,102)</f>
        <v>20.32</v>
      </c>
      <c r="C13" s="50">
        <f>VLOOKUP($A13,'Data shares'!$C:$FM,110)</f>
        <v>20.32</v>
      </c>
      <c r="D13" s="50">
        <f>VLOOKUP($A13,'Data shares'!$C:$FM,114)</f>
        <v>20.309999999999999</v>
      </c>
      <c r="E13" s="50">
        <f>VLOOKUP($A13,'Data shares'!$C:$FM,106)</f>
        <v>36.020000000000003</v>
      </c>
      <c r="F13" s="50">
        <f>VLOOKUP($A13,'Data shares'!$C:$FM,108)</f>
        <v>-15.7</v>
      </c>
      <c r="G13" s="50">
        <f t="shared" si="0"/>
        <v>0.5641310383120488</v>
      </c>
    </row>
    <row r="14" spans="1:7" x14ac:dyDescent="0.25">
      <c r="A14" s="49" t="str">
        <f>'Data shares'!C9</f>
        <v>ALKEM</v>
      </c>
      <c r="B14" s="50">
        <f>VLOOKUP($A14,'Data shares'!$C:$FM,102)</f>
        <v>18.079999999999998</v>
      </c>
      <c r="C14" s="50">
        <f>VLOOKUP($A14,'Data shares'!$C:$FM,110)</f>
        <v>17.59</v>
      </c>
      <c r="D14" s="50">
        <f>VLOOKUP($A14,'Data shares'!$C:$FM,114)</f>
        <v>18.61</v>
      </c>
      <c r="E14" s="50">
        <f>VLOOKUP($A14,'Data shares'!$C:$FM,106)</f>
        <v>26.08</v>
      </c>
      <c r="F14" s="50">
        <f>VLOOKUP($A14,'Data shares'!$C:$FM,108)</f>
        <v>-8</v>
      </c>
      <c r="G14" s="50">
        <f t="shared" si="0"/>
        <v>0.69325153374233128</v>
      </c>
    </row>
    <row r="15" spans="1:7" x14ac:dyDescent="0.25">
      <c r="A15" s="49" t="str">
        <f>'Data shares'!C10</f>
        <v>AMBER</v>
      </c>
      <c r="B15" s="50">
        <f>VLOOKUP($A15,'Data shares'!$C:$FM,102)</f>
        <v>31.33</v>
      </c>
      <c r="C15" s="50">
        <f>VLOOKUP($A15,'Data shares'!$C:$FM,110)</f>
        <v>30.66</v>
      </c>
      <c r="D15" s="50">
        <f>VLOOKUP($A15,'Data shares'!$C:$FM,114)</f>
        <v>32.29</v>
      </c>
      <c r="E15" s="50">
        <f>VLOOKUP($A15,'Data shares'!$C:$FM,106)</f>
        <v>52.68</v>
      </c>
      <c r="F15" s="50">
        <f>VLOOKUP($A15,'Data shares'!$C:$FM,108)</f>
        <v>-21.35</v>
      </c>
      <c r="G15" s="50">
        <f t="shared" si="0"/>
        <v>0.59472285497342448</v>
      </c>
    </row>
    <row r="16" spans="1:7" x14ac:dyDescent="0.25">
      <c r="A16" s="49" t="str">
        <f>'Data shares'!C11</f>
        <v>AMBUJACEM</v>
      </c>
      <c r="B16" s="50">
        <f>VLOOKUP($A16,'Data shares'!$C:$FM,102)</f>
        <v>19.57</v>
      </c>
      <c r="C16" s="50">
        <f>VLOOKUP($A16,'Data shares'!$C:$FM,110)</f>
        <v>19.93</v>
      </c>
      <c r="D16" s="50">
        <f>VLOOKUP($A16,'Data shares'!$C:$FM,114)</f>
        <v>18.71</v>
      </c>
      <c r="E16" s="50">
        <f>VLOOKUP($A16,'Data shares'!$C:$FM,106)</f>
        <v>31.7</v>
      </c>
      <c r="F16" s="50">
        <f>VLOOKUP($A16,'Data shares'!$C:$FM,108)</f>
        <v>-12.13</v>
      </c>
      <c r="G16" s="50">
        <f t="shared" si="0"/>
        <v>0.61735015772870661</v>
      </c>
    </row>
    <row r="17" spans="1:7" x14ac:dyDescent="0.25">
      <c r="A17" s="49" t="str">
        <f>'Data shares'!C12</f>
        <v>ANGELONE</v>
      </c>
      <c r="B17" s="50">
        <f>VLOOKUP($A17,'Data shares'!$C:$FM,102)</f>
        <v>35.020000000000003</v>
      </c>
      <c r="C17" s="50">
        <f>VLOOKUP($A17,'Data shares'!$C:$FM,110)</f>
        <v>35.549999999999997</v>
      </c>
      <c r="D17" s="50">
        <f>VLOOKUP($A17,'Data shares'!$C:$FM,114)</f>
        <v>33.47</v>
      </c>
      <c r="E17" s="50">
        <f>VLOOKUP($A17,'Data shares'!$C:$FM,106)</f>
        <v>52.76</v>
      </c>
      <c r="F17" s="50">
        <f>VLOOKUP($A17,'Data shares'!$C:$FM,108)</f>
        <v>-17.739999999999998</v>
      </c>
      <c r="G17" s="50">
        <f t="shared" si="0"/>
        <v>0.66376042456406381</v>
      </c>
    </row>
    <row r="18" spans="1:7" x14ac:dyDescent="0.25">
      <c r="A18" s="49" t="str">
        <f>'Data shares'!C13</f>
        <v>APLAPOLLO</v>
      </c>
      <c r="B18" s="50">
        <f>VLOOKUP($A18,'Data shares'!$C:$FM,102)</f>
        <v>18.38</v>
      </c>
      <c r="C18" s="50">
        <f>VLOOKUP($A18,'Data shares'!$C:$FM,110)</f>
        <v>17.920000000000002</v>
      </c>
      <c r="D18" s="50">
        <f>VLOOKUP($A18,'Data shares'!$C:$FM,114)</f>
        <v>19.57</v>
      </c>
      <c r="E18" s="50">
        <f>VLOOKUP($A18,'Data shares'!$C:$FM,106)</f>
        <v>32.26</v>
      </c>
      <c r="F18" s="50">
        <f>VLOOKUP($A18,'Data shares'!$C:$FM,108)</f>
        <v>-13.88</v>
      </c>
      <c r="G18" s="50">
        <f t="shared" si="0"/>
        <v>0.56974581525108492</v>
      </c>
    </row>
    <row r="19" spans="1:7" x14ac:dyDescent="0.25">
      <c r="A19" s="49" t="str">
        <f>'Data shares'!C14</f>
        <v>APOLLOHOSP</v>
      </c>
      <c r="B19" s="50">
        <f>VLOOKUP($A19,'Data shares'!$C:$FM,102)</f>
        <v>17.5</v>
      </c>
      <c r="C19" s="50">
        <f>VLOOKUP($A19,'Data shares'!$C:$FM,110)</f>
        <v>17.8</v>
      </c>
      <c r="D19" s="50">
        <f>VLOOKUP($A19,'Data shares'!$C:$FM,114)</f>
        <v>16.760000000000002</v>
      </c>
      <c r="E19" s="50">
        <f>VLOOKUP($A19,'Data shares'!$C:$FM,106)</f>
        <v>24.9</v>
      </c>
      <c r="F19" s="50">
        <f>VLOOKUP($A19,'Data shares'!$C:$FM,108)</f>
        <v>-7.4</v>
      </c>
      <c r="G19" s="50">
        <f t="shared" si="0"/>
        <v>0.70281124497991976</v>
      </c>
    </row>
    <row r="20" spans="1:7" x14ac:dyDescent="0.25">
      <c r="A20" s="49" t="str">
        <f>'Data shares'!C15</f>
        <v>ASHOKLEY</v>
      </c>
      <c r="B20" s="50">
        <f>VLOOKUP($A20,'Data shares'!$C:$FM,102)</f>
        <v>23.53</v>
      </c>
      <c r="C20" s="50">
        <f>VLOOKUP($A20,'Data shares'!$C:$FM,110)</f>
        <v>22.77</v>
      </c>
      <c r="D20" s="50">
        <f>VLOOKUP($A20,'Data shares'!$C:$FM,114)</f>
        <v>25.09</v>
      </c>
      <c r="E20" s="50">
        <f>VLOOKUP($A20,'Data shares'!$C:$FM,106)</f>
        <v>35.28</v>
      </c>
      <c r="F20" s="50">
        <f>VLOOKUP($A20,'Data shares'!$C:$FM,108)</f>
        <v>-11.75</v>
      </c>
      <c r="G20" s="50">
        <f t="shared" si="0"/>
        <v>0.66695011337868482</v>
      </c>
    </row>
    <row r="21" spans="1:7" x14ac:dyDescent="0.25">
      <c r="A21" s="49" t="str">
        <f>'Data shares'!C16</f>
        <v>ASIANPAINT</v>
      </c>
      <c r="B21" s="50">
        <f>VLOOKUP($A21,'Data shares'!$C:$FM,102)</f>
        <v>18.86</v>
      </c>
      <c r="C21" s="50">
        <f>VLOOKUP($A21,'Data shares'!$C:$FM,110)</f>
        <v>19.43</v>
      </c>
      <c r="D21" s="50">
        <f>VLOOKUP($A21,'Data shares'!$C:$FM,114)</f>
        <v>17.45</v>
      </c>
      <c r="E21" s="50">
        <f>VLOOKUP($A21,'Data shares'!$C:$FM,106)</f>
        <v>25.16</v>
      </c>
      <c r="F21" s="50">
        <f>VLOOKUP($A21,'Data shares'!$C:$FM,108)</f>
        <v>-6.3</v>
      </c>
      <c r="G21" s="50">
        <f t="shared" si="0"/>
        <v>0.74960254372019075</v>
      </c>
    </row>
    <row r="22" spans="1:7" x14ac:dyDescent="0.25">
      <c r="A22" s="49" t="str">
        <f>'Data shares'!C17</f>
        <v>ASTRAL</v>
      </c>
      <c r="B22" s="50">
        <f>VLOOKUP($A22,'Data shares'!$C:$FM,102)</f>
        <v>23.33</v>
      </c>
      <c r="C22" s="50">
        <f>VLOOKUP($A22,'Data shares'!$C:$FM,110)</f>
        <v>24.01</v>
      </c>
      <c r="D22" s="50">
        <f>VLOOKUP($A22,'Data shares'!$C:$FM,114)</f>
        <v>22.35</v>
      </c>
      <c r="E22" s="50">
        <f>VLOOKUP($A22,'Data shares'!$C:$FM,106)</f>
        <v>33.69</v>
      </c>
      <c r="F22" s="50">
        <f>VLOOKUP($A22,'Data shares'!$C:$FM,108)</f>
        <v>-10.36</v>
      </c>
      <c r="G22" s="50">
        <f t="shared" si="0"/>
        <v>0.6924903532205402</v>
      </c>
    </row>
    <row r="23" spans="1:7" x14ac:dyDescent="0.25">
      <c r="A23" s="49" t="str">
        <f>'Data shares'!C18</f>
        <v>AUBANK</v>
      </c>
      <c r="B23" s="50">
        <f>VLOOKUP($A23,'Data shares'!$C:$FM,102)</f>
        <v>21.49</v>
      </c>
      <c r="C23" s="50">
        <f>VLOOKUP($A23,'Data shares'!$C:$FM,110)</f>
        <v>20.94</v>
      </c>
      <c r="D23" s="50">
        <f>VLOOKUP($A23,'Data shares'!$C:$FM,114)</f>
        <v>22.32</v>
      </c>
      <c r="E23" s="50">
        <f>VLOOKUP($A23,'Data shares'!$C:$FM,106)</f>
        <v>35.61</v>
      </c>
      <c r="F23" s="50">
        <f>VLOOKUP($A23,'Data shares'!$C:$FM,108)</f>
        <v>-14.12</v>
      </c>
      <c r="G23" s="50">
        <f t="shared" si="0"/>
        <v>0.60348216793035658</v>
      </c>
    </row>
    <row r="24" spans="1:7" x14ac:dyDescent="0.25">
      <c r="A24" s="49" t="str">
        <f>'Data shares'!C19</f>
        <v>AUROPHARMA</v>
      </c>
      <c r="B24" s="50">
        <f>VLOOKUP($A24,'Data shares'!$C:$FM,102)</f>
        <v>24.91</v>
      </c>
      <c r="C24" s="50">
        <f>VLOOKUP($A24,'Data shares'!$C:$FM,110)</f>
        <v>24.92</v>
      </c>
      <c r="D24" s="50">
        <f>VLOOKUP($A24,'Data shares'!$C:$FM,114)</f>
        <v>24.9</v>
      </c>
      <c r="E24" s="50">
        <f>VLOOKUP($A24,'Data shares'!$C:$FM,106)</f>
        <v>33.1</v>
      </c>
      <c r="F24" s="50">
        <f>VLOOKUP($A24,'Data shares'!$C:$FM,108)</f>
        <v>-8.19</v>
      </c>
      <c r="G24" s="50">
        <f t="shared" si="0"/>
        <v>0.75256797583081569</v>
      </c>
    </row>
    <row r="25" spans="1:7" x14ac:dyDescent="0.25">
      <c r="A25" s="49" t="str">
        <f>'Data shares'!C20</f>
        <v>AXISBANK</v>
      </c>
      <c r="B25" s="50">
        <f>VLOOKUP($A25,'Data shares'!$C:$FM,102)</f>
        <v>17.100000000000001</v>
      </c>
      <c r="C25" s="50">
        <f>VLOOKUP($A25,'Data shares'!$C:$FM,110)</f>
        <v>16.940000000000001</v>
      </c>
      <c r="D25" s="50">
        <f>VLOOKUP($A25,'Data shares'!$C:$FM,114)</f>
        <v>17.38</v>
      </c>
      <c r="E25" s="50">
        <f>VLOOKUP($A25,'Data shares'!$C:$FM,106)</f>
        <v>26.15</v>
      </c>
      <c r="F25" s="50">
        <f>VLOOKUP($A25,'Data shares'!$C:$FM,108)</f>
        <v>-9.0500000000000007</v>
      </c>
      <c r="G25" s="50">
        <f t="shared" si="0"/>
        <v>0.65391969407265782</v>
      </c>
    </row>
    <row r="26" spans="1:7" x14ac:dyDescent="0.25">
      <c r="A26" s="49" t="str">
        <f>'Data shares'!C21</f>
        <v>BAJAJ-AUTO</v>
      </c>
      <c r="B26" s="50">
        <f>VLOOKUP($A26,'Data shares'!$C:$FM,102)</f>
        <v>18.68</v>
      </c>
      <c r="C26" s="50">
        <f>VLOOKUP($A26,'Data shares'!$C:$FM,110)</f>
        <v>19.14</v>
      </c>
      <c r="D26" s="50">
        <f>VLOOKUP($A26,'Data shares'!$C:$FM,114)</f>
        <v>17.82</v>
      </c>
      <c r="E26" s="50">
        <f>VLOOKUP($A26,'Data shares'!$C:$FM,106)</f>
        <v>28.2</v>
      </c>
      <c r="F26" s="50">
        <f>VLOOKUP($A26,'Data shares'!$C:$FM,108)</f>
        <v>-9.52</v>
      </c>
      <c r="G26" s="50">
        <f t="shared" si="0"/>
        <v>0.66241134751773045</v>
      </c>
    </row>
    <row r="27" spans="1:7" x14ac:dyDescent="0.25">
      <c r="A27" s="49" t="str">
        <f>'Data shares'!C22</f>
        <v>BAJAJFINSV</v>
      </c>
      <c r="B27" s="50">
        <f>VLOOKUP($A27,'Data shares'!$C:$FM,102)</f>
        <v>18.07</v>
      </c>
      <c r="C27" s="50">
        <f>VLOOKUP($A27,'Data shares'!$C:$FM,110)</f>
        <v>18.309999999999999</v>
      </c>
      <c r="D27" s="50">
        <f>VLOOKUP($A27,'Data shares'!$C:$FM,114)</f>
        <v>17.57</v>
      </c>
      <c r="E27" s="50">
        <f>VLOOKUP($A27,'Data shares'!$C:$FM,106)</f>
        <v>28.67</v>
      </c>
      <c r="F27" s="50">
        <f>VLOOKUP($A27,'Data shares'!$C:$FM,108)</f>
        <v>-10.6</v>
      </c>
      <c r="G27" s="50">
        <f t="shared" si="0"/>
        <v>0.63027554935472618</v>
      </c>
    </row>
    <row r="28" spans="1:7" x14ac:dyDescent="0.25">
      <c r="A28" s="49" t="str">
        <f>'Data shares'!C23</f>
        <v>BAJFINANCE</v>
      </c>
      <c r="B28" s="50">
        <f>VLOOKUP($A28,'Data shares'!$C:$FM,102)</f>
        <v>21.14</v>
      </c>
      <c r="C28" s="50">
        <f>VLOOKUP($A28,'Data shares'!$C:$FM,110)</f>
        <v>21.82</v>
      </c>
      <c r="D28" s="50">
        <f>VLOOKUP($A28,'Data shares'!$C:$FM,114)</f>
        <v>19.739999999999998</v>
      </c>
      <c r="E28" s="50">
        <f>VLOOKUP($A28,'Data shares'!$C:$FM,106)</f>
        <v>31.52</v>
      </c>
      <c r="F28" s="50">
        <f>VLOOKUP($A28,'Data shares'!$C:$FM,108)</f>
        <v>-10.38</v>
      </c>
      <c r="G28" s="50">
        <f t="shared" si="0"/>
        <v>0.67068527918781728</v>
      </c>
    </row>
    <row r="29" spans="1:7" x14ac:dyDescent="0.25">
      <c r="A29" s="49" t="str">
        <f>'Data shares'!C24</f>
        <v>BANDHANBNK</v>
      </c>
      <c r="B29" s="50">
        <f>VLOOKUP($A29,'Data shares'!$C:$FM,102)</f>
        <v>42.43</v>
      </c>
      <c r="C29" s="50">
        <f>VLOOKUP($A29,'Data shares'!$C:$FM,110)</f>
        <v>42.92</v>
      </c>
      <c r="D29" s="50">
        <f>VLOOKUP($A29,'Data shares'!$C:$FM,114)</f>
        <v>40.53</v>
      </c>
      <c r="E29" s="50">
        <f>VLOOKUP($A29,'Data shares'!$C:$FM,106)</f>
        <v>42.08</v>
      </c>
      <c r="F29" s="50">
        <f>VLOOKUP($A29,'Data shares'!$C:$FM,108)</f>
        <v>0.35</v>
      </c>
      <c r="G29" s="50">
        <f t="shared" si="0"/>
        <v>1.0083174904942966</v>
      </c>
    </row>
    <row r="30" spans="1:7" x14ac:dyDescent="0.25">
      <c r="A30" s="49" t="str">
        <f>'Data shares'!C25</f>
        <v>BANKBARODA</v>
      </c>
      <c r="B30" s="50">
        <f>VLOOKUP($A30,'Data shares'!$C:$FM,102)</f>
        <v>22.35</v>
      </c>
      <c r="C30" s="50">
        <f>VLOOKUP($A30,'Data shares'!$C:$FM,110)</f>
        <v>21.94</v>
      </c>
      <c r="D30" s="50">
        <f>VLOOKUP($A30,'Data shares'!$C:$FM,114)</f>
        <v>23.08</v>
      </c>
      <c r="E30" s="50">
        <f>VLOOKUP($A30,'Data shares'!$C:$FM,106)</f>
        <v>33.950000000000003</v>
      </c>
      <c r="F30" s="50">
        <f>VLOOKUP($A30,'Data shares'!$C:$FM,108)</f>
        <v>-11.6</v>
      </c>
      <c r="G30" s="50">
        <f t="shared" si="0"/>
        <v>0.65832106038291605</v>
      </c>
    </row>
    <row r="31" spans="1:7" x14ac:dyDescent="0.25">
      <c r="A31" s="49" t="str">
        <f>'Data shares'!C26</f>
        <v>BANKINDIA</v>
      </c>
      <c r="B31" s="50">
        <f>VLOOKUP($A31,'Data shares'!$C:$FM,102)</f>
        <v>25.78</v>
      </c>
      <c r="C31" s="50">
        <f>VLOOKUP($A31,'Data shares'!$C:$FM,110)</f>
        <v>23.63</v>
      </c>
      <c r="D31" s="50">
        <f>VLOOKUP($A31,'Data shares'!$C:$FM,114)</f>
        <v>28.72</v>
      </c>
      <c r="E31" s="50">
        <f>VLOOKUP($A31,'Data shares'!$C:$FM,106)</f>
        <v>38.53</v>
      </c>
      <c r="F31" s="50">
        <f>VLOOKUP($A31,'Data shares'!$C:$FM,108)</f>
        <v>-12.75</v>
      </c>
      <c r="G31" s="50">
        <f t="shared" si="0"/>
        <v>0.66908902154165584</v>
      </c>
    </row>
    <row r="32" spans="1:7" x14ac:dyDescent="0.25">
      <c r="A32" s="49" t="str">
        <f>'Data shares'!C27</f>
        <v>BANKNIFTY</v>
      </c>
      <c r="B32" s="50">
        <f>VLOOKUP($A32,'Data shares'!$C:$FM,102)</f>
        <v>10.9</v>
      </c>
      <c r="C32" s="50">
        <f>VLOOKUP($A32,'Data shares'!$C:$FM,110)</f>
        <v>11.08</v>
      </c>
      <c r="D32" s="50">
        <f>VLOOKUP($A32,'Data shares'!$C:$FM,114)</f>
        <v>10.71</v>
      </c>
      <c r="E32" s="50">
        <f>VLOOKUP($A32,'Data shares'!$C:$FM,106)</f>
        <v>15.98</v>
      </c>
      <c r="F32" s="50">
        <f>VLOOKUP($A32,'Data shares'!$C:$FM,108)</f>
        <v>-5.08</v>
      </c>
      <c r="G32" s="50">
        <f t="shared" si="0"/>
        <v>0.68210262828535673</v>
      </c>
    </row>
    <row r="33" spans="1:7" x14ac:dyDescent="0.25">
      <c r="A33" s="49" t="str">
        <f>'Data shares'!C28</f>
        <v>BDL</v>
      </c>
      <c r="B33" s="50">
        <f>VLOOKUP($A33,'Data shares'!$C:$FM,102)</f>
        <v>31.18</v>
      </c>
      <c r="C33" s="50">
        <f>VLOOKUP($A33,'Data shares'!$C:$FM,110)</f>
        <v>31.47</v>
      </c>
      <c r="D33" s="50">
        <f>VLOOKUP($A33,'Data shares'!$C:$FM,114)</f>
        <v>30.59</v>
      </c>
      <c r="E33" s="50">
        <f>VLOOKUP($A33,'Data shares'!$C:$FM,106)</f>
        <v>51.28</v>
      </c>
      <c r="F33" s="50">
        <f>VLOOKUP($A33,'Data shares'!$C:$FM,108)</f>
        <v>-20.100000000000001</v>
      </c>
      <c r="G33" s="50">
        <f t="shared" si="0"/>
        <v>0.60803432137285485</v>
      </c>
    </row>
    <row r="34" spans="1:7" x14ac:dyDescent="0.25">
      <c r="A34" s="49" t="str">
        <f>'Data shares'!C29</f>
        <v>BEL</v>
      </c>
      <c r="B34" s="50">
        <f>VLOOKUP($A34,'Data shares'!$C:$FM,102)</f>
        <v>23.55</v>
      </c>
      <c r="C34" s="50">
        <f>VLOOKUP($A34,'Data shares'!$C:$FM,110)</f>
        <v>24.5</v>
      </c>
      <c r="D34" s="50">
        <f>VLOOKUP($A34,'Data shares'!$C:$FM,114)</f>
        <v>21.61</v>
      </c>
      <c r="E34" s="50">
        <f>VLOOKUP($A34,'Data shares'!$C:$FM,106)</f>
        <v>36.090000000000003</v>
      </c>
      <c r="F34" s="50">
        <f>VLOOKUP($A34,'Data shares'!$C:$FM,108)</f>
        <v>-12.54</v>
      </c>
      <c r="G34" s="50">
        <f t="shared" si="0"/>
        <v>0.65253532834580208</v>
      </c>
    </row>
    <row r="35" spans="1:7" x14ac:dyDescent="0.25">
      <c r="A35" s="49" t="str">
        <f>'Data shares'!C30</f>
        <v>BHARATFORG</v>
      </c>
      <c r="B35" s="50">
        <f>VLOOKUP($A35,'Data shares'!$C:$FM,102)</f>
        <v>23.34</v>
      </c>
      <c r="C35" s="50">
        <f>VLOOKUP($A35,'Data shares'!$C:$FM,110)</f>
        <v>23.04</v>
      </c>
      <c r="D35" s="50">
        <f>VLOOKUP($A35,'Data shares'!$C:$FM,114)</f>
        <v>23.76</v>
      </c>
      <c r="E35" s="50">
        <f>VLOOKUP($A35,'Data shares'!$C:$FM,106)</f>
        <v>37.06</v>
      </c>
      <c r="F35" s="50">
        <f>VLOOKUP($A35,'Data shares'!$C:$FM,108)</f>
        <v>-13.72</v>
      </c>
      <c r="G35" s="50">
        <f t="shared" si="0"/>
        <v>0.62978953049109543</v>
      </c>
    </row>
    <row r="36" spans="1:7" x14ac:dyDescent="0.25">
      <c r="A36" s="49" t="str">
        <f>'Data shares'!C31</f>
        <v>BHARTIARTL</v>
      </c>
      <c r="B36" s="50">
        <f>VLOOKUP($A36,'Data shares'!$C:$FM,102)</f>
        <v>15.97</v>
      </c>
      <c r="C36" s="50">
        <f>VLOOKUP($A36,'Data shares'!$C:$FM,110)</f>
        <v>16.22</v>
      </c>
      <c r="D36" s="50">
        <f>VLOOKUP($A36,'Data shares'!$C:$FM,114)</f>
        <v>15.5</v>
      </c>
      <c r="E36" s="50">
        <f>VLOOKUP($A36,'Data shares'!$C:$FM,106)</f>
        <v>24.55</v>
      </c>
      <c r="F36" s="50">
        <f>VLOOKUP($A36,'Data shares'!$C:$FM,108)</f>
        <v>-8.58</v>
      </c>
      <c r="G36" s="50">
        <f t="shared" si="0"/>
        <v>0.6505091649694501</v>
      </c>
    </row>
    <row r="37" spans="1:7" x14ac:dyDescent="0.25">
      <c r="A37" s="49" t="str">
        <f>'Data shares'!C32</f>
        <v>BHEL</v>
      </c>
      <c r="B37" s="50">
        <f>VLOOKUP($A37,'Data shares'!$C:$FM,102)</f>
        <v>27.84</v>
      </c>
      <c r="C37" s="50">
        <f>VLOOKUP($A37,'Data shares'!$C:$FM,110)</f>
        <v>28.23</v>
      </c>
      <c r="D37" s="50">
        <f>VLOOKUP($A37,'Data shares'!$C:$FM,114)</f>
        <v>26.97</v>
      </c>
      <c r="E37" s="50">
        <f>VLOOKUP($A37,'Data shares'!$C:$FM,106)</f>
        <v>44.25</v>
      </c>
      <c r="F37" s="50">
        <f>VLOOKUP($A37,'Data shares'!$C:$FM,108)</f>
        <v>-16.41</v>
      </c>
      <c r="G37" s="50">
        <f t="shared" si="0"/>
        <v>0.62915254237288132</v>
      </c>
    </row>
    <row r="38" spans="1:7" x14ac:dyDescent="0.25">
      <c r="A38" s="49" t="str">
        <f>'Data shares'!C33</f>
        <v>BIOCON</v>
      </c>
      <c r="B38" s="50">
        <f>VLOOKUP($A38,'Data shares'!$C:$FM,102)</f>
        <v>25.07</v>
      </c>
      <c r="C38" s="50">
        <f>VLOOKUP($A38,'Data shares'!$C:$FM,110)</f>
        <v>24.74</v>
      </c>
      <c r="D38" s="50">
        <f>VLOOKUP($A38,'Data shares'!$C:$FM,114)</f>
        <v>25.81</v>
      </c>
      <c r="E38" s="50">
        <f>VLOOKUP($A38,'Data shares'!$C:$FM,106)</f>
        <v>38.53</v>
      </c>
      <c r="F38" s="50">
        <f>VLOOKUP($A38,'Data shares'!$C:$FM,108)</f>
        <v>-13.46</v>
      </c>
      <c r="G38" s="50">
        <f t="shared" si="0"/>
        <v>0.65066182195691669</v>
      </c>
    </row>
    <row r="39" spans="1:7" x14ac:dyDescent="0.25">
      <c r="A39" s="49" t="str">
        <f>'Data shares'!C34</f>
        <v>BLUESTARCO</v>
      </c>
      <c r="B39" s="50">
        <f>VLOOKUP($A39,'Data shares'!$C:$FM,102)</f>
        <v>21.12</v>
      </c>
      <c r="C39" s="50">
        <f>VLOOKUP($A39,'Data shares'!$C:$FM,110)</f>
        <v>20.81</v>
      </c>
      <c r="D39" s="50">
        <f>VLOOKUP($A39,'Data shares'!$C:$FM,114)</f>
        <v>21.6</v>
      </c>
      <c r="E39" s="50">
        <f>VLOOKUP($A39,'Data shares'!$C:$FM,106)</f>
        <v>39.82</v>
      </c>
      <c r="F39" s="50">
        <f>VLOOKUP($A39,'Data shares'!$C:$FM,108)</f>
        <v>-18.7</v>
      </c>
      <c r="G39" s="50">
        <f t="shared" ref="G39:G70" si="1">B39/E39</f>
        <v>0.53038674033149169</v>
      </c>
    </row>
    <row r="40" spans="1:7" x14ac:dyDescent="0.25">
      <c r="A40" s="49" t="str">
        <f>'Data shares'!C35</f>
        <v>BOSCHLTD</v>
      </c>
      <c r="B40" s="50">
        <f>VLOOKUP($A40,'Data shares'!$C:$FM,102)</f>
        <v>21.58</v>
      </c>
      <c r="C40" s="50">
        <f>VLOOKUP($A40,'Data shares'!$C:$FM,110)</f>
        <v>22.18</v>
      </c>
      <c r="D40" s="50">
        <f>VLOOKUP($A40,'Data shares'!$C:$FM,114)</f>
        <v>18.55</v>
      </c>
      <c r="E40" s="50">
        <f>VLOOKUP($A40,'Data shares'!$C:$FM,106)</f>
        <v>27.53</v>
      </c>
      <c r="F40" s="50">
        <f>VLOOKUP($A40,'Data shares'!$C:$FM,108)</f>
        <v>-5.95</v>
      </c>
      <c r="G40" s="50">
        <f t="shared" si="1"/>
        <v>0.78387213948419898</v>
      </c>
    </row>
    <row r="41" spans="1:7" x14ac:dyDescent="0.25">
      <c r="A41" s="49" t="str">
        <f>'Data shares'!C36</f>
        <v>BPCL</v>
      </c>
      <c r="B41" s="50">
        <f>VLOOKUP($A41,'Data shares'!$C:$FM,102)</f>
        <v>23.14</v>
      </c>
      <c r="C41" s="50">
        <f>VLOOKUP($A41,'Data shares'!$C:$FM,110)</f>
        <v>23.07</v>
      </c>
      <c r="D41" s="50">
        <f>VLOOKUP($A41,'Data shares'!$C:$FM,114)</f>
        <v>23.3</v>
      </c>
      <c r="E41" s="50">
        <f>VLOOKUP($A41,'Data shares'!$C:$FM,106)</f>
        <v>32.479999999999997</v>
      </c>
      <c r="F41" s="50">
        <f>VLOOKUP($A41,'Data shares'!$C:$FM,108)</f>
        <v>-9.34</v>
      </c>
      <c r="G41" s="50">
        <f t="shared" si="1"/>
        <v>0.71243842364532028</v>
      </c>
    </row>
    <row r="42" spans="1:7" x14ac:dyDescent="0.25">
      <c r="A42" s="49" t="str">
        <f>'Data shares'!C37</f>
        <v>BRITANNIA</v>
      </c>
      <c r="B42" s="50">
        <f>VLOOKUP($A42,'Data shares'!$C:$FM,102)</f>
        <v>17.760000000000002</v>
      </c>
      <c r="C42" s="50">
        <f>VLOOKUP($A42,'Data shares'!$C:$FM,110)</f>
        <v>17.899999999999999</v>
      </c>
      <c r="D42" s="50">
        <f>VLOOKUP($A42,'Data shares'!$C:$FM,114)</f>
        <v>17.399999999999999</v>
      </c>
      <c r="E42" s="50">
        <f>VLOOKUP($A42,'Data shares'!$C:$FM,106)</f>
        <v>24.14</v>
      </c>
      <c r="F42" s="50">
        <f>VLOOKUP($A42,'Data shares'!$C:$FM,108)</f>
        <v>-6.38</v>
      </c>
      <c r="G42" s="50">
        <f t="shared" si="1"/>
        <v>0.73570836785418392</v>
      </c>
    </row>
    <row r="43" spans="1:7" x14ac:dyDescent="0.25">
      <c r="A43" s="49" t="str">
        <f>'Data shares'!C38</f>
        <v>BSE</v>
      </c>
      <c r="B43" s="50">
        <f>VLOOKUP($A43,'Data shares'!$C:$FM,102)</f>
        <v>35.46</v>
      </c>
      <c r="C43" s="50">
        <f>VLOOKUP($A43,'Data shares'!$C:$FM,110)</f>
        <v>35.17</v>
      </c>
      <c r="D43" s="50">
        <f>VLOOKUP($A43,'Data shares'!$C:$FM,114)</f>
        <v>36.06</v>
      </c>
      <c r="E43" s="50">
        <f>VLOOKUP($A43,'Data shares'!$C:$FM,106)</f>
        <v>60.53</v>
      </c>
      <c r="F43" s="50">
        <f>VLOOKUP($A43,'Data shares'!$C:$FM,108)</f>
        <v>-25.07</v>
      </c>
      <c r="G43" s="50">
        <f t="shared" si="1"/>
        <v>0.58582521063935244</v>
      </c>
    </row>
    <row r="44" spans="1:7" x14ac:dyDescent="0.25">
      <c r="A44" s="49" t="str">
        <f>'Data shares'!C39</f>
        <v>CAMS</v>
      </c>
      <c r="B44" s="50">
        <f>VLOOKUP($A44,'Data shares'!$C:$FM,102)</f>
        <v>26.28</v>
      </c>
      <c r="C44" s="50">
        <f>VLOOKUP($A44,'Data shares'!$C:$FM,110)</f>
        <v>26.22</v>
      </c>
      <c r="D44" s="50">
        <f>VLOOKUP($A44,'Data shares'!$C:$FM,114)</f>
        <v>26.46</v>
      </c>
      <c r="E44" s="50">
        <f>VLOOKUP($A44,'Data shares'!$C:$FM,106)</f>
        <v>40.64</v>
      </c>
      <c r="F44" s="50">
        <f>VLOOKUP($A44,'Data shares'!$C:$FM,108)</f>
        <v>-14.36</v>
      </c>
      <c r="G44" s="50">
        <f t="shared" si="1"/>
        <v>0.64665354330708669</v>
      </c>
    </row>
    <row r="45" spans="1:7" x14ac:dyDescent="0.25">
      <c r="A45" s="49" t="str">
        <f>'Data shares'!C40</f>
        <v>CANBK</v>
      </c>
      <c r="B45" s="50">
        <f>VLOOKUP($A45,'Data shares'!$C:$FM,102)</f>
        <v>23.93</v>
      </c>
      <c r="C45" s="50">
        <f>VLOOKUP($A45,'Data shares'!$C:$FM,110)</f>
        <v>23.73</v>
      </c>
      <c r="D45" s="50">
        <f>VLOOKUP($A45,'Data shares'!$C:$FM,114)</f>
        <v>24.29</v>
      </c>
      <c r="E45" s="50">
        <f>VLOOKUP($A45,'Data shares'!$C:$FM,106)</f>
        <v>36.049999999999997</v>
      </c>
      <c r="F45" s="50">
        <f>VLOOKUP($A45,'Data shares'!$C:$FM,108)</f>
        <v>-12.12</v>
      </c>
      <c r="G45" s="50">
        <f t="shared" si="1"/>
        <v>0.66380027739251046</v>
      </c>
    </row>
    <row r="46" spans="1:7" x14ac:dyDescent="0.25">
      <c r="A46" s="49" t="str">
        <f>'Data shares'!C41</f>
        <v>CDSL</v>
      </c>
      <c r="B46" s="50">
        <f>VLOOKUP($A46,'Data shares'!$C:$FM,102)</f>
        <v>27.66</v>
      </c>
      <c r="C46" s="50">
        <f>VLOOKUP($A46,'Data shares'!$C:$FM,110)</f>
        <v>27.91</v>
      </c>
      <c r="D46" s="50">
        <f>VLOOKUP($A46,'Data shares'!$C:$FM,114)</f>
        <v>26.69</v>
      </c>
      <c r="E46" s="50">
        <f>VLOOKUP($A46,'Data shares'!$C:$FM,106)</f>
        <v>44.95</v>
      </c>
      <c r="F46" s="50">
        <f>VLOOKUP($A46,'Data shares'!$C:$FM,108)</f>
        <v>-17.29</v>
      </c>
      <c r="G46" s="50">
        <f t="shared" si="1"/>
        <v>0.61535038932146824</v>
      </c>
    </row>
    <row r="47" spans="1:7" x14ac:dyDescent="0.25">
      <c r="A47" s="49" t="str">
        <f>'Data shares'!C42</f>
        <v>CGPOWER</v>
      </c>
      <c r="B47" s="50">
        <f>VLOOKUP($A47,'Data shares'!$C:$FM,102)</f>
        <v>26.49</v>
      </c>
      <c r="C47" s="50">
        <f>VLOOKUP($A47,'Data shares'!$C:$FM,110)</f>
        <v>26.68</v>
      </c>
      <c r="D47" s="50">
        <f>VLOOKUP($A47,'Data shares'!$C:$FM,114)</f>
        <v>26.02</v>
      </c>
      <c r="E47" s="50">
        <f>VLOOKUP($A47,'Data shares'!$C:$FM,106)</f>
        <v>39.19</v>
      </c>
      <c r="F47" s="50">
        <f>VLOOKUP($A47,'Data shares'!$C:$FM,108)</f>
        <v>-12.7</v>
      </c>
      <c r="G47" s="50">
        <f t="shared" si="1"/>
        <v>0.67593773921918854</v>
      </c>
    </row>
    <row r="48" spans="1:7" x14ac:dyDescent="0.25">
      <c r="A48" s="49" t="str">
        <f>'Data shares'!C43</f>
        <v>CHOLAFIN</v>
      </c>
      <c r="B48" s="50">
        <f>VLOOKUP($A48,'Data shares'!$C:$FM,102)</f>
        <v>25.48</v>
      </c>
      <c r="C48" s="50">
        <f>VLOOKUP($A48,'Data shares'!$C:$FM,110)</f>
        <v>24.59</v>
      </c>
      <c r="D48" s="50">
        <f>VLOOKUP($A48,'Data shares'!$C:$FM,114)</f>
        <v>26.46</v>
      </c>
      <c r="E48" s="50">
        <f>VLOOKUP($A48,'Data shares'!$C:$FM,106)</f>
        <v>36.89</v>
      </c>
      <c r="F48" s="50">
        <f>VLOOKUP($A48,'Data shares'!$C:$FM,108)</f>
        <v>-11.41</v>
      </c>
      <c r="G48" s="50">
        <f t="shared" si="1"/>
        <v>0.69070208728652749</v>
      </c>
    </row>
    <row r="49" spans="1:7" x14ac:dyDescent="0.25">
      <c r="A49" s="49" t="str">
        <f>'Data shares'!C44</f>
        <v>CIPLA</v>
      </c>
      <c r="B49" s="50">
        <f>VLOOKUP($A49,'Data shares'!$C:$FM,102)</f>
        <v>15.04</v>
      </c>
      <c r="C49" s="50">
        <f>VLOOKUP($A49,'Data shares'!$C:$FM,110)</f>
        <v>15.08</v>
      </c>
      <c r="D49" s="50">
        <f>VLOOKUP($A49,'Data shares'!$C:$FM,114)</f>
        <v>14.94</v>
      </c>
      <c r="E49" s="50">
        <f>VLOOKUP($A49,'Data shares'!$C:$FM,106)</f>
        <v>25.62</v>
      </c>
      <c r="F49" s="50">
        <f>VLOOKUP($A49,'Data shares'!$C:$FM,108)</f>
        <v>-10.58</v>
      </c>
      <c r="G49" s="50">
        <f t="shared" si="1"/>
        <v>0.58704137392661981</v>
      </c>
    </row>
    <row r="50" spans="1:7" x14ac:dyDescent="0.25">
      <c r="A50" s="49" t="str">
        <f>'Data shares'!C45</f>
        <v>COALINDIA</v>
      </c>
      <c r="B50" s="50">
        <f>VLOOKUP($A50,'Data shares'!$C:$FM,102)</f>
        <v>14.08</v>
      </c>
      <c r="C50" s="50">
        <f>VLOOKUP($A50,'Data shares'!$C:$FM,110)</f>
        <v>13.1</v>
      </c>
      <c r="D50" s="50">
        <f>VLOOKUP($A50,'Data shares'!$C:$FM,114)</f>
        <v>15.38</v>
      </c>
      <c r="E50" s="50">
        <f>VLOOKUP($A50,'Data shares'!$C:$FM,106)</f>
        <v>26.78</v>
      </c>
      <c r="F50" s="50">
        <f>VLOOKUP($A50,'Data shares'!$C:$FM,108)</f>
        <v>-12.7</v>
      </c>
      <c r="G50" s="50">
        <f t="shared" si="1"/>
        <v>0.52576549663928307</v>
      </c>
    </row>
    <row r="51" spans="1:7" x14ac:dyDescent="0.25">
      <c r="A51" s="49" t="str">
        <f>'Data shares'!C46</f>
        <v>COFORGE</v>
      </c>
      <c r="B51" s="50">
        <f>VLOOKUP($A51,'Data shares'!$C:$FM,102)</f>
        <v>26.48</v>
      </c>
      <c r="C51" s="50">
        <f>VLOOKUP($A51,'Data shares'!$C:$FM,110)</f>
        <v>26.54</v>
      </c>
      <c r="D51" s="50">
        <f>VLOOKUP($A51,'Data shares'!$C:$FM,114)</f>
        <v>26.28</v>
      </c>
      <c r="E51" s="50">
        <f>VLOOKUP($A51,'Data shares'!$C:$FM,106)</f>
        <v>41.02</v>
      </c>
      <c r="F51" s="50">
        <f>VLOOKUP($A51,'Data shares'!$C:$FM,108)</f>
        <v>-14.54</v>
      </c>
      <c r="G51" s="50">
        <f t="shared" si="1"/>
        <v>0.64553876157971712</v>
      </c>
    </row>
    <row r="52" spans="1:7" x14ac:dyDescent="0.25">
      <c r="A52" s="49" t="str">
        <f>'Data shares'!C47</f>
        <v>COLPAL</v>
      </c>
      <c r="B52" s="50">
        <f>VLOOKUP($A52,'Data shares'!$C:$FM,102)</f>
        <v>20.5</v>
      </c>
      <c r="C52" s="50">
        <f>VLOOKUP($A52,'Data shares'!$C:$FM,110)</f>
        <v>20.54</v>
      </c>
      <c r="D52" s="50">
        <f>VLOOKUP($A52,'Data shares'!$C:$FM,114)</f>
        <v>20.43</v>
      </c>
      <c r="E52" s="50">
        <f>VLOOKUP($A52,'Data shares'!$C:$FM,106)</f>
        <v>27.07</v>
      </c>
      <c r="F52" s="50">
        <f>VLOOKUP($A52,'Data shares'!$C:$FM,108)</f>
        <v>-6.57</v>
      </c>
      <c r="G52" s="50">
        <f t="shared" si="1"/>
        <v>0.75729589951976362</v>
      </c>
    </row>
    <row r="53" spans="1:7" x14ac:dyDescent="0.25">
      <c r="A53" s="49" t="str">
        <f>'Data shares'!C48</f>
        <v>CONCOR</v>
      </c>
      <c r="B53" s="50">
        <f>VLOOKUP($A53,'Data shares'!$C:$FM,102)</f>
        <v>20.36</v>
      </c>
      <c r="C53" s="50">
        <f>VLOOKUP($A53,'Data shares'!$C:$FM,110)</f>
        <v>20.65</v>
      </c>
      <c r="D53" s="50">
        <f>VLOOKUP($A53,'Data shares'!$C:$FM,114)</f>
        <v>19.43</v>
      </c>
      <c r="E53" s="50">
        <f>VLOOKUP($A53,'Data shares'!$C:$FM,106)</f>
        <v>34</v>
      </c>
      <c r="F53" s="50">
        <f>VLOOKUP($A53,'Data shares'!$C:$FM,108)</f>
        <v>-13.64</v>
      </c>
      <c r="G53" s="50">
        <f t="shared" si="1"/>
        <v>0.59882352941176464</v>
      </c>
    </row>
    <row r="54" spans="1:7" x14ac:dyDescent="0.25">
      <c r="A54" s="49" t="str">
        <f>'Data shares'!C49</f>
        <v>CROMPTON</v>
      </c>
      <c r="B54" s="50">
        <f>VLOOKUP($A54,'Data shares'!$C:$FM,102)</f>
        <v>27.49</v>
      </c>
      <c r="C54" s="50">
        <f>VLOOKUP($A54,'Data shares'!$C:$FM,110)</f>
        <v>28.33</v>
      </c>
      <c r="D54" s="50">
        <f>VLOOKUP($A54,'Data shares'!$C:$FM,114)</f>
        <v>25.09</v>
      </c>
      <c r="E54" s="50">
        <f>VLOOKUP($A54,'Data shares'!$C:$FM,106)</f>
        <v>30.93</v>
      </c>
      <c r="F54" s="50">
        <f>VLOOKUP($A54,'Data shares'!$C:$FM,108)</f>
        <v>-3.44</v>
      </c>
      <c r="G54" s="50">
        <f t="shared" si="1"/>
        <v>0.8887811186550274</v>
      </c>
    </row>
    <row r="55" spans="1:7" x14ac:dyDescent="0.25">
      <c r="A55" s="49" t="str">
        <f>'Data shares'!C50</f>
        <v>CUMMINSIND</v>
      </c>
      <c r="B55" s="50">
        <f>VLOOKUP($A55,'Data shares'!$C:$FM,102)</f>
        <v>22.88</v>
      </c>
      <c r="C55" s="50">
        <f>VLOOKUP($A55,'Data shares'!$C:$FM,110)</f>
        <v>22.99</v>
      </c>
      <c r="D55" s="50">
        <f>VLOOKUP($A55,'Data shares'!$C:$FM,114)</f>
        <v>22.73</v>
      </c>
      <c r="E55" s="50">
        <f>VLOOKUP($A55,'Data shares'!$C:$FM,106)</f>
        <v>33.61</v>
      </c>
      <c r="F55" s="50">
        <f>VLOOKUP($A55,'Data shares'!$C:$FM,108)</f>
        <v>-10.73</v>
      </c>
      <c r="G55" s="50">
        <f t="shared" si="1"/>
        <v>0.68074977685212734</v>
      </c>
    </row>
    <row r="56" spans="1:7" x14ac:dyDescent="0.25">
      <c r="A56" s="49" t="str">
        <f>'Data shares'!C51</f>
        <v>CYIENT</v>
      </c>
      <c r="B56" s="50">
        <f>VLOOKUP($A56,'Data shares'!$C:$FM,102)</f>
        <v>26.9</v>
      </c>
      <c r="C56" s="50">
        <f>VLOOKUP($A56,'Data shares'!$C:$FM,110)</f>
        <v>26.87</v>
      </c>
      <c r="D56" s="50">
        <f>VLOOKUP($A56,'Data shares'!$C:$FM,114)</f>
        <v>27.03</v>
      </c>
      <c r="E56" s="50">
        <f>VLOOKUP($A56,'Data shares'!$C:$FM,106)</f>
        <v>41.74</v>
      </c>
      <c r="F56" s="50">
        <f>VLOOKUP($A56,'Data shares'!$C:$FM,108)</f>
        <v>-14.84</v>
      </c>
      <c r="G56" s="50">
        <f t="shared" si="1"/>
        <v>0.64446574029707704</v>
      </c>
    </row>
    <row r="57" spans="1:7" x14ac:dyDescent="0.25">
      <c r="A57" s="49" t="str">
        <f>'Data shares'!C52</f>
        <v>DABUR</v>
      </c>
      <c r="B57" s="50">
        <f>VLOOKUP($A57,'Data shares'!$C:$FM,102)</f>
        <v>19.579999999999998</v>
      </c>
      <c r="C57" s="50">
        <f>VLOOKUP($A57,'Data shares'!$C:$FM,110)</f>
        <v>19.78</v>
      </c>
      <c r="D57" s="50">
        <f>VLOOKUP($A57,'Data shares'!$C:$FM,114)</f>
        <v>19.04</v>
      </c>
      <c r="E57" s="50">
        <f>VLOOKUP($A57,'Data shares'!$C:$FM,106)</f>
        <v>24.58</v>
      </c>
      <c r="F57" s="50">
        <f>VLOOKUP($A57,'Data shares'!$C:$FM,108)</f>
        <v>-5</v>
      </c>
      <c r="G57" s="50">
        <f t="shared" si="1"/>
        <v>0.7965825874694874</v>
      </c>
    </row>
    <row r="58" spans="1:7" x14ac:dyDescent="0.25">
      <c r="A58" s="49" t="str">
        <f>'Data shares'!C53</f>
        <v>DALBHARAT</v>
      </c>
      <c r="B58" s="50">
        <f>VLOOKUP($A58,'Data shares'!$C:$FM,102)</f>
        <v>22.49</v>
      </c>
      <c r="C58" s="50">
        <f>VLOOKUP($A58,'Data shares'!$C:$FM,110)</f>
        <v>23.28</v>
      </c>
      <c r="D58" s="50">
        <f>VLOOKUP($A58,'Data shares'!$C:$FM,114)</f>
        <v>21.54</v>
      </c>
      <c r="E58" s="50">
        <f>VLOOKUP($A58,'Data shares'!$C:$FM,106)</f>
        <v>29.19</v>
      </c>
      <c r="F58" s="50">
        <f>VLOOKUP($A58,'Data shares'!$C:$FM,108)</f>
        <v>-6.7</v>
      </c>
      <c r="G58" s="50">
        <f t="shared" si="1"/>
        <v>0.77046933881466251</v>
      </c>
    </row>
    <row r="59" spans="1:7" x14ac:dyDescent="0.25">
      <c r="A59" s="49" t="str">
        <f>'Data shares'!C54</f>
        <v>DELHIVERY</v>
      </c>
      <c r="B59" s="50">
        <f>VLOOKUP($A59,'Data shares'!$C:$FM,102)</f>
        <v>27.08</v>
      </c>
      <c r="C59" s="50">
        <f>VLOOKUP($A59,'Data shares'!$C:$FM,110)</f>
        <v>27.16</v>
      </c>
      <c r="D59" s="50">
        <f>VLOOKUP($A59,'Data shares'!$C:$FM,114)</f>
        <v>26.98</v>
      </c>
      <c r="E59" s="50">
        <f>VLOOKUP($A59,'Data shares'!$C:$FM,106)</f>
        <v>40.92</v>
      </c>
      <c r="F59" s="50">
        <f>VLOOKUP($A59,'Data shares'!$C:$FM,108)</f>
        <v>-13.84</v>
      </c>
      <c r="G59" s="50">
        <f t="shared" si="1"/>
        <v>0.66177908113391981</v>
      </c>
    </row>
    <row r="60" spans="1:7" x14ac:dyDescent="0.25">
      <c r="A60" s="49" t="str">
        <f>'Data shares'!C55</f>
        <v>DIVISLAB</v>
      </c>
      <c r="B60" s="50">
        <f>VLOOKUP($A60,'Data shares'!$C:$FM,102)</f>
        <v>19.53</v>
      </c>
      <c r="C60" s="50">
        <f>VLOOKUP($A60,'Data shares'!$C:$FM,110)</f>
        <v>19.579999999999998</v>
      </c>
      <c r="D60" s="50">
        <f>VLOOKUP($A60,'Data shares'!$C:$FM,114)</f>
        <v>19.37</v>
      </c>
      <c r="E60" s="50">
        <f>VLOOKUP($A60,'Data shares'!$C:$FM,106)</f>
        <v>30.37</v>
      </c>
      <c r="F60" s="50">
        <f>VLOOKUP($A60,'Data shares'!$C:$FM,108)</f>
        <v>-10.84</v>
      </c>
      <c r="G60" s="50">
        <f t="shared" si="1"/>
        <v>0.64306881791241355</v>
      </c>
    </row>
    <row r="61" spans="1:7" x14ac:dyDescent="0.25">
      <c r="A61" s="49" t="str">
        <f>'Data shares'!C56</f>
        <v>DIXON</v>
      </c>
      <c r="B61" s="50">
        <f>VLOOKUP($A61,'Data shares'!$C:$FM,102)</f>
        <v>35.04</v>
      </c>
      <c r="C61" s="50">
        <f>VLOOKUP($A61,'Data shares'!$C:$FM,110)</f>
        <v>33.840000000000003</v>
      </c>
      <c r="D61" s="50">
        <f>VLOOKUP($A61,'Data shares'!$C:$FM,114)</f>
        <v>36.56</v>
      </c>
      <c r="E61" s="50">
        <f>VLOOKUP($A61,'Data shares'!$C:$FM,106)</f>
        <v>44.86</v>
      </c>
      <c r="F61" s="50">
        <f>VLOOKUP($A61,'Data shares'!$C:$FM,108)</f>
        <v>-9.82</v>
      </c>
      <c r="G61" s="50">
        <f t="shared" si="1"/>
        <v>0.78109674543022733</v>
      </c>
    </row>
    <row r="62" spans="1:7" x14ac:dyDescent="0.25">
      <c r="A62" s="49" t="str">
        <f>'Data shares'!C57</f>
        <v>DLF</v>
      </c>
      <c r="B62" s="50">
        <f>VLOOKUP($A62,'Data shares'!$C:$FM,102)</f>
        <v>24.56</v>
      </c>
      <c r="C62" s="50">
        <f>VLOOKUP($A62,'Data shares'!$C:$FM,110)</f>
        <v>24.56</v>
      </c>
      <c r="D62" s="50">
        <f>VLOOKUP($A62,'Data shares'!$C:$FM,114)</f>
        <v>24.55</v>
      </c>
      <c r="E62" s="50">
        <f>VLOOKUP($A62,'Data shares'!$C:$FM,106)</f>
        <v>34.97</v>
      </c>
      <c r="F62" s="50">
        <f>VLOOKUP($A62,'Data shares'!$C:$FM,108)</f>
        <v>-10.41</v>
      </c>
      <c r="G62" s="50">
        <f t="shared" si="1"/>
        <v>0.70231627108950523</v>
      </c>
    </row>
    <row r="63" spans="1:7" x14ac:dyDescent="0.25">
      <c r="A63" s="49" t="str">
        <f>'Data shares'!C58</f>
        <v>DMART</v>
      </c>
      <c r="B63" s="50">
        <f>VLOOKUP($A63,'Data shares'!$C:$FM,102)</f>
        <v>22.85</v>
      </c>
      <c r="C63" s="50">
        <f>VLOOKUP($A63,'Data shares'!$C:$FM,110)</f>
        <v>23.62</v>
      </c>
      <c r="D63" s="50">
        <f>VLOOKUP($A63,'Data shares'!$C:$FM,114)</f>
        <v>20.93</v>
      </c>
      <c r="E63" s="50">
        <f>VLOOKUP($A63,'Data shares'!$C:$FM,106)</f>
        <v>30.75</v>
      </c>
      <c r="F63" s="50">
        <f>VLOOKUP($A63,'Data shares'!$C:$FM,108)</f>
        <v>-7.9</v>
      </c>
      <c r="G63" s="50">
        <f t="shared" si="1"/>
        <v>0.74308943089430901</v>
      </c>
    </row>
    <row r="64" spans="1:7" x14ac:dyDescent="0.25">
      <c r="A64" s="49" t="str">
        <f>'Data shares'!C59</f>
        <v>DRREDDY</v>
      </c>
      <c r="B64" s="50">
        <f>VLOOKUP($A64,'Data shares'!$C:$FM,102)</f>
        <v>14.64</v>
      </c>
      <c r="C64" s="50">
        <f>VLOOKUP($A64,'Data shares'!$C:$FM,110)</f>
        <v>14</v>
      </c>
      <c r="D64" s="50">
        <f>VLOOKUP($A64,'Data shares'!$C:$FM,114)</f>
        <v>15.84</v>
      </c>
      <c r="E64" s="50">
        <f>VLOOKUP($A64,'Data shares'!$C:$FM,106)</f>
        <v>23.98</v>
      </c>
      <c r="F64" s="50">
        <f>VLOOKUP($A64,'Data shares'!$C:$FM,108)</f>
        <v>-9.34</v>
      </c>
      <c r="G64" s="50">
        <f t="shared" si="1"/>
        <v>0.61050875729774812</v>
      </c>
    </row>
    <row r="65" spans="1:7" x14ac:dyDescent="0.25">
      <c r="A65" s="49" t="str">
        <f>'Data shares'!C60</f>
        <v>EICHERMOT</v>
      </c>
      <c r="B65" s="50">
        <f>VLOOKUP($A65,'Data shares'!$C:$FM,102)</f>
        <v>19.760000000000002</v>
      </c>
      <c r="C65" s="50">
        <f>VLOOKUP($A65,'Data shares'!$C:$FM,110)</f>
        <v>19.79</v>
      </c>
      <c r="D65" s="50">
        <f>VLOOKUP($A65,'Data shares'!$C:$FM,114)</f>
        <v>19.72</v>
      </c>
      <c r="E65" s="50">
        <f>VLOOKUP($A65,'Data shares'!$C:$FM,106)</f>
        <v>27.08</v>
      </c>
      <c r="F65" s="50">
        <f>VLOOKUP($A65,'Data shares'!$C:$FM,108)</f>
        <v>-7.32</v>
      </c>
      <c r="G65" s="50">
        <f t="shared" si="1"/>
        <v>0.7296898079763664</v>
      </c>
    </row>
    <row r="66" spans="1:7" x14ac:dyDescent="0.25">
      <c r="A66" s="49" t="str">
        <f>'Data shares'!C61</f>
        <v>ETERNAL</v>
      </c>
      <c r="B66" s="50">
        <f>VLOOKUP($A66,'Data shares'!$C:$FM,102)</f>
        <v>28.12</v>
      </c>
      <c r="C66" s="50">
        <f>VLOOKUP($A66,'Data shares'!$C:$FM,110)</f>
        <v>28.38</v>
      </c>
      <c r="D66" s="50">
        <f>VLOOKUP($A66,'Data shares'!$C:$FM,114)</f>
        <v>27.67</v>
      </c>
      <c r="E66" s="50">
        <f>VLOOKUP($A66,'Data shares'!$C:$FM,106)</f>
        <v>43.83</v>
      </c>
      <c r="F66" s="50">
        <f>VLOOKUP($A66,'Data shares'!$C:$FM,108)</f>
        <v>-15.71</v>
      </c>
      <c r="G66" s="50">
        <f t="shared" si="1"/>
        <v>0.64156970111795575</v>
      </c>
    </row>
    <row r="67" spans="1:7" x14ac:dyDescent="0.25">
      <c r="A67" s="49" t="str">
        <f>'Data shares'!C62</f>
        <v>EXIDEIND</v>
      </c>
      <c r="B67" s="50">
        <f>VLOOKUP($A67,'Data shares'!$C:$FM,102)</f>
        <v>22.82</v>
      </c>
      <c r="C67" s="50">
        <f>VLOOKUP($A67,'Data shares'!$C:$FM,110)</f>
        <v>23.52</v>
      </c>
      <c r="D67" s="50">
        <f>VLOOKUP($A67,'Data shares'!$C:$FM,114)</f>
        <v>21.32</v>
      </c>
      <c r="E67" s="50">
        <f>VLOOKUP($A67,'Data shares'!$C:$FM,106)</f>
        <v>33.44</v>
      </c>
      <c r="F67" s="50">
        <f>VLOOKUP($A67,'Data shares'!$C:$FM,108)</f>
        <v>-10.62</v>
      </c>
      <c r="G67" s="50">
        <f t="shared" si="1"/>
        <v>0.68241626794258381</v>
      </c>
    </row>
    <row r="68" spans="1:7" x14ac:dyDescent="0.25">
      <c r="A68" s="49" t="str">
        <f>'Data shares'!C63</f>
        <v>FEDERALBNK</v>
      </c>
      <c r="B68" s="50">
        <f>VLOOKUP($A68,'Data shares'!$C:$FM,102)</f>
        <v>18.75</v>
      </c>
      <c r="C68" s="50">
        <f>VLOOKUP($A68,'Data shares'!$C:$FM,110)</f>
        <v>18.2</v>
      </c>
      <c r="D68" s="50">
        <f>VLOOKUP($A68,'Data shares'!$C:$FM,114)</f>
        <v>19.489999999999998</v>
      </c>
      <c r="E68" s="50">
        <f>VLOOKUP($A68,'Data shares'!$C:$FM,106)</f>
        <v>28.31</v>
      </c>
      <c r="F68" s="50">
        <f>VLOOKUP($A68,'Data shares'!$C:$FM,108)</f>
        <v>-9.56</v>
      </c>
      <c r="G68" s="50">
        <f t="shared" si="1"/>
        <v>0.66231013776050873</v>
      </c>
    </row>
    <row r="69" spans="1:7" x14ac:dyDescent="0.25">
      <c r="A69" s="49" t="str">
        <f>'Data shares'!C64</f>
        <v>FINNIFTY</v>
      </c>
      <c r="B69" s="50">
        <f>VLOOKUP($A69,'Data shares'!$C:$FM,102)</f>
        <v>10.45</v>
      </c>
      <c r="C69" s="50">
        <f>VLOOKUP($A69,'Data shares'!$C:$FM,110)</f>
        <v>10.45</v>
      </c>
      <c r="D69" s="50">
        <f>VLOOKUP($A69,'Data shares'!$C:$FM,114)</f>
        <v>10.46</v>
      </c>
      <c r="E69" s="50">
        <f>VLOOKUP($A69,'Data shares'!$C:$FM,106)</f>
        <v>16.59</v>
      </c>
      <c r="F69" s="50">
        <f>VLOOKUP($A69,'Data shares'!$C:$FM,108)</f>
        <v>-6.14</v>
      </c>
      <c r="G69" s="50">
        <f t="shared" si="1"/>
        <v>0.62989752863170578</v>
      </c>
    </row>
    <row r="70" spans="1:7" x14ac:dyDescent="0.25">
      <c r="A70" s="49" t="str">
        <f>'Data shares'!C65</f>
        <v>FORTIS</v>
      </c>
      <c r="B70" s="50">
        <f>VLOOKUP($A70,'Data shares'!$C:$FM,102)</f>
        <v>21.65</v>
      </c>
      <c r="C70" s="50">
        <f>VLOOKUP($A70,'Data shares'!$C:$FM,110)</f>
        <v>22.13</v>
      </c>
      <c r="D70" s="50">
        <f>VLOOKUP($A70,'Data shares'!$C:$FM,114)</f>
        <v>20.8</v>
      </c>
      <c r="E70" s="50">
        <f>VLOOKUP($A70,'Data shares'!$C:$FM,106)</f>
        <v>35.19</v>
      </c>
      <c r="F70" s="50">
        <f>VLOOKUP($A70,'Data shares'!$C:$FM,108)</f>
        <v>-13.54</v>
      </c>
      <c r="G70" s="50">
        <f t="shared" si="1"/>
        <v>0.61523159988633136</v>
      </c>
    </row>
    <row r="71" spans="1:7" x14ac:dyDescent="0.25">
      <c r="A71" s="49" t="str">
        <f>'Data shares'!C66</f>
        <v>GAIL</v>
      </c>
      <c r="B71" s="50">
        <f>VLOOKUP($A71,'Data shares'!$C:$FM,102)</f>
        <v>23.19</v>
      </c>
      <c r="C71" s="50">
        <f>VLOOKUP($A71,'Data shares'!$C:$FM,110)</f>
        <v>23.79</v>
      </c>
      <c r="D71" s="50">
        <f>VLOOKUP($A71,'Data shares'!$C:$FM,114)</f>
        <v>21.68</v>
      </c>
      <c r="E71" s="50">
        <f>VLOOKUP($A71,'Data shares'!$C:$FM,106)</f>
        <v>34.44</v>
      </c>
      <c r="F71" s="50">
        <f>VLOOKUP($A71,'Data shares'!$C:$FM,108)</f>
        <v>-11.25</v>
      </c>
      <c r="G71" s="50">
        <f t="shared" ref="G71:G102" si="2">B71/E71</f>
        <v>0.67334494773519171</v>
      </c>
    </row>
    <row r="72" spans="1:7" x14ac:dyDescent="0.25">
      <c r="A72" s="49" t="str">
        <f>'Data shares'!C67</f>
        <v>GLENMARK</v>
      </c>
      <c r="B72" s="50">
        <f>VLOOKUP($A72,'Data shares'!$C:$FM,102)</f>
        <v>22.1</v>
      </c>
      <c r="C72" s="50">
        <f>VLOOKUP($A72,'Data shares'!$C:$FM,110)</f>
        <v>22.14</v>
      </c>
      <c r="D72" s="50">
        <f>VLOOKUP($A72,'Data shares'!$C:$FM,114)</f>
        <v>22.01</v>
      </c>
      <c r="E72" s="50">
        <f>VLOOKUP($A72,'Data shares'!$C:$FM,106)</f>
        <v>35.869999999999997</v>
      </c>
      <c r="F72" s="50">
        <f>VLOOKUP($A72,'Data shares'!$C:$FM,108)</f>
        <v>-13.77</v>
      </c>
      <c r="G72" s="50">
        <f t="shared" si="2"/>
        <v>0.61611374407582942</v>
      </c>
    </row>
    <row r="73" spans="1:7" x14ac:dyDescent="0.25">
      <c r="A73" s="49" t="str">
        <f>'Data shares'!C68</f>
        <v>GMRAIRPORT</v>
      </c>
      <c r="B73" s="50">
        <f>VLOOKUP($A73,'Data shares'!$C:$FM,102)</f>
        <v>27.28</v>
      </c>
      <c r="C73" s="50">
        <f>VLOOKUP($A73,'Data shares'!$C:$FM,110)</f>
        <v>28.4</v>
      </c>
      <c r="D73" s="50">
        <f>VLOOKUP($A73,'Data shares'!$C:$FM,114)</f>
        <v>24.59</v>
      </c>
      <c r="E73" s="50">
        <f>VLOOKUP($A73,'Data shares'!$C:$FM,106)</f>
        <v>37.1</v>
      </c>
      <c r="F73" s="50">
        <f>VLOOKUP($A73,'Data shares'!$C:$FM,108)</f>
        <v>-9.82</v>
      </c>
      <c r="G73" s="50">
        <f t="shared" si="2"/>
        <v>0.73530997304582213</v>
      </c>
    </row>
    <row r="74" spans="1:7" x14ac:dyDescent="0.25">
      <c r="A74" s="49" t="str">
        <f>'Data shares'!C69</f>
        <v>GODREJCP</v>
      </c>
      <c r="B74" s="50">
        <f>VLOOKUP($A74,'Data shares'!$C:$FM,102)</f>
        <v>20.45</v>
      </c>
      <c r="C74" s="50">
        <f>VLOOKUP($A74,'Data shares'!$C:$FM,110)</f>
        <v>20.07</v>
      </c>
      <c r="D74" s="50">
        <f>VLOOKUP($A74,'Data shares'!$C:$FM,114)</f>
        <v>21.12</v>
      </c>
      <c r="E74" s="50">
        <f>VLOOKUP($A74,'Data shares'!$C:$FM,106)</f>
        <v>28.8</v>
      </c>
      <c r="F74" s="50">
        <f>VLOOKUP($A74,'Data shares'!$C:$FM,108)</f>
        <v>-8.35</v>
      </c>
      <c r="G74" s="50">
        <f t="shared" si="2"/>
        <v>0.71006944444444442</v>
      </c>
    </row>
    <row r="75" spans="1:7" x14ac:dyDescent="0.25">
      <c r="A75" s="49" t="str">
        <f>'Data shares'!C70</f>
        <v>GODREJPROP</v>
      </c>
      <c r="B75" s="50">
        <f>VLOOKUP($A75,'Data shares'!$C:$FM,102)</f>
        <v>27.82</v>
      </c>
      <c r="C75" s="50">
        <f>VLOOKUP($A75,'Data shares'!$C:$FM,110)</f>
        <v>28.15</v>
      </c>
      <c r="D75" s="50">
        <f>VLOOKUP($A75,'Data shares'!$C:$FM,114)</f>
        <v>26.73</v>
      </c>
      <c r="E75" s="50">
        <f>VLOOKUP($A75,'Data shares'!$C:$FM,106)</f>
        <v>42.34</v>
      </c>
      <c r="F75" s="50">
        <f>VLOOKUP($A75,'Data shares'!$C:$FM,108)</f>
        <v>-14.52</v>
      </c>
      <c r="G75" s="50">
        <f t="shared" si="2"/>
        <v>0.65706188001889465</v>
      </c>
    </row>
    <row r="76" spans="1:7" x14ac:dyDescent="0.25">
      <c r="A76" s="49" t="str">
        <f>'Data shares'!C71</f>
        <v>GRASIM</v>
      </c>
      <c r="B76" s="50">
        <f>VLOOKUP($A76,'Data shares'!$C:$FM,102)</f>
        <v>15.88</v>
      </c>
      <c r="C76" s="50">
        <f>VLOOKUP($A76,'Data shares'!$C:$FM,110)</f>
        <v>15.51</v>
      </c>
      <c r="D76" s="50">
        <f>VLOOKUP($A76,'Data shares'!$C:$FM,114)</f>
        <v>16.59</v>
      </c>
      <c r="E76" s="50">
        <f>VLOOKUP($A76,'Data shares'!$C:$FM,106)</f>
        <v>25.49</v>
      </c>
      <c r="F76" s="50">
        <f>VLOOKUP($A76,'Data shares'!$C:$FM,108)</f>
        <v>-9.61</v>
      </c>
      <c r="G76" s="50">
        <f t="shared" si="2"/>
        <v>0.62298940761082788</v>
      </c>
    </row>
    <row r="77" spans="1:7" x14ac:dyDescent="0.25">
      <c r="A77" s="49" t="str">
        <f>'Data shares'!C72</f>
        <v>HAL</v>
      </c>
      <c r="B77" s="50">
        <f>VLOOKUP($A77,'Data shares'!$C:$FM,102)</f>
        <v>23.91</v>
      </c>
      <c r="C77" s="50">
        <f>VLOOKUP($A77,'Data shares'!$C:$FM,110)</f>
        <v>24.42</v>
      </c>
      <c r="D77" s="50">
        <f>VLOOKUP($A77,'Data shares'!$C:$FM,114)</f>
        <v>22.82</v>
      </c>
      <c r="E77" s="50">
        <f>VLOOKUP($A77,'Data shares'!$C:$FM,106)</f>
        <v>37.630000000000003</v>
      </c>
      <c r="F77" s="50">
        <f>VLOOKUP($A77,'Data shares'!$C:$FM,108)</f>
        <v>-13.72</v>
      </c>
      <c r="G77" s="50">
        <f t="shared" si="2"/>
        <v>0.63539728939675788</v>
      </c>
    </row>
    <row r="78" spans="1:7" x14ac:dyDescent="0.25">
      <c r="A78" s="49" t="str">
        <f>'Data shares'!C73</f>
        <v>HAVELLS</v>
      </c>
      <c r="B78" s="50">
        <f>VLOOKUP($A78,'Data shares'!$C:$FM,102)</f>
        <v>18.600000000000001</v>
      </c>
      <c r="C78" s="50">
        <f>VLOOKUP($A78,'Data shares'!$C:$FM,110)</f>
        <v>18.649999999999999</v>
      </c>
      <c r="D78" s="50">
        <f>VLOOKUP($A78,'Data shares'!$C:$FM,114)</f>
        <v>18.489999999999998</v>
      </c>
      <c r="E78" s="50">
        <f>VLOOKUP($A78,'Data shares'!$C:$FM,106)</f>
        <v>27.06</v>
      </c>
      <c r="F78" s="50">
        <f>VLOOKUP($A78,'Data shares'!$C:$FM,108)</f>
        <v>-8.4600000000000009</v>
      </c>
      <c r="G78" s="50">
        <f t="shared" si="2"/>
        <v>0.68736141906873627</v>
      </c>
    </row>
    <row r="79" spans="1:7" x14ac:dyDescent="0.25">
      <c r="A79" s="49" t="str">
        <f>'Data shares'!C74</f>
        <v>HCLTECH</v>
      </c>
      <c r="B79" s="50">
        <f>VLOOKUP($A79,'Data shares'!$C:$FM,102)</f>
        <v>19.03</v>
      </c>
      <c r="C79" s="50">
        <f>VLOOKUP($A79,'Data shares'!$C:$FM,110)</f>
        <v>18.96</v>
      </c>
      <c r="D79" s="50">
        <f>VLOOKUP($A79,'Data shares'!$C:$FM,114)</f>
        <v>19.239999999999998</v>
      </c>
      <c r="E79" s="50">
        <f>VLOOKUP($A79,'Data shares'!$C:$FM,106)</f>
        <v>27.98</v>
      </c>
      <c r="F79" s="50">
        <f>VLOOKUP($A79,'Data shares'!$C:$FM,108)</f>
        <v>-8.9499999999999993</v>
      </c>
      <c r="G79" s="50">
        <f t="shared" si="2"/>
        <v>0.68012866333095068</v>
      </c>
    </row>
    <row r="80" spans="1:7" x14ac:dyDescent="0.25">
      <c r="A80" s="49" t="str">
        <f>'Data shares'!C75</f>
        <v>HDFCAMC</v>
      </c>
      <c r="B80" s="50">
        <f>VLOOKUP($A80,'Data shares'!$C:$FM,102)</f>
        <v>24.37</v>
      </c>
      <c r="C80" s="50">
        <f>VLOOKUP($A80,'Data shares'!$C:$FM,110)</f>
        <v>23.69</v>
      </c>
      <c r="D80" s="50">
        <f>VLOOKUP($A80,'Data shares'!$C:$FM,114)</f>
        <v>25.9</v>
      </c>
      <c r="E80" s="50">
        <f>VLOOKUP($A80,'Data shares'!$C:$FM,106)</f>
        <v>34.299999999999997</v>
      </c>
      <c r="F80" s="50">
        <f>VLOOKUP($A80,'Data shares'!$C:$FM,108)</f>
        <v>-9.93</v>
      </c>
      <c r="G80" s="50">
        <f t="shared" si="2"/>
        <v>0.7104956268221575</v>
      </c>
    </row>
    <row r="81" spans="1:7" x14ac:dyDescent="0.25">
      <c r="A81" s="49" t="str">
        <f>'Data shares'!C76</f>
        <v>HDFCBANK</v>
      </c>
      <c r="B81" s="50">
        <f>VLOOKUP($A81,'Data shares'!$C:$FM,102)</f>
        <v>15.19</v>
      </c>
      <c r="C81" s="50">
        <f>VLOOKUP($A81,'Data shares'!$C:$FM,110)</f>
        <v>15.53</v>
      </c>
      <c r="D81" s="50">
        <f>VLOOKUP($A81,'Data shares'!$C:$FM,114)</f>
        <v>14.64</v>
      </c>
      <c r="E81" s="50">
        <f>VLOOKUP($A81,'Data shares'!$C:$FM,106)</f>
        <v>19.96</v>
      </c>
      <c r="F81" s="50">
        <f>VLOOKUP($A81,'Data shares'!$C:$FM,108)</f>
        <v>-4.7699999999999996</v>
      </c>
      <c r="G81" s="50">
        <f t="shared" si="2"/>
        <v>0.76102204408817631</v>
      </c>
    </row>
    <row r="82" spans="1:7" x14ac:dyDescent="0.25">
      <c r="A82" s="49" t="str">
        <f>'Data shares'!C77</f>
        <v>HDFCLIFE</v>
      </c>
      <c r="B82" s="50">
        <f>VLOOKUP($A82,'Data shares'!$C:$FM,102)</f>
        <v>18.21</v>
      </c>
      <c r="C82" s="50">
        <f>VLOOKUP($A82,'Data shares'!$C:$FM,110)</f>
        <v>18.399999999999999</v>
      </c>
      <c r="D82" s="50">
        <f>VLOOKUP($A82,'Data shares'!$C:$FM,114)</f>
        <v>17.670000000000002</v>
      </c>
      <c r="E82" s="50">
        <f>VLOOKUP($A82,'Data shares'!$C:$FM,106)</f>
        <v>25.27</v>
      </c>
      <c r="F82" s="50">
        <f>VLOOKUP($A82,'Data shares'!$C:$FM,108)</f>
        <v>-7.06</v>
      </c>
      <c r="G82" s="50">
        <f t="shared" si="2"/>
        <v>0.72061733280569851</v>
      </c>
    </row>
    <row r="83" spans="1:7" x14ac:dyDescent="0.25">
      <c r="A83" s="49" t="str">
        <f>'Data shares'!C78</f>
        <v>HEROMOTOCO</v>
      </c>
      <c r="B83" s="50">
        <f>VLOOKUP($A83,'Data shares'!$C:$FM,102)</f>
        <v>22.37</v>
      </c>
      <c r="C83" s="50">
        <f>VLOOKUP($A83,'Data shares'!$C:$FM,110)</f>
        <v>23.21</v>
      </c>
      <c r="D83" s="50">
        <f>VLOOKUP($A83,'Data shares'!$C:$FM,114)</f>
        <v>21.11</v>
      </c>
      <c r="E83" s="50">
        <f>VLOOKUP($A83,'Data shares'!$C:$FM,106)</f>
        <v>30.37</v>
      </c>
      <c r="F83" s="50">
        <f>VLOOKUP($A83,'Data shares'!$C:$FM,108)</f>
        <v>-8</v>
      </c>
      <c r="G83" s="50">
        <f t="shared" si="2"/>
        <v>0.73658215344089562</v>
      </c>
    </row>
    <row r="84" spans="1:7" x14ac:dyDescent="0.25">
      <c r="A84" s="49" t="str">
        <f>'Data shares'!C79</f>
        <v>HFCL</v>
      </c>
      <c r="B84" s="50">
        <f>VLOOKUP($A84,'Data shares'!$C:$FM,102)</f>
        <v>37.96</v>
      </c>
      <c r="C84" s="50">
        <f>VLOOKUP($A84,'Data shares'!$C:$FM,110)</f>
        <v>38.130000000000003</v>
      </c>
      <c r="D84" s="50">
        <f>VLOOKUP($A84,'Data shares'!$C:$FM,114)</f>
        <v>37.53</v>
      </c>
      <c r="E84" s="50">
        <f>VLOOKUP($A84,'Data shares'!$C:$FM,106)</f>
        <v>52.13</v>
      </c>
      <c r="F84" s="50">
        <f>VLOOKUP($A84,'Data shares'!$C:$FM,108)</f>
        <v>-14.17</v>
      </c>
      <c r="G84" s="50">
        <f t="shared" si="2"/>
        <v>0.72817955112219446</v>
      </c>
    </row>
    <row r="85" spans="1:7" x14ac:dyDescent="0.25">
      <c r="A85" s="49" t="str">
        <f>'Data shares'!C80</f>
        <v>HINDALCO</v>
      </c>
      <c r="B85" s="50">
        <f>VLOOKUP($A85,'Data shares'!$C:$FM,102)</f>
        <v>21.58</v>
      </c>
      <c r="C85" s="50">
        <f>VLOOKUP($A85,'Data shares'!$C:$FM,110)</f>
        <v>20.95</v>
      </c>
      <c r="D85" s="50">
        <f>VLOOKUP($A85,'Data shares'!$C:$FM,114)</f>
        <v>22.75</v>
      </c>
      <c r="E85" s="50">
        <f>VLOOKUP($A85,'Data shares'!$C:$FM,106)</f>
        <v>32.53</v>
      </c>
      <c r="F85" s="50">
        <f>VLOOKUP($A85,'Data shares'!$C:$FM,108)</f>
        <v>-10.95</v>
      </c>
      <c r="G85" s="50">
        <f t="shared" si="2"/>
        <v>0.66338764217645241</v>
      </c>
    </row>
    <row r="86" spans="1:7" x14ac:dyDescent="0.25">
      <c r="A86" s="49" t="str">
        <f>'Data shares'!C81</f>
        <v>HINDPETRO</v>
      </c>
      <c r="B86" s="50">
        <f>VLOOKUP($A86,'Data shares'!$C:$FM,102)</f>
        <v>22.99</v>
      </c>
      <c r="C86" s="50">
        <f>VLOOKUP($A86,'Data shares'!$C:$FM,110)</f>
        <v>22.97</v>
      </c>
      <c r="D86" s="50">
        <f>VLOOKUP($A86,'Data shares'!$C:$FM,114)</f>
        <v>23.02</v>
      </c>
      <c r="E86" s="50">
        <f>VLOOKUP($A86,'Data shares'!$C:$FM,106)</f>
        <v>38.29</v>
      </c>
      <c r="F86" s="50">
        <f>VLOOKUP($A86,'Data shares'!$C:$FM,108)</f>
        <v>-15.3</v>
      </c>
      <c r="G86" s="50">
        <f t="shared" si="2"/>
        <v>0.60041786367197703</v>
      </c>
    </row>
    <row r="87" spans="1:7" x14ac:dyDescent="0.25">
      <c r="A87" s="49" t="str">
        <f>'Data shares'!C82</f>
        <v>HINDUNILVR</v>
      </c>
      <c r="B87" s="50">
        <f>VLOOKUP($A87,'Data shares'!$C:$FM,102)</f>
        <v>15.83</v>
      </c>
      <c r="C87" s="50">
        <f>VLOOKUP($A87,'Data shares'!$C:$FM,110)</f>
        <v>15.95</v>
      </c>
      <c r="D87" s="50">
        <f>VLOOKUP($A87,'Data shares'!$C:$FM,114)</f>
        <v>15.51</v>
      </c>
      <c r="E87" s="50">
        <f>VLOOKUP($A87,'Data shares'!$C:$FM,106)</f>
        <v>22.11</v>
      </c>
      <c r="F87" s="50">
        <f>VLOOKUP($A87,'Data shares'!$C:$FM,108)</f>
        <v>-6.28</v>
      </c>
      <c r="G87" s="50">
        <f t="shared" si="2"/>
        <v>0.71596562641338768</v>
      </c>
    </row>
    <row r="88" spans="1:7" x14ac:dyDescent="0.25">
      <c r="A88" s="49" t="str">
        <f>'Data shares'!C83</f>
        <v>HINDZINC</v>
      </c>
      <c r="B88" s="50">
        <f>VLOOKUP($A88,'Data shares'!$C:$FM,102)</f>
        <v>34.409999999999997</v>
      </c>
      <c r="C88" s="50">
        <f>VLOOKUP($A88,'Data shares'!$C:$FM,110)</f>
        <v>33.81</v>
      </c>
      <c r="D88" s="50">
        <f>VLOOKUP($A88,'Data shares'!$C:$FM,114)</f>
        <v>35.72</v>
      </c>
      <c r="E88" s="50">
        <f>VLOOKUP($A88,'Data shares'!$C:$FM,106)</f>
        <v>43.61</v>
      </c>
      <c r="F88" s="50">
        <f>VLOOKUP($A88,'Data shares'!$C:$FM,108)</f>
        <v>-9.1999999999999993</v>
      </c>
      <c r="G88" s="50">
        <f t="shared" si="2"/>
        <v>0.7890392111900939</v>
      </c>
    </row>
    <row r="89" spans="1:7" x14ac:dyDescent="0.25">
      <c r="A89" s="49" t="str">
        <f>'Data shares'!C84</f>
        <v>HUDCO</v>
      </c>
      <c r="B89" s="50">
        <f>VLOOKUP($A89,'Data shares'!$C:$FM,102)</f>
        <v>28.38</v>
      </c>
      <c r="C89" s="50">
        <f>VLOOKUP($A89,'Data shares'!$C:$FM,110)</f>
        <v>29.26</v>
      </c>
      <c r="D89" s="50">
        <f>VLOOKUP($A89,'Data shares'!$C:$FM,114)</f>
        <v>25.68</v>
      </c>
      <c r="E89" s="50">
        <f>VLOOKUP($A89,'Data shares'!$C:$FM,106)</f>
        <v>51.18</v>
      </c>
      <c r="F89" s="50">
        <f>VLOOKUP($A89,'Data shares'!$C:$FM,108)</f>
        <v>-22.8</v>
      </c>
      <c r="G89" s="50">
        <f t="shared" si="2"/>
        <v>0.55451348182883942</v>
      </c>
    </row>
    <row r="90" spans="1:7" x14ac:dyDescent="0.25">
      <c r="A90" s="49" t="str">
        <f>'Data shares'!C85</f>
        <v>ICICIBANK</v>
      </c>
      <c r="B90" s="50">
        <f>VLOOKUP($A90,'Data shares'!$C:$FM,102)</f>
        <v>13.97</v>
      </c>
      <c r="C90" s="50">
        <f>VLOOKUP($A90,'Data shares'!$C:$FM,110)</f>
        <v>13.98</v>
      </c>
      <c r="D90" s="50">
        <f>VLOOKUP($A90,'Data shares'!$C:$FM,114)</f>
        <v>13.95</v>
      </c>
      <c r="E90" s="50">
        <f>VLOOKUP($A90,'Data shares'!$C:$FM,106)</f>
        <v>20.45</v>
      </c>
      <c r="F90" s="50">
        <f>VLOOKUP($A90,'Data shares'!$C:$FM,108)</f>
        <v>-6.48</v>
      </c>
      <c r="G90" s="50">
        <f t="shared" si="2"/>
        <v>0.68312958435207827</v>
      </c>
    </row>
    <row r="91" spans="1:7" x14ac:dyDescent="0.25">
      <c r="A91" s="49" t="str">
        <f>'Data shares'!C86</f>
        <v>ICICIGI</v>
      </c>
      <c r="B91" s="50">
        <f>VLOOKUP($A91,'Data shares'!$C:$FM,102)</f>
        <v>19.010000000000002</v>
      </c>
      <c r="C91" s="50">
        <f>VLOOKUP($A91,'Data shares'!$C:$FM,110)</f>
        <v>19.45</v>
      </c>
      <c r="D91" s="50">
        <f>VLOOKUP($A91,'Data shares'!$C:$FM,114)</f>
        <v>18.38</v>
      </c>
      <c r="E91" s="50">
        <f>VLOOKUP($A91,'Data shares'!$C:$FM,106)</f>
        <v>28.23</v>
      </c>
      <c r="F91" s="50">
        <f>VLOOKUP($A91,'Data shares'!$C:$FM,108)</f>
        <v>-9.2200000000000006</v>
      </c>
      <c r="G91" s="50">
        <f t="shared" si="2"/>
        <v>0.67339709528870006</v>
      </c>
    </row>
    <row r="92" spans="1:7" x14ac:dyDescent="0.25">
      <c r="A92" s="49" t="str">
        <f>'Data shares'!C87</f>
        <v>ICICIPRULI</v>
      </c>
      <c r="B92" s="50">
        <f>VLOOKUP($A92,'Data shares'!$C:$FM,102)</f>
        <v>20.71</v>
      </c>
      <c r="C92" s="50">
        <f>VLOOKUP($A92,'Data shares'!$C:$FM,110)</f>
        <v>20.41</v>
      </c>
      <c r="D92" s="50">
        <f>VLOOKUP($A92,'Data shares'!$C:$FM,114)</f>
        <v>21.52</v>
      </c>
      <c r="E92" s="50">
        <f>VLOOKUP($A92,'Data shares'!$C:$FM,106)</f>
        <v>27.43</v>
      </c>
      <c r="F92" s="50">
        <f>VLOOKUP($A92,'Data shares'!$C:$FM,108)</f>
        <v>-6.72</v>
      </c>
      <c r="G92" s="50">
        <f t="shared" si="2"/>
        <v>0.75501275975209625</v>
      </c>
    </row>
    <row r="93" spans="1:7" x14ac:dyDescent="0.25">
      <c r="A93" s="49" t="str">
        <f>'Data shares'!C88</f>
        <v>IDEA</v>
      </c>
      <c r="B93" s="50">
        <f>VLOOKUP($A93,'Data shares'!$C:$FM,102)</f>
        <v>57.44</v>
      </c>
      <c r="C93" s="50">
        <f>VLOOKUP($A93,'Data shares'!$C:$FM,110)</f>
        <v>58.57</v>
      </c>
      <c r="D93" s="50">
        <f>VLOOKUP($A93,'Data shares'!$C:$FM,114)</f>
        <v>53.33</v>
      </c>
      <c r="E93" s="50">
        <f>VLOOKUP($A93,'Data shares'!$C:$FM,106)</f>
        <v>67.319999999999993</v>
      </c>
      <c r="F93" s="50">
        <f>VLOOKUP($A93,'Data shares'!$C:$FM,108)</f>
        <v>-9.8800000000000008</v>
      </c>
      <c r="G93" s="50">
        <f t="shared" si="2"/>
        <v>0.85323826500297095</v>
      </c>
    </row>
    <row r="94" spans="1:7" x14ac:dyDescent="0.25">
      <c r="A94" s="49" t="str">
        <f>'Data shares'!C89</f>
        <v>IDFCFIRSTB</v>
      </c>
      <c r="B94" s="50">
        <f>VLOOKUP($A94,'Data shares'!$C:$FM,102)</f>
        <v>22.52</v>
      </c>
      <c r="C94" s="50">
        <f>VLOOKUP($A94,'Data shares'!$C:$FM,110)</f>
        <v>22.08</v>
      </c>
      <c r="D94" s="50">
        <f>VLOOKUP($A94,'Data shares'!$C:$FM,114)</f>
        <v>23.38</v>
      </c>
      <c r="E94" s="50">
        <f>VLOOKUP($A94,'Data shares'!$C:$FM,106)</f>
        <v>33.090000000000003</v>
      </c>
      <c r="F94" s="50">
        <f>VLOOKUP($A94,'Data shares'!$C:$FM,108)</f>
        <v>-10.57</v>
      </c>
      <c r="G94" s="50">
        <f t="shared" si="2"/>
        <v>0.6805681474765789</v>
      </c>
    </row>
    <row r="95" spans="1:7" x14ac:dyDescent="0.25">
      <c r="A95" s="49" t="str">
        <f>'Data shares'!C90</f>
        <v>IEX</v>
      </c>
      <c r="B95" s="50">
        <f>VLOOKUP($A95,'Data shares'!$C:$FM,102)</f>
        <v>27.62</v>
      </c>
      <c r="C95" s="50">
        <f>VLOOKUP($A95,'Data shares'!$C:$FM,110)</f>
        <v>27.5</v>
      </c>
      <c r="D95" s="50">
        <f>VLOOKUP($A95,'Data shares'!$C:$FM,114)</f>
        <v>27.9</v>
      </c>
      <c r="E95" s="50">
        <f>VLOOKUP($A95,'Data shares'!$C:$FM,106)</f>
        <v>53.27</v>
      </c>
      <c r="F95" s="50">
        <f>VLOOKUP($A95,'Data shares'!$C:$FM,108)</f>
        <v>-25.65</v>
      </c>
      <c r="G95" s="50">
        <f t="shared" si="2"/>
        <v>0.51849070771541206</v>
      </c>
    </row>
    <row r="96" spans="1:7" x14ac:dyDescent="0.25">
      <c r="A96" s="49" t="str">
        <f>'Data shares'!C91</f>
        <v>IIFL</v>
      </c>
      <c r="B96" s="50">
        <f>VLOOKUP($A96,'Data shares'!$C:$FM,102)</f>
        <v>29.41</v>
      </c>
      <c r="C96" s="50">
        <f>VLOOKUP($A96,'Data shares'!$C:$FM,110)</f>
        <v>29.8</v>
      </c>
      <c r="D96" s="50">
        <f>VLOOKUP($A96,'Data shares'!$C:$FM,114)</f>
        <v>28.26</v>
      </c>
      <c r="E96" s="50">
        <f>VLOOKUP($A96,'Data shares'!$C:$FM,106)</f>
        <v>49.29</v>
      </c>
      <c r="F96" s="50">
        <f>VLOOKUP($A96,'Data shares'!$C:$FM,108)</f>
        <v>-19.88</v>
      </c>
      <c r="G96" s="50">
        <f t="shared" si="2"/>
        <v>0.59667275309393386</v>
      </c>
    </row>
    <row r="97" spans="1:7" x14ac:dyDescent="0.25">
      <c r="A97" s="49" t="str">
        <f>'Data shares'!C92</f>
        <v>INDHOTEL</v>
      </c>
      <c r="B97" s="50">
        <f>VLOOKUP($A97,'Data shares'!$C:$FM,102)</f>
        <v>20.68</v>
      </c>
      <c r="C97" s="50">
        <f>VLOOKUP($A97,'Data shares'!$C:$FM,110)</f>
        <v>20.89</v>
      </c>
      <c r="D97" s="50">
        <f>VLOOKUP($A97,'Data shares'!$C:$FM,114)</f>
        <v>20.23</v>
      </c>
      <c r="E97" s="50">
        <f>VLOOKUP($A97,'Data shares'!$C:$FM,106)</f>
        <v>34.03</v>
      </c>
      <c r="F97" s="50">
        <f>VLOOKUP($A97,'Data shares'!$C:$FM,108)</f>
        <v>-13.35</v>
      </c>
      <c r="G97" s="50">
        <f t="shared" si="2"/>
        <v>0.6076990890390831</v>
      </c>
    </row>
    <row r="98" spans="1:7" x14ac:dyDescent="0.25">
      <c r="A98" s="49" t="str">
        <f>'Data shares'!C93</f>
        <v>INDIANB</v>
      </c>
      <c r="B98" s="50">
        <f>VLOOKUP($A98,'Data shares'!$C:$FM,102)</f>
        <v>27.24</v>
      </c>
      <c r="C98" s="50">
        <f>VLOOKUP($A98,'Data shares'!$C:$FM,110)</f>
        <v>27.65</v>
      </c>
      <c r="D98" s="50">
        <f>VLOOKUP($A98,'Data shares'!$C:$FM,114)</f>
        <v>25.67</v>
      </c>
      <c r="E98" s="50">
        <f>VLOOKUP($A98,'Data shares'!$C:$FM,106)</f>
        <v>37.619999999999997</v>
      </c>
      <c r="F98" s="50">
        <f>VLOOKUP($A98,'Data shares'!$C:$FM,108)</f>
        <v>-10.38</v>
      </c>
      <c r="G98" s="50">
        <f t="shared" si="2"/>
        <v>0.72408293460925044</v>
      </c>
    </row>
    <row r="99" spans="1:7" x14ac:dyDescent="0.25">
      <c r="A99" s="49" t="str">
        <f>'Data shares'!C94</f>
        <v>INDIAVIX</v>
      </c>
      <c r="B99" s="50">
        <f>VLOOKUP($A99,'Data shares'!$C:$FM,102)</f>
        <v>0</v>
      </c>
      <c r="C99" s="50">
        <f>VLOOKUP($A99,'Data shares'!$C:$FM,110)</f>
        <v>0</v>
      </c>
      <c r="D99" s="50">
        <f>VLOOKUP($A99,'Data shares'!$C:$FM,114)</f>
        <v>0</v>
      </c>
      <c r="E99" s="50">
        <f>VLOOKUP($A99,'Data shares'!$C:$FM,106)</f>
        <v>0</v>
      </c>
      <c r="F99" s="50">
        <f>VLOOKUP($A99,'Data shares'!$C:$FM,108)</f>
        <v>0</v>
      </c>
      <c r="G99" s="50" t="e">
        <f t="shared" si="2"/>
        <v>#DIV/0!</v>
      </c>
    </row>
    <row r="100" spans="1:7" x14ac:dyDescent="0.25">
      <c r="A100" s="49" t="str">
        <f>'Data shares'!C95</f>
        <v>INDIGO</v>
      </c>
      <c r="B100" s="50">
        <f>VLOOKUP($A100,'Data shares'!$C:$FM,102)</f>
        <v>26.01</v>
      </c>
      <c r="C100" s="50">
        <f>VLOOKUP($A100,'Data shares'!$C:$FM,110)</f>
        <v>25.25</v>
      </c>
      <c r="D100" s="50">
        <f>VLOOKUP($A100,'Data shares'!$C:$FM,114)</f>
        <v>27.59</v>
      </c>
      <c r="E100" s="50">
        <f>VLOOKUP($A100,'Data shares'!$C:$FM,106)</f>
        <v>33.909999999999997</v>
      </c>
      <c r="F100" s="50">
        <f>VLOOKUP($A100,'Data shares'!$C:$FM,108)</f>
        <v>-7.9</v>
      </c>
      <c r="G100" s="50">
        <f t="shared" si="2"/>
        <v>0.76703037452079048</v>
      </c>
    </row>
    <row r="101" spans="1:7" x14ac:dyDescent="0.25">
      <c r="A101" s="49" t="str">
        <f>'Data shares'!C96</f>
        <v>INDUSINDBK</v>
      </c>
      <c r="B101" s="50">
        <f>VLOOKUP($A101,'Data shares'!$C:$FM,102)</f>
        <v>25.73</v>
      </c>
      <c r="C101" s="50">
        <f>VLOOKUP($A101,'Data shares'!$C:$FM,110)</f>
        <v>25.57</v>
      </c>
      <c r="D101" s="50">
        <f>VLOOKUP($A101,'Data shares'!$C:$FM,114)</f>
        <v>25.97</v>
      </c>
      <c r="E101" s="50">
        <f>VLOOKUP($A101,'Data shares'!$C:$FM,106)</f>
        <v>44.2</v>
      </c>
      <c r="F101" s="50">
        <f>VLOOKUP($A101,'Data shares'!$C:$FM,108)</f>
        <v>-18.47</v>
      </c>
      <c r="G101" s="50">
        <f t="shared" si="2"/>
        <v>0.58212669683257912</v>
      </c>
    </row>
    <row r="102" spans="1:7" x14ac:dyDescent="0.25">
      <c r="A102" s="49" t="str">
        <f>'Data shares'!C97</f>
        <v>INDUSTOWER</v>
      </c>
      <c r="B102" s="50">
        <f>VLOOKUP($A102,'Data shares'!$C:$FM,102)</f>
        <v>25.08</v>
      </c>
      <c r="C102" s="50">
        <f>VLOOKUP($A102,'Data shares'!$C:$FM,110)</f>
        <v>25.14</v>
      </c>
      <c r="D102" s="50">
        <f>VLOOKUP($A102,'Data shares'!$C:$FM,114)</f>
        <v>24.92</v>
      </c>
      <c r="E102" s="50">
        <f>VLOOKUP($A102,'Data shares'!$C:$FM,106)</f>
        <v>38.520000000000003</v>
      </c>
      <c r="F102" s="50">
        <f>VLOOKUP($A102,'Data shares'!$C:$FM,108)</f>
        <v>-13.44</v>
      </c>
      <c r="G102" s="50">
        <f t="shared" si="2"/>
        <v>0.65109034267912758</v>
      </c>
    </row>
    <row r="103" spans="1:7" x14ac:dyDescent="0.25">
      <c r="A103" s="49" t="str">
        <f>'Data shares'!C98</f>
        <v>INFY</v>
      </c>
      <c r="B103" s="50">
        <f>VLOOKUP($A103,'Data shares'!$C:$FM,102)</f>
        <v>17.97</v>
      </c>
      <c r="C103" s="50">
        <f>VLOOKUP($A103,'Data shares'!$C:$FM,110)</f>
        <v>17.100000000000001</v>
      </c>
      <c r="D103" s="50">
        <f>VLOOKUP($A103,'Data shares'!$C:$FM,114)</f>
        <v>19.510000000000002</v>
      </c>
      <c r="E103" s="50">
        <f>VLOOKUP($A103,'Data shares'!$C:$FM,106)</f>
        <v>28.4</v>
      </c>
      <c r="F103" s="50">
        <f>VLOOKUP($A103,'Data shares'!$C:$FM,108)</f>
        <v>-10.43</v>
      </c>
      <c r="G103" s="50">
        <f t="shared" ref="G103:G134" si="3">B103/E103</f>
        <v>0.63274647887323943</v>
      </c>
    </row>
    <row r="104" spans="1:7" x14ac:dyDescent="0.25">
      <c r="A104" s="49" t="str">
        <f>'Data shares'!C99</f>
        <v>INOXWIND</v>
      </c>
      <c r="B104" s="50">
        <f>VLOOKUP($A104,'Data shares'!$C:$FM,102)</f>
        <v>30.9</v>
      </c>
      <c r="C104" s="50">
        <f>VLOOKUP($A104,'Data shares'!$C:$FM,110)</f>
        <v>32.96</v>
      </c>
      <c r="D104" s="50">
        <f>VLOOKUP($A104,'Data shares'!$C:$FM,114)</f>
        <v>27.94</v>
      </c>
      <c r="E104" s="50">
        <f>VLOOKUP($A104,'Data shares'!$C:$FM,106)</f>
        <v>53</v>
      </c>
      <c r="F104" s="50">
        <f>VLOOKUP($A104,'Data shares'!$C:$FM,108)</f>
        <v>-22.1</v>
      </c>
      <c r="G104" s="50">
        <f t="shared" si="3"/>
        <v>0.58301886792452828</v>
      </c>
    </row>
    <row r="105" spans="1:7" x14ac:dyDescent="0.25">
      <c r="A105" s="49" t="str">
        <f>'Data shares'!C100</f>
        <v>IOC</v>
      </c>
      <c r="B105" s="50">
        <f>VLOOKUP($A105,'Data shares'!$C:$FM,102)</f>
        <v>21.05</v>
      </c>
      <c r="C105" s="50">
        <f>VLOOKUP($A105,'Data shares'!$C:$FM,110)</f>
        <v>21.1</v>
      </c>
      <c r="D105" s="50">
        <f>VLOOKUP($A105,'Data shares'!$C:$FM,114)</f>
        <v>20.98</v>
      </c>
      <c r="E105" s="50">
        <f>VLOOKUP($A105,'Data shares'!$C:$FM,106)</f>
        <v>31</v>
      </c>
      <c r="F105" s="50">
        <f>VLOOKUP($A105,'Data shares'!$C:$FM,108)</f>
        <v>-9.9499999999999993</v>
      </c>
      <c r="G105" s="50">
        <f t="shared" si="3"/>
        <v>0.67903225806451617</v>
      </c>
    </row>
    <row r="106" spans="1:7" x14ac:dyDescent="0.25">
      <c r="A106" s="49" t="str">
        <f>'Data shares'!C101</f>
        <v>IRCTC</v>
      </c>
      <c r="B106" s="50">
        <f>VLOOKUP($A106,'Data shares'!$C:$FM,102)</f>
        <v>16.29</v>
      </c>
      <c r="C106" s="50">
        <f>VLOOKUP($A106,'Data shares'!$C:$FM,110)</f>
        <v>16.46</v>
      </c>
      <c r="D106" s="50">
        <f>VLOOKUP($A106,'Data shares'!$C:$FM,114)</f>
        <v>15.83</v>
      </c>
      <c r="E106" s="50">
        <f>VLOOKUP($A106,'Data shares'!$C:$FM,106)</f>
        <v>28.98</v>
      </c>
      <c r="F106" s="50">
        <f>VLOOKUP($A106,'Data shares'!$C:$FM,108)</f>
        <v>-12.69</v>
      </c>
      <c r="G106" s="50">
        <f t="shared" si="3"/>
        <v>0.56211180124223603</v>
      </c>
    </row>
    <row r="107" spans="1:7" x14ac:dyDescent="0.25">
      <c r="A107" s="49" t="str">
        <f>'Data shares'!C102</f>
        <v>IREDA</v>
      </c>
      <c r="B107" s="50">
        <f>VLOOKUP($A107,'Data shares'!$C:$FM,102)</f>
        <v>30.21</v>
      </c>
      <c r="C107" s="50">
        <f>VLOOKUP($A107,'Data shares'!$C:$FM,110)</f>
        <v>30.07</v>
      </c>
      <c r="D107" s="50">
        <f>VLOOKUP($A107,'Data shares'!$C:$FM,114)</f>
        <v>30.55</v>
      </c>
      <c r="E107" s="50">
        <f>VLOOKUP($A107,'Data shares'!$C:$FM,106)</f>
        <v>48.6</v>
      </c>
      <c r="F107" s="50">
        <f>VLOOKUP($A107,'Data shares'!$C:$FM,108)</f>
        <v>-18.39</v>
      </c>
      <c r="G107" s="50">
        <f t="shared" si="3"/>
        <v>0.6216049382716049</v>
      </c>
    </row>
    <row r="108" spans="1:7" x14ac:dyDescent="0.25">
      <c r="A108" s="49" t="str">
        <f>'Data shares'!C103</f>
        <v>IRFC</v>
      </c>
      <c r="B108" s="50">
        <f>VLOOKUP($A108,'Data shares'!$C:$FM,102)</f>
        <v>24.46</v>
      </c>
      <c r="C108" s="50">
        <f>VLOOKUP($A108,'Data shares'!$C:$FM,110)</f>
        <v>25.13</v>
      </c>
      <c r="D108" s="50">
        <f>VLOOKUP($A108,'Data shares'!$C:$FM,114)</f>
        <v>23.02</v>
      </c>
      <c r="E108" s="50">
        <f>VLOOKUP($A108,'Data shares'!$C:$FM,106)</f>
        <v>43.78</v>
      </c>
      <c r="F108" s="50">
        <f>VLOOKUP($A108,'Data shares'!$C:$FM,108)</f>
        <v>-19.32</v>
      </c>
      <c r="G108" s="50">
        <f t="shared" si="3"/>
        <v>0.55870260392873461</v>
      </c>
    </row>
    <row r="109" spans="1:7" x14ac:dyDescent="0.25">
      <c r="A109" s="49" t="str">
        <f>'Data shares'!C104</f>
        <v>ITC</v>
      </c>
      <c r="B109" s="50">
        <f>VLOOKUP($A109,'Data shares'!$C:$FM,102)</f>
        <v>12.48</v>
      </c>
      <c r="C109" s="50">
        <f>VLOOKUP($A109,'Data shares'!$C:$FM,110)</f>
        <v>12.85</v>
      </c>
      <c r="D109" s="50">
        <f>VLOOKUP($A109,'Data shares'!$C:$FM,114)</f>
        <v>11.83</v>
      </c>
      <c r="E109" s="50">
        <f>VLOOKUP($A109,'Data shares'!$C:$FM,106)</f>
        <v>18.43</v>
      </c>
      <c r="F109" s="50">
        <f>VLOOKUP($A109,'Data shares'!$C:$FM,108)</f>
        <v>-5.95</v>
      </c>
      <c r="G109" s="50">
        <f t="shared" si="3"/>
        <v>0.6771568095496473</v>
      </c>
    </row>
    <row r="110" spans="1:7" x14ac:dyDescent="0.25">
      <c r="A110" s="49" t="str">
        <f>'Data shares'!C105</f>
        <v>JINDALSTEL</v>
      </c>
      <c r="B110" s="50">
        <f>VLOOKUP($A110,'Data shares'!$C:$FM,102)</f>
        <v>23.16</v>
      </c>
      <c r="C110" s="50">
        <f>VLOOKUP($A110,'Data shares'!$C:$FM,110)</f>
        <v>23.63</v>
      </c>
      <c r="D110" s="50">
        <f>VLOOKUP($A110,'Data shares'!$C:$FM,114)</f>
        <v>22.43</v>
      </c>
      <c r="E110" s="50">
        <f>VLOOKUP($A110,'Data shares'!$C:$FM,106)</f>
        <v>34.380000000000003</v>
      </c>
      <c r="F110" s="50">
        <f>VLOOKUP($A110,'Data shares'!$C:$FM,108)</f>
        <v>-11.22</v>
      </c>
      <c r="G110" s="50">
        <f t="shared" si="3"/>
        <v>0.67364746945898779</v>
      </c>
    </row>
    <row r="111" spans="1:7" x14ac:dyDescent="0.25">
      <c r="A111" s="49" t="str">
        <f>'Data shares'!C106</f>
        <v>JIOFIN</v>
      </c>
      <c r="B111" s="50">
        <f>VLOOKUP($A111,'Data shares'!$C:$FM,102)</f>
        <v>23.12</v>
      </c>
      <c r="C111" s="50">
        <f>VLOOKUP($A111,'Data shares'!$C:$FM,110)</f>
        <v>23.79</v>
      </c>
      <c r="D111" s="50">
        <f>VLOOKUP($A111,'Data shares'!$C:$FM,114)</f>
        <v>21.31</v>
      </c>
      <c r="E111" s="50">
        <f>VLOOKUP($A111,'Data shares'!$C:$FM,106)</f>
        <v>33.97</v>
      </c>
      <c r="F111" s="50">
        <f>VLOOKUP($A111,'Data shares'!$C:$FM,108)</f>
        <v>-10.85</v>
      </c>
      <c r="G111" s="50">
        <f t="shared" si="3"/>
        <v>0.6806005298793053</v>
      </c>
    </row>
    <row r="112" spans="1:7" x14ac:dyDescent="0.25">
      <c r="A112" s="49" t="str">
        <f>'Data shares'!C107</f>
        <v>JSWENERGY</v>
      </c>
      <c r="B112" s="50">
        <f>VLOOKUP($A112,'Data shares'!$C:$FM,102)</f>
        <v>27.18</v>
      </c>
      <c r="C112" s="50">
        <f>VLOOKUP($A112,'Data shares'!$C:$FM,110)</f>
        <v>27.67</v>
      </c>
      <c r="D112" s="50">
        <f>VLOOKUP($A112,'Data shares'!$C:$FM,114)</f>
        <v>26.44</v>
      </c>
      <c r="E112" s="50">
        <f>VLOOKUP($A112,'Data shares'!$C:$FM,106)</f>
        <v>43</v>
      </c>
      <c r="F112" s="50">
        <f>VLOOKUP($A112,'Data shares'!$C:$FM,108)</f>
        <v>-15.82</v>
      </c>
      <c r="G112" s="50">
        <f t="shared" si="3"/>
        <v>0.63209302325581396</v>
      </c>
    </row>
    <row r="113" spans="1:7" x14ac:dyDescent="0.25">
      <c r="A113" s="49" t="str">
        <f>'Data shares'!C108</f>
        <v>JSWSTEEL</v>
      </c>
      <c r="B113" s="50">
        <f>VLOOKUP($A113,'Data shares'!$C:$FM,102)</f>
        <v>22.03</v>
      </c>
      <c r="C113" s="50">
        <f>VLOOKUP($A113,'Data shares'!$C:$FM,110)</f>
        <v>22.51</v>
      </c>
      <c r="D113" s="50">
        <f>VLOOKUP($A113,'Data shares'!$C:$FM,114)</f>
        <v>20.83</v>
      </c>
      <c r="E113" s="50">
        <f>VLOOKUP($A113,'Data shares'!$C:$FM,106)</f>
        <v>29.29</v>
      </c>
      <c r="F113" s="50">
        <f>VLOOKUP($A113,'Data shares'!$C:$FM,108)</f>
        <v>-7.26</v>
      </c>
      <c r="G113" s="50">
        <f t="shared" si="3"/>
        <v>0.75213383407306256</v>
      </c>
    </row>
    <row r="114" spans="1:7" x14ac:dyDescent="0.25">
      <c r="A114" s="49" t="str">
        <f>'Data shares'!C109</f>
        <v>JUBLFOOD</v>
      </c>
      <c r="B114" s="50">
        <f>VLOOKUP($A114,'Data shares'!$C:$FM,102)</f>
        <v>24.78</v>
      </c>
      <c r="C114" s="50">
        <f>VLOOKUP($A114,'Data shares'!$C:$FM,110)</f>
        <v>25.13</v>
      </c>
      <c r="D114" s="50">
        <f>VLOOKUP($A114,'Data shares'!$C:$FM,114)</f>
        <v>24.14</v>
      </c>
      <c r="E114" s="50">
        <f>VLOOKUP($A114,'Data shares'!$C:$FM,106)</f>
        <v>33.76</v>
      </c>
      <c r="F114" s="50">
        <f>VLOOKUP($A114,'Data shares'!$C:$FM,108)</f>
        <v>-8.98</v>
      </c>
      <c r="G114" s="50">
        <f t="shared" si="3"/>
        <v>0.73400473933649302</v>
      </c>
    </row>
    <row r="115" spans="1:7" x14ac:dyDescent="0.25">
      <c r="A115" s="49" t="str">
        <f>'Data shares'!C110</f>
        <v>KALYANKJIL</v>
      </c>
      <c r="B115" s="50">
        <f>VLOOKUP($A115,'Data shares'!$C:$FM,102)</f>
        <v>28.04</v>
      </c>
      <c r="C115" s="50">
        <f>VLOOKUP($A115,'Data shares'!$C:$FM,110)</f>
        <v>28.42</v>
      </c>
      <c r="D115" s="50">
        <f>VLOOKUP($A115,'Data shares'!$C:$FM,114)</f>
        <v>26.8</v>
      </c>
      <c r="E115" s="50">
        <f>VLOOKUP($A115,'Data shares'!$C:$FM,106)</f>
        <v>48.02</v>
      </c>
      <c r="F115" s="50">
        <f>VLOOKUP($A115,'Data shares'!$C:$FM,108)</f>
        <v>-19.98</v>
      </c>
      <c r="G115" s="50">
        <f t="shared" si="3"/>
        <v>0.58392336526447308</v>
      </c>
    </row>
    <row r="116" spans="1:7" x14ac:dyDescent="0.25">
      <c r="A116" s="49" t="str">
        <f>'Data shares'!C111</f>
        <v>KAYNES</v>
      </c>
      <c r="B116" s="50">
        <f>VLOOKUP($A116,'Data shares'!$C:$FM,102)</f>
        <v>55.01</v>
      </c>
      <c r="C116" s="50">
        <f>VLOOKUP($A116,'Data shares'!$C:$FM,110)</f>
        <v>53.66</v>
      </c>
      <c r="D116" s="50">
        <f>VLOOKUP($A116,'Data shares'!$C:$FM,114)</f>
        <v>57.68</v>
      </c>
      <c r="E116" s="50">
        <f>VLOOKUP($A116,'Data shares'!$C:$FM,106)</f>
        <v>63.04</v>
      </c>
      <c r="F116" s="50">
        <f>VLOOKUP($A116,'Data shares'!$C:$FM,108)</f>
        <v>-8.0299999999999994</v>
      </c>
      <c r="G116" s="50">
        <f t="shared" si="3"/>
        <v>0.87262055837563446</v>
      </c>
    </row>
    <row r="117" spans="1:7" x14ac:dyDescent="0.25">
      <c r="A117" s="49" t="str">
        <f>'Data shares'!C112</f>
        <v>KEI</v>
      </c>
      <c r="B117" s="50">
        <f>VLOOKUP($A117,'Data shares'!$C:$FM,102)</f>
        <v>23.78</v>
      </c>
      <c r="C117" s="50">
        <f>VLOOKUP($A117,'Data shares'!$C:$FM,110)</f>
        <v>23.44</v>
      </c>
      <c r="D117" s="50">
        <f>VLOOKUP($A117,'Data shares'!$C:$FM,114)</f>
        <v>24.17</v>
      </c>
      <c r="E117" s="50">
        <f>VLOOKUP($A117,'Data shares'!$C:$FM,106)</f>
        <v>45.59</v>
      </c>
      <c r="F117" s="50">
        <f>VLOOKUP($A117,'Data shares'!$C:$FM,108)</f>
        <v>-21.81</v>
      </c>
      <c r="G117" s="50">
        <f t="shared" si="3"/>
        <v>0.52160561526650584</v>
      </c>
    </row>
    <row r="118" spans="1:7" x14ac:dyDescent="0.25">
      <c r="A118" s="49" t="str">
        <f>'Data shares'!C113</f>
        <v>KFINTECH</v>
      </c>
      <c r="B118" s="50">
        <f>VLOOKUP($A118,'Data shares'!$C:$FM,102)</f>
        <v>28.29</v>
      </c>
      <c r="C118" s="50">
        <f>VLOOKUP($A118,'Data shares'!$C:$FM,110)</f>
        <v>27.76</v>
      </c>
      <c r="D118" s="50">
        <f>VLOOKUP($A118,'Data shares'!$C:$FM,114)</f>
        <v>29.73</v>
      </c>
      <c r="E118" s="50">
        <f>VLOOKUP($A118,'Data shares'!$C:$FM,106)</f>
        <v>52.94</v>
      </c>
      <c r="F118" s="50">
        <f>VLOOKUP($A118,'Data shares'!$C:$FM,108)</f>
        <v>-24.65</v>
      </c>
      <c r="G118" s="50">
        <f t="shared" si="3"/>
        <v>0.53437854174537214</v>
      </c>
    </row>
    <row r="119" spans="1:7" x14ac:dyDescent="0.25">
      <c r="A119" s="49" t="str">
        <f>'Data shares'!C114</f>
        <v>KOTAKBANK</v>
      </c>
      <c r="B119" s="50">
        <f>VLOOKUP($A119,'Data shares'!$C:$FM,102)</f>
        <v>15.67</v>
      </c>
      <c r="C119" s="50">
        <f>VLOOKUP($A119,'Data shares'!$C:$FM,110)</f>
        <v>15.71</v>
      </c>
      <c r="D119" s="50">
        <f>VLOOKUP($A119,'Data shares'!$C:$FM,114)</f>
        <v>15.58</v>
      </c>
      <c r="E119" s="50">
        <f>VLOOKUP($A119,'Data shares'!$C:$FM,106)</f>
        <v>25.75</v>
      </c>
      <c r="F119" s="50">
        <f>VLOOKUP($A119,'Data shares'!$C:$FM,108)</f>
        <v>-10.08</v>
      </c>
      <c r="G119" s="50">
        <f t="shared" si="3"/>
        <v>0.60854368932038838</v>
      </c>
    </row>
    <row r="120" spans="1:7" x14ac:dyDescent="0.25">
      <c r="A120" s="49" t="str">
        <f>'Data shares'!C115</f>
        <v>KPITTECH</v>
      </c>
      <c r="B120" s="50">
        <f>VLOOKUP($A120,'Data shares'!$C:$FM,102)</f>
        <v>28.55</v>
      </c>
      <c r="C120" s="50">
        <f>VLOOKUP($A120,'Data shares'!$C:$FM,110)</f>
        <v>28.91</v>
      </c>
      <c r="D120" s="50">
        <f>VLOOKUP($A120,'Data shares'!$C:$FM,114)</f>
        <v>27.45</v>
      </c>
      <c r="E120" s="50">
        <f>VLOOKUP($A120,'Data shares'!$C:$FM,106)</f>
        <v>42.64</v>
      </c>
      <c r="F120" s="50">
        <f>VLOOKUP($A120,'Data shares'!$C:$FM,108)</f>
        <v>-14.09</v>
      </c>
      <c r="G120" s="50">
        <f t="shared" si="3"/>
        <v>0.6695590994371482</v>
      </c>
    </row>
    <row r="121" spans="1:7" x14ac:dyDescent="0.25">
      <c r="A121" s="49" t="str">
        <f>'Data shares'!C116</f>
        <v>LAURUSLABS</v>
      </c>
      <c r="B121" s="50">
        <f>VLOOKUP($A121,'Data shares'!$C:$FM,102)</f>
        <v>24.76</v>
      </c>
      <c r="C121" s="50">
        <f>VLOOKUP($A121,'Data shares'!$C:$FM,110)</f>
        <v>24.45</v>
      </c>
      <c r="D121" s="50">
        <f>VLOOKUP($A121,'Data shares'!$C:$FM,114)</f>
        <v>25.42</v>
      </c>
      <c r="E121" s="50">
        <f>VLOOKUP($A121,'Data shares'!$C:$FM,106)</f>
        <v>38.25</v>
      </c>
      <c r="F121" s="50">
        <f>VLOOKUP($A121,'Data shares'!$C:$FM,108)</f>
        <v>-13.49</v>
      </c>
      <c r="G121" s="50">
        <f t="shared" si="3"/>
        <v>0.64732026143790855</v>
      </c>
    </row>
    <row r="122" spans="1:7" x14ac:dyDescent="0.25">
      <c r="A122" s="49" t="str">
        <f>'Data shares'!C117</f>
        <v>LICHSGFIN</v>
      </c>
      <c r="B122" s="50">
        <f>VLOOKUP($A122,'Data shares'!$C:$FM,102)</f>
        <v>17.75</v>
      </c>
      <c r="C122" s="50">
        <f>VLOOKUP($A122,'Data shares'!$C:$FM,110)</f>
        <v>17.5</v>
      </c>
      <c r="D122" s="50">
        <f>VLOOKUP($A122,'Data shares'!$C:$FM,114)</f>
        <v>18.47</v>
      </c>
      <c r="E122" s="50">
        <f>VLOOKUP($A122,'Data shares'!$C:$FM,106)</f>
        <v>32.65</v>
      </c>
      <c r="F122" s="50">
        <f>VLOOKUP($A122,'Data shares'!$C:$FM,108)</f>
        <v>-14.9</v>
      </c>
      <c r="G122" s="50">
        <f t="shared" si="3"/>
        <v>0.54364471669218994</v>
      </c>
    </row>
    <row r="123" spans="1:7" x14ac:dyDescent="0.25">
      <c r="A123" s="49" t="str">
        <f>'Data shares'!C118</f>
        <v>LICI</v>
      </c>
      <c r="B123" s="50">
        <f>VLOOKUP($A123,'Data shares'!$C:$FM,102)</f>
        <v>18.690000000000001</v>
      </c>
      <c r="C123" s="50">
        <f>VLOOKUP($A123,'Data shares'!$C:$FM,110)</f>
        <v>19.37</v>
      </c>
      <c r="D123" s="50">
        <f>VLOOKUP($A123,'Data shares'!$C:$FM,114)</f>
        <v>17.48</v>
      </c>
      <c r="E123" s="50">
        <f>VLOOKUP($A123,'Data shares'!$C:$FM,106)</f>
        <v>30.46</v>
      </c>
      <c r="F123" s="50">
        <f>VLOOKUP($A123,'Data shares'!$C:$FM,108)</f>
        <v>-11.77</v>
      </c>
      <c r="G123" s="50">
        <f t="shared" si="3"/>
        <v>0.6135915955351281</v>
      </c>
    </row>
    <row r="124" spans="1:7" x14ac:dyDescent="0.25">
      <c r="A124" s="49" t="str">
        <f>'Data shares'!C119</f>
        <v>LODHA</v>
      </c>
      <c r="B124" s="50">
        <f>VLOOKUP($A124,'Data shares'!$C:$FM,102)</f>
        <v>26.63</v>
      </c>
      <c r="C124" s="50">
        <f>VLOOKUP($A124,'Data shares'!$C:$FM,110)</f>
        <v>26.87</v>
      </c>
      <c r="D124" s="50">
        <f>VLOOKUP($A124,'Data shares'!$C:$FM,114)</f>
        <v>25.94</v>
      </c>
      <c r="E124" s="50">
        <f>VLOOKUP($A124,'Data shares'!$C:$FM,106)</f>
        <v>43.9</v>
      </c>
      <c r="F124" s="50">
        <f>VLOOKUP($A124,'Data shares'!$C:$FM,108)</f>
        <v>-17.27</v>
      </c>
      <c r="G124" s="50">
        <f t="shared" si="3"/>
        <v>0.6066059225512529</v>
      </c>
    </row>
    <row r="125" spans="1:7" x14ac:dyDescent="0.25">
      <c r="A125" s="49" t="str">
        <f>'Data shares'!C120</f>
        <v>LT</v>
      </c>
      <c r="B125" s="50">
        <f>VLOOKUP($A125,'Data shares'!$C:$FM,102)</f>
        <v>14.38</v>
      </c>
      <c r="C125" s="50">
        <f>VLOOKUP($A125,'Data shares'!$C:$FM,110)</f>
        <v>14.48</v>
      </c>
      <c r="D125" s="50">
        <f>VLOOKUP($A125,'Data shares'!$C:$FM,114)</f>
        <v>14.2</v>
      </c>
      <c r="E125" s="50">
        <f>VLOOKUP($A125,'Data shares'!$C:$FM,106)</f>
        <v>26.04</v>
      </c>
      <c r="F125" s="50">
        <f>VLOOKUP($A125,'Data shares'!$C:$FM,108)</f>
        <v>-11.66</v>
      </c>
      <c r="G125" s="50">
        <f t="shared" si="3"/>
        <v>0.55222734254992323</v>
      </c>
    </row>
    <row r="126" spans="1:7" x14ac:dyDescent="0.25">
      <c r="A126" s="49" t="str">
        <f>'Data shares'!C121</f>
        <v>LTF</v>
      </c>
      <c r="B126" s="50">
        <f>VLOOKUP($A126,'Data shares'!$C:$FM,102)</f>
        <v>26.53</v>
      </c>
      <c r="C126" s="50">
        <f>VLOOKUP($A126,'Data shares'!$C:$FM,110)</f>
        <v>27.07</v>
      </c>
      <c r="D126" s="50">
        <f>VLOOKUP($A126,'Data shares'!$C:$FM,114)</f>
        <v>25.63</v>
      </c>
      <c r="E126" s="50">
        <f>VLOOKUP($A126,'Data shares'!$C:$FM,106)</f>
        <v>38.92</v>
      </c>
      <c r="F126" s="50">
        <f>VLOOKUP($A126,'Data shares'!$C:$FM,108)</f>
        <v>-12.39</v>
      </c>
      <c r="G126" s="50">
        <f t="shared" si="3"/>
        <v>0.68165467625899279</v>
      </c>
    </row>
    <row r="127" spans="1:7" x14ac:dyDescent="0.25">
      <c r="A127" s="49" t="str">
        <f>'Data shares'!C122</f>
        <v>LTIM</v>
      </c>
      <c r="B127" s="50">
        <f>VLOOKUP($A127,'Data shares'!$C:$FM,102)</f>
        <v>22.16</v>
      </c>
      <c r="C127" s="50">
        <f>VLOOKUP($A127,'Data shares'!$C:$FM,110)</f>
        <v>22.15</v>
      </c>
      <c r="D127" s="50">
        <f>VLOOKUP($A127,'Data shares'!$C:$FM,114)</f>
        <v>22.18</v>
      </c>
      <c r="E127" s="50">
        <f>VLOOKUP($A127,'Data shares'!$C:$FM,106)</f>
        <v>32.18</v>
      </c>
      <c r="F127" s="50">
        <f>VLOOKUP($A127,'Data shares'!$C:$FM,108)</f>
        <v>-10.02</v>
      </c>
      <c r="G127" s="50">
        <f t="shared" si="3"/>
        <v>0.68862647607209448</v>
      </c>
    </row>
    <row r="128" spans="1:7" x14ac:dyDescent="0.25">
      <c r="A128" s="49" t="str">
        <f>'Data shares'!C123</f>
        <v>LUPIN</v>
      </c>
      <c r="B128" s="50">
        <f>VLOOKUP($A128,'Data shares'!$C:$FM,102)</f>
        <v>18.62</v>
      </c>
      <c r="C128" s="50">
        <f>VLOOKUP($A128,'Data shares'!$C:$FM,110)</f>
        <v>18.12</v>
      </c>
      <c r="D128" s="50">
        <f>VLOOKUP($A128,'Data shares'!$C:$FM,114)</f>
        <v>19.84</v>
      </c>
      <c r="E128" s="50">
        <f>VLOOKUP($A128,'Data shares'!$C:$FM,106)</f>
        <v>30.27</v>
      </c>
      <c r="F128" s="50">
        <f>VLOOKUP($A128,'Data shares'!$C:$FM,108)</f>
        <v>-11.65</v>
      </c>
      <c r="G128" s="50">
        <f t="shared" si="3"/>
        <v>0.61513049223653782</v>
      </c>
    </row>
    <row r="129" spans="1:7" x14ac:dyDescent="0.25">
      <c r="A129" s="49" t="str">
        <f>'Data shares'!C124</f>
        <v>M&amp;M</v>
      </c>
      <c r="B129" s="50">
        <f>VLOOKUP($A129,'Data shares'!$C:$FM,102)</f>
        <v>20.57</v>
      </c>
      <c r="C129" s="50">
        <f>VLOOKUP($A129,'Data shares'!$C:$FM,110)</f>
        <v>20.85</v>
      </c>
      <c r="D129" s="50">
        <f>VLOOKUP($A129,'Data shares'!$C:$FM,114)</f>
        <v>20.16</v>
      </c>
      <c r="E129" s="50">
        <f>VLOOKUP($A129,'Data shares'!$C:$FM,106)</f>
        <v>32.11</v>
      </c>
      <c r="F129" s="50">
        <f>VLOOKUP($A129,'Data shares'!$C:$FM,108)</f>
        <v>-11.54</v>
      </c>
      <c r="G129" s="50">
        <f t="shared" si="3"/>
        <v>0.64061040174400496</v>
      </c>
    </row>
    <row r="130" spans="1:7" x14ac:dyDescent="0.25">
      <c r="A130" s="49" t="str">
        <f>'Data shares'!C125</f>
        <v>MANAPPURAM</v>
      </c>
      <c r="B130" s="50">
        <f>VLOOKUP($A130,'Data shares'!$C:$FM,102)</f>
        <v>24.99</v>
      </c>
      <c r="C130" s="50">
        <f>VLOOKUP($A130,'Data shares'!$C:$FM,110)</f>
        <v>25</v>
      </c>
      <c r="D130" s="50">
        <f>VLOOKUP($A130,'Data shares'!$C:$FM,114)</f>
        <v>24.97</v>
      </c>
      <c r="E130" s="50">
        <f>VLOOKUP($A130,'Data shares'!$C:$FM,106)</f>
        <v>40.54</v>
      </c>
      <c r="F130" s="50">
        <f>VLOOKUP($A130,'Data shares'!$C:$FM,108)</f>
        <v>-15.55</v>
      </c>
      <c r="G130" s="50">
        <f t="shared" si="3"/>
        <v>0.61642821904292056</v>
      </c>
    </row>
    <row r="131" spans="1:7" x14ac:dyDescent="0.25">
      <c r="A131" s="49" t="str">
        <f>'Data shares'!C126</f>
        <v>MANKIND</v>
      </c>
      <c r="B131" s="50">
        <f>VLOOKUP($A131,'Data shares'!$C:$FM,102)</f>
        <v>21.87</v>
      </c>
      <c r="C131" s="50">
        <f>VLOOKUP($A131,'Data shares'!$C:$FM,110)</f>
        <v>22.13</v>
      </c>
      <c r="D131" s="50">
        <f>VLOOKUP($A131,'Data shares'!$C:$FM,114)</f>
        <v>21.11</v>
      </c>
      <c r="E131" s="50">
        <f>VLOOKUP($A131,'Data shares'!$C:$FM,106)</f>
        <v>32.35</v>
      </c>
      <c r="F131" s="50">
        <f>VLOOKUP($A131,'Data shares'!$C:$FM,108)</f>
        <v>-10.48</v>
      </c>
      <c r="G131" s="50">
        <f t="shared" si="3"/>
        <v>0.67604327666151465</v>
      </c>
    </row>
    <row r="132" spans="1:7" x14ac:dyDescent="0.25">
      <c r="A132" s="49" t="str">
        <f>'Data shares'!C127</f>
        <v>MARICO</v>
      </c>
      <c r="B132" s="50">
        <f>VLOOKUP($A132,'Data shares'!$C:$FM,102)</f>
        <v>17.329999999999998</v>
      </c>
      <c r="C132" s="50">
        <f>VLOOKUP($A132,'Data shares'!$C:$FM,110)</f>
        <v>17.16</v>
      </c>
      <c r="D132" s="50">
        <f>VLOOKUP($A132,'Data shares'!$C:$FM,114)</f>
        <v>17.73</v>
      </c>
      <c r="E132" s="50">
        <f>VLOOKUP($A132,'Data shares'!$C:$FM,106)</f>
        <v>24.75</v>
      </c>
      <c r="F132" s="50">
        <f>VLOOKUP($A132,'Data shares'!$C:$FM,108)</f>
        <v>-7.42</v>
      </c>
      <c r="G132" s="50">
        <f t="shared" si="3"/>
        <v>0.70020202020202016</v>
      </c>
    </row>
    <row r="133" spans="1:7" x14ac:dyDescent="0.25">
      <c r="A133" s="49" t="str">
        <f>'Data shares'!C128</f>
        <v>MARUTI</v>
      </c>
      <c r="B133" s="50">
        <f>VLOOKUP($A133,'Data shares'!$C:$FM,102)</f>
        <v>15.64</v>
      </c>
      <c r="C133" s="50">
        <f>VLOOKUP($A133,'Data shares'!$C:$FM,110)</f>
        <v>15.05</v>
      </c>
      <c r="D133" s="50">
        <f>VLOOKUP($A133,'Data shares'!$C:$FM,114)</f>
        <v>16.170000000000002</v>
      </c>
      <c r="E133" s="50">
        <f>VLOOKUP($A133,'Data shares'!$C:$FM,106)</f>
        <v>24.55</v>
      </c>
      <c r="F133" s="50">
        <f>VLOOKUP($A133,'Data shares'!$C:$FM,108)</f>
        <v>-8.91</v>
      </c>
      <c r="G133" s="50">
        <f t="shared" si="3"/>
        <v>0.63706720977596742</v>
      </c>
    </row>
    <row r="134" spans="1:7" x14ac:dyDescent="0.25">
      <c r="A134" s="49" t="str">
        <f>'Data shares'!C129</f>
        <v>MAXHEALTH</v>
      </c>
      <c r="B134" s="50">
        <f>VLOOKUP($A134,'Data shares'!$C:$FM,102)</f>
        <v>25.33</v>
      </c>
      <c r="C134" s="50">
        <f>VLOOKUP($A134,'Data shares'!$C:$FM,110)</f>
        <v>25.24</v>
      </c>
      <c r="D134" s="50">
        <f>VLOOKUP($A134,'Data shares'!$C:$FM,114)</f>
        <v>25.57</v>
      </c>
      <c r="E134" s="50">
        <f>VLOOKUP($A134,'Data shares'!$C:$FM,106)</f>
        <v>39.28</v>
      </c>
      <c r="F134" s="50">
        <f>VLOOKUP($A134,'Data shares'!$C:$FM,108)</f>
        <v>-13.95</v>
      </c>
      <c r="G134" s="50">
        <f t="shared" si="3"/>
        <v>0.64485743380855387</v>
      </c>
    </row>
    <row r="135" spans="1:7" x14ac:dyDescent="0.25">
      <c r="A135" s="49" t="str">
        <f>'Data shares'!C130</f>
        <v>MAZDOCK</v>
      </c>
      <c r="B135" s="50">
        <f>VLOOKUP($A135,'Data shares'!$C:$FM,102)</f>
        <v>30.11</v>
      </c>
      <c r="C135" s="50">
        <f>VLOOKUP($A135,'Data shares'!$C:$FM,110)</f>
        <v>31.13</v>
      </c>
      <c r="D135" s="50">
        <f>VLOOKUP($A135,'Data shares'!$C:$FM,114)</f>
        <v>27.93</v>
      </c>
      <c r="E135" s="50">
        <f>VLOOKUP($A135,'Data shares'!$C:$FM,106)</f>
        <v>55.26</v>
      </c>
      <c r="F135" s="50">
        <f>VLOOKUP($A135,'Data shares'!$C:$FM,108)</f>
        <v>-25.15</v>
      </c>
      <c r="G135" s="50">
        <f t="shared" ref="G135:G166" si="4">B135/E135</f>
        <v>0.54487875497647487</v>
      </c>
    </row>
    <row r="136" spans="1:7" x14ac:dyDescent="0.25">
      <c r="A136" s="49" t="str">
        <f>'Data shares'!C131</f>
        <v>MCX</v>
      </c>
      <c r="B136" s="50">
        <f>VLOOKUP($A136,'Data shares'!$C:$FM,102)</f>
        <v>28.62</v>
      </c>
      <c r="C136" s="50">
        <f>VLOOKUP($A136,'Data shares'!$C:$FM,110)</f>
        <v>28.34</v>
      </c>
      <c r="D136" s="50">
        <f>VLOOKUP($A136,'Data shares'!$C:$FM,114)</f>
        <v>29.05</v>
      </c>
      <c r="E136" s="50">
        <f>VLOOKUP($A136,'Data shares'!$C:$FM,106)</f>
        <v>45.16</v>
      </c>
      <c r="F136" s="50">
        <f>VLOOKUP($A136,'Data shares'!$C:$FM,108)</f>
        <v>-16.54</v>
      </c>
      <c r="G136" s="50">
        <f t="shared" si="4"/>
        <v>0.63374667847652799</v>
      </c>
    </row>
    <row r="137" spans="1:7" x14ac:dyDescent="0.25">
      <c r="A137" s="49" t="str">
        <f>'Data shares'!C132</f>
        <v>MFSL</v>
      </c>
      <c r="B137" s="50">
        <f>VLOOKUP($A137,'Data shares'!$C:$FM,102)</f>
        <v>22.27</v>
      </c>
      <c r="C137" s="50">
        <f>VLOOKUP($A137,'Data shares'!$C:$FM,110)</f>
        <v>22.47</v>
      </c>
      <c r="D137" s="50">
        <f>VLOOKUP($A137,'Data shares'!$C:$FM,114)</f>
        <v>21.87</v>
      </c>
      <c r="E137" s="50">
        <f>VLOOKUP($A137,'Data shares'!$C:$FM,106)</f>
        <v>29.94</v>
      </c>
      <c r="F137" s="50">
        <f>VLOOKUP($A137,'Data shares'!$C:$FM,108)</f>
        <v>-7.67</v>
      </c>
      <c r="G137" s="50">
        <f t="shared" si="4"/>
        <v>0.74382097528390112</v>
      </c>
    </row>
    <row r="138" spans="1:7" x14ac:dyDescent="0.25">
      <c r="A138" s="49" t="str">
        <f>'Data shares'!C133</f>
        <v>MIDCPNIFTY</v>
      </c>
      <c r="B138" s="50">
        <f>VLOOKUP($A138,'Data shares'!$C:$FM,102)</f>
        <v>14.75</v>
      </c>
      <c r="C138" s="50">
        <f>VLOOKUP($A138,'Data shares'!$C:$FM,110)</f>
        <v>14.12</v>
      </c>
      <c r="D138" s="50">
        <f>VLOOKUP($A138,'Data shares'!$C:$FM,114)</f>
        <v>15.46</v>
      </c>
      <c r="E138" s="50">
        <f>VLOOKUP($A138,'Data shares'!$C:$FM,106)</f>
        <v>21.8</v>
      </c>
      <c r="F138" s="50">
        <f>VLOOKUP($A138,'Data shares'!$C:$FM,108)</f>
        <v>-7.05</v>
      </c>
      <c r="G138" s="50">
        <f t="shared" si="4"/>
        <v>0.67660550458715596</v>
      </c>
    </row>
    <row r="139" spans="1:7" x14ac:dyDescent="0.25">
      <c r="A139" s="49" t="str">
        <f>'Data shares'!C134</f>
        <v>MOTHERSON</v>
      </c>
      <c r="B139" s="50">
        <f>VLOOKUP($A139,'Data shares'!$C:$FM,102)</f>
        <v>25.99</v>
      </c>
      <c r="C139" s="50">
        <f>VLOOKUP($A139,'Data shares'!$C:$FM,110)</f>
        <v>26.02</v>
      </c>
      <c r="D139" s="50">
        <f>VLOOKUP($A139,'Data shares'!$C:$FM,114)</f>
        <v>25.94</v>
      </c>
      <c r="E139" s="50">
        <f>VLOOKUP($A139,'Data shares'!$C:$FM,106)</f>
        <v>39.01</v>
      </c>
      <c r="F139" s="50">
        <f>VLOOKUP($A139,'Data shares'!$C:$FM,108)</f>
        <v>-13.02</v>
      </c>
      <c r="G139" s="50">
        <f t="shared" si="4"/>
        <v>0.66623942578825945</v>
      </c>
    </row>
    <row r="140" spans="1:7" x14ac:dyDescent="0.25">
      <c r="A140" s="49" t="str">
        <f>'Data shares'!C135</f>
        <v>MPHASIS</v>
      </c>
      <c r="B140" s="50">
        <f>VLOOKUP($A140,'Data shares'!$C:$FM,102)</f>
        <v>25.3</v>
      </c>
      <c r="C140" s="50">
        <f>VLOOKUP($A140,'Data shares'!$C:$FM,110)</f>
        <v>25.15</v>
      </c>
      <c r="D140" s="50">
        <f>VLOOKUP($A140,'Data shares'!$C:$FM,114)</f>
        <v>25.96</v>
      </c>
      <c r="E140" s="50">
        <f>VLOOKUP($A140,'Data shares'!$C:$FM,106)</f>
        <v>35.92</v>
      </c>
      <c r="F140" s="50">
        <f>VLOOKUP($A140,'Data shares'!$C:$FM,108)</f>
        <v>-10.62</v>
      </c>
      <c r="G140" s="50">
        <f t="shared" si="4"/>
        <v>0.70434298440979959</v>
      </c>
    </row>
    <row r="141" spans="1:7" x14ac:dyDescent="0.25">
      <c r="A141" s="49" t="str">
        <f>'Data shares'!C136</f>
        <v>MUTHOOTFIN</v>
      </c>
      <c r="B141" s="50">
        <f>VLOOKUP($A141,'Data shares'!$C:$FM,102)</f>
        <v>23.18</v>
      </c>
      <c r="C141" s="50">
        <f>VLOOKUP($A141,'Data shares'!$C:$FM,110)</f>
        <v>23.01</v>
      </c>
      <c r="D141" s="50">
        <f>VLOOKUP($A141,'Data shares'!$C:$FM,114)</f>
        <v>23.43</v>
      </c>
      <c r="E141" s="50">
        <f>VLOOKUP($A141,'Data shares'!$C:$FM,106)</f>
        <v>36.270000000000003</v>
      </c>
      <c r="F141" s="50">
        <f>VLOOKUP($A141,'Data shares'!$C:$FM,108)</f>
        <v>-13.09</v>
      </c>
      <c r="G141" s="50">
        <f t="shared" si="4"/>
        <v>0.63909567135373579</v>
      </c>
    </row>
    <row r="142" spans="1:7" x14ac:dyDescent="0.25">
      <c r="A142" s="49" t="str">
        <f>'Data shares'!C137</f>
        <v>NATIONALUM</v>
      </c>
      <c r="B142" s="50">
        <f>VLOOKUP($A142,'Data shares'!$C:$FM,102)</f>
        <v>27.58</v>
      </c>
      <c r="C142" s="50">
        <f>VLOOKUP($A142,'Data shares'!$C:$FM,110)</f>
        <v>27.57</v>
      </c>
      <c r="D142" s="50">
        <f>VLOOKUP($A142,'Data shares'!$C:$FM,114)</f>
        <v>27.6</v>
      </c>
      <c r="E142" s="50">
        <f>VLOOKUP($A142,'Data shares'!$C:$FM,106)</f>
        <v>46.06</v>
      </c>
      <c r="F142" s="50">
        <f>VLOOKUP($A142,'Data shares'!$C:$FM,108)</f>
        <v>-18.48</v>
      </c>
      <c r="G142" s="50">
        <f t="shared" si="4"/>
        <v>0.59878419452887532</v>
      </c>
    </row>
    <row r="143" spans="1:7" x14ac:dyDescent="0.25">
      <c r="A143" s="49" t="str">
        <f>'Data shares'!C138</f>
        <v>NAUKRI</v>
      </c>
      <c r="B143" s="50">
        <f>VLOOKUP($A143,'Data shares'!$C:$FM,102)</f>
        <v>25.72</v>
      </c>
      <c r="C143" s="50">
        <f>VLOOKUP($A143,'Data shares'!$C:$FM,110)</f>
        <v>25.62</v>
      </c>
      <c r="D143" s="50">
        <f>VLOOKUP($A143,'Data shares'!$C:$FM,114)</f>
        <v>26.19</v>
      </c>
      <c r="E143" s="50">
        <f>VLOOKUP($A143,'Data shares'!$C:$FM,106)</f>
        <v>36.36</v>
      </c>
      <c r="F143" s="50">
        <f>VLOOKUP($A143,'Data shares'!$C:$FM,108)</f>
        <v>-10.64</v>
      </c>
      <c r="G143" s="50">
        <f t="shared" si="4"/>
        <v>0.70737073707370735</v>
      </c>
    </row>
    <row r="144" spans="1:7" x14ac:dyDescent="0.25">
      <c r="A144" s="49" t="str">
        <f>'Data shares'!C139</f>
        <v>NBCC</v>
      </c>
      <c r="B144" s="50">
        <f>VLOOKUP($A144,'Data shares'!$C:$FM,102)</f>
        <v>32.56</v>
      </c>
      <c r="C144" s="50">
        <f>VLOOKUP($A144,'Data shares'!$C:$FM,110)</f>
        <v>33.86</v>
      </c>
      <c r="D144" s="50">
        <f>VLOOKUP($A144,'Data shares'!$C:$FM,114)</f>
        <v>28.85</v>
      </c>
      <c r="E144" s="50">
        <f>VLOOKUP($A144,'Data shares'!$C:$FM,106)</f>
        <v>50.97</v>
      </c>
      <c r="F144" s="50">
        <f>VLOOKUP($A144,'Data shares'!$C:$FM,108)</f>
        <v>-18.41</v>
      </c>
      <c r="G144" s="50">
        <f t="shared" si="4"/>
        <v>0.63880714145575834</v>
      </c>
    </row>
    <row r="145" spans="1:7" x14ac:dyDescent="0.25">
      <c r="A145" s="49" t="str">
        <f>'Data shares'!C140</f>
        <v>NCC</v>
      </c>
      <c r="B145" s="50">
        <f>VLOOKUP($A145,'Data shares'!$C:$FM,102)</f>
        <v>31.09</v>
      </c>
      <c r="C145" s="50">
        <f>VLOOKUP($A145,'Data shares'!$C:$FM,110)</f>
        <v>32</v>
      </c>
      <c r="D145" s="50">
        <f>VLOOKUP($A145,'Data shares'!$C:$FM,114)</f>
        <v>29.44</v>
      </c>
      <c r="E145" s="50">
        <f>VLOOKUP($A145,'Data shares'!$C:$FM,106)</f>
        <v>44.97</v>
      </c>
      <c r="F145" s="50">
        <f>VLOOKUP($A145,'Data shares'!$C:$FM,108)</f>
        <v>-13.88</v>
      </c>
      <c r="G145" s="50">
        <f t="shared" si="4"/>
        <v>0.69134978874805431</v>
      </c>
    </row>
    <row r="146" spans="1:7" x14ac:dyDescent="0.25">
      <c r="A146" s="49" t="str">
        <f>'Data shares'!C141</f>
        <v>NESTLEIND</v>
      </c>
      <c r="B146" s="50">
        <f>VLOOKUP($A146,'Data shares'!$C:$FM,102)</f>
        <v>17.5</v>
      </c>
      <c r="C146" s="50">
        <f>VLOOKUP($A146,'Data shares'!$C:$FM,110)</f>
        <v>17.82</v>
      </c>
      <c r="D146" s="50">
        <f>VLOOKUP($A146,'Data shares'!$C:$FM,114)</f>
        <v>16.28</v>
      </c>
      <c r="E146" s="50">
        <f>VLOOKUP($A146,'Data shares'!$C:$FM,106)</f>
        <v>22.93</v>
      </c>
      <c r="F146" s="50">
        <f>VLOOKUP($A146,'Data shares'!$C:$FM,108)</f>
        <v>-5.43</v>
      </c>
      <c r="G146" s="50">
        <f t="shared" si="4"/>
        <v>0.76319232446576535</v>
      </c>
    </row>
    <row r="147" spans="1:7" x14ac:dyDescent="0.25">
      <c r="A147" s="49" t="str">
        <f>'Data shares'!C142</f>
        <v>NHPC</v>
      </c>
      <c r="B147" s="50">
        <f>VLOOKUP($A147,'Data shares'!$C:$FM,102)</f>
        <v>25.4</v>
      </c>
      <c r="C147" s="50">
        <f>VLOOKUP($A147,'Data shares'!$C:$FM,110)</f>
        <v>25.98</v>
      </c>
      <c r="D147" s="50">
        <f>VLOOKUP($A147,'Data shares'!$C:$FM,114)</f>
        <v>23.29</v>
      </c>
      <c r="E147" s="50">
        <f>VLOOKUP($A147,'Data shares'!$C:$FM,106)</f>
        <v>36.630000000000003</v>
      </c>
      <c r="F147" s="50">
        <f>VLOOKUP($A147,'Data shares'!$C:$FM,108)</f>
        <v>-11.23</v>
      </c>
      <c r="G147" s="50">
        <f t="shared" si="4"/>
        <v>0.69342069342069335</v>
      </c>
    </row>
    <row r="148" spans="1:7" x14ac:dyDescent="0.25">
      <c r="A148" s="49" t="str">
        <f>'Data shares'!C143</f>
        <v>NIFTY</v>
      </c>
      <c r="B148" s="50">
        <f>VLOOKUP($A148,'Data shares'!$C:$FM,102)</f>
        <v>9.4</v>
      </c>
      <c r="C148" s="50">
        <f>VLOOKUP($A148,'Data shares'!$C:$FM,110)</f>
        <v>9.1199999999999992</v>
      </c>
      <c r="D148" s="50">
        <f>VLOOKUP($A148,'Data shares'!$C:$FM,114)</f>
        <v>9.73</v>
      </c>
      <c r="E148" s="50">
        <f>VLOOKUP($A148,'Data shares'!$C:$FM,106)</f>
        <v>14.1</v>
      </c>
      <c r="F148" s="50">
        <f>VLOOKUP($A148,'Data shares'!$C:$FM,108)</f>
        <v>-4.7</v>
      </c>
      <c r="G148" s="50">
        <f t="shared" si="4"/>
        <v>0.66666666666666674</v>
      </c>
    </row>
    <row r="149" spans="1:7" x14ac:dyDescent="0.25">
      <c r="A149" s="49" t="str">
        <f>'Data shares'!C144</f>
        <v>NIFTYNXT50</v>
      </c>
      <c r="B149" s="50">
        <f>VLOOKUP($A149,'Data shares'!$C:$FM,102)</f>
        <v>13.51</v>
      </c>
      <c r="C149" s="50">
        <f>VLOOKUP($A149,'Data shares'!$C:$FM,110)</f>
        <v>13.35</v>
      </c>
      <c r="D149" s="50">
        <f>VLOOKUP($A149,'Data shares'!$C:$FM,114)</f>
        <v>13.75</v>
      </c>
      <c r="E149" s="50">
        <f>VLOOKUP($A149,'Data shares'!$C:$FM,106)</f>
        <v>19.899999999999999</v>
      </c>
      <c r="F149" s="50">
        <f>VLOOKUP($A149,'Data shares'!$C:$FM,108)</f>
        <v>-6.39</v>
      </c>
      <c r="G149" s="50">
        <f t="shared" si="4"/>
        <v>0.67889447236180911</v>
      </c>
    </row>
    <row r="150" spans="1:7" x14ac:dyDescent="0.25">
      <c r="A150" s="49" t="str">
        <f>'Data shares'!C145</f>
        <v>NMDC</v>
      </c>
      <c r="B150" s="50">
        <f>VLOOKUP($A150,'Data shares'!$C:$FM,102)</f>
        <v>23.41</v>
      </c>
      <c r="C150" s="50">
        <f>VLOOKUP($A150,'Data shares'!$C:$FM,110)</f>
        <v>23.52</v>
      </c>
      <c r="D150" s="50">
        <f>VLOOKUP($A150,'Data shares'!$C:$FM,114)</f>
        <v>23.2</v>
      </c>
      <c r="E150" s="50">
        <f>VLOOKUP($A150,'Data shares'!$C:$FM,106)</f>
        <v>37.15</v>
      </c>
      <c r="F150" s="50">
        <f>VLOOKUP($A150,'Data shares'!$C:$FM,108)</f>
        <v>-13.74</v>
      </c>
      <c r="G150" s="50">
        <f t="shared" si="4"/>
        <v>0.63014804845222072</v>
      </c>
    </row>
    <row r="151" spans="1:7" x14ac:dyDescent="0.25">
      <c r="A151" s="49" t="str">
        <f>'Data shares'!C146</f>
        <v>NTPC</v>
      </c>
      <c r="B151" s="50">
        <f>VLOOKUP($A151,'Data shares'!$C:$FM,102)</f>
        <v>14.75</v>
      </c>
      <c r="C151" s="50">
        <f>VLOOKUP($A151,'Data shares'!$C:$FM,110)</f>
        <v>14.77</v>
      </c>
      <c r="D151" s="50">
        <f>VLOOKUP($A151,'Data shares'!$C:$FM,114)</f>
        <v>14.71</v>
      </c>
      <c r="E151" s="50">
        <f>VLOOKUP($A151,'Data shares'!$C:$FM,106)</f>
        <v>26.66</v>
      </c>
      <c r="F151" s="50">
        <f>VLOOKUP($A151,'Data shares'!$C:$FM,108)</f>
        <v>-11.91</v>
      </c>
      <c r="G151" s="50">
        <f t="shared" si="4"/>
        <v>0.55326331582895727</v>
      </c>
    </row>
    <row r="152" spans="1:7" x14ac:dyDescent="0.25">
      <c r="A152" s="49" t="str">
        <f>'Data shares'!C147</f>
        <v>NUVAMA</v>
      </c>
      <c r="B152" s="50">
        <f>VLOOKUP($A152,'Data shares'!$C:$FM,102)</f>
        <v>31.05</v>
      </c>
      <c r="C152" s="50">
        <f>VLOOKUP($A152,'Data shares'!$C:$FM,110)</f>
        <v>30.6</v>
      </c>
      <c r="D152" s="50">
        <f>VLOOKUP($A152,'Data shares'!$C:$FM,114)</f>
        <v>32.49</v>
      </c>
      <c r="E152" s="50">
        <f>VLOOKUP($A152,'Data shares'!$C:$FM,106)</f>
        <v>48.89</v>
      </c>
      <c r="F152" s="50">
        <f>VLOOKUP($A152,'Data shares'!$C:$FM,108)</f>
        <v>-17.84</v>
      </c>
      <c r="G152" s="50">
        <f t="shared" si="4"/>
        <v>0.63509920229085703</v>
      </c>
    </row>
    <row r="153" spans="1:7" x14ac:dyDescent="0.25">
      <c r="A153" s="49" t="str">
        <f>'Data shares'!C148</f>
        <v>NYKAA</v>
      </c>
      <c r="B153" s="50">
        <f>VLOOKUP($A153,'Data shares'!$C:$FM,102)</f>
        <v>24.89</v>
      </c>
      <c r="C153" s="50">
        <f>VLOOKUP($A153,'Data shares'!$C:$FM,110)</f>
        <v>25.68</v>
      </c>
      <c r="D153" s="50">
        <f>VLOOKUP($A153,'Data shares'!$C:$FM,114)</f>
        <v>23.14</v>
      </c>
      <c r="E153" s="50">
        <f>VLOOKUP($A153,'Data shares'!$C:$FM,106)</f>
        <v>35.99</v>
      </c>
      <c r="F153" s="50">
        <f>VLOOKUP($A153,'Data shares'!$C:$FM,108)</f>
        <v>-11.1</v>
      </c>
      <c r="G153" s="50">
        <f t="shared" si="4"/>
        <v>0.69158099472075574</v>
      </c>
    </row>
    <row r="154" spans="1:7" x14ac:dyDescent="0.25">
      <c r="A154" s="49" t="str">
        <f>'Data shares'!C149</f>
        <v>OBEROIRLTY</v>
      </c>
      <c r="B154" s="50">
        <f>VLOOKUP($A154,'Data shares'!$C:$FM,102)</f>
        <v>24.17</v>
      </c>
      <c r="C154" s="50">
        <f>VLOOKUP($A154,'Data shares'!$C:$FM,110)</f>
        <v>23.45</v>
      </c>
      <c r="D154" s="50">
        <f>VLOOKUP($A154,'Data shares'!$C:$FM,114)</f>
        <v>25.42</v>
      </c>
      <c r="E154" s="50">
        <f>VLOOKUP($A154,'Data shares'!$C:$FM,106)</f>
        <v>36.909999999999997</v>
      </c>
      <c r="F154" s="50">
        <f>VLOOKUP($A154,'Data shares'!$C:$FM,108)</f>
        <v>-12.74</v>
      </c>
      <c r="G154" s="50">
        <f t="shared" si="4"/>
        <v>0.65483608778108926</v>
      </c>
    </row>
    <row r="155" spans="1:7" x14ac:dyDescent="0.25">
      <c r="A155" s="49" t="str">
        <f>'Data shares'!C150</f>
        <v>OFSS</v>
      </c>
      <c r="B155" s="50">
        <f>VLOOKUP($A155,'Data shares'!$C:$FM,102)</f>
        <v>27.7</v>
      </c>
      <c r="C155" s="50">
        <f>VLOOKUP($A155,'Data shares'!$C:$FM,110)</f>
        <v>27.8</v>
      </c>
      <c r="D155" s="50">
        <f>VLOOKUP($A155,'Data shares'!$C:$FM,114)</f>
        <v>27.58</v>
      </c>
      <c r="E155" s="50">
        <f>VLOOKUP($A155,'Data shares'!$C:$FM,106)</f>
        <v>38.93</v>
      </c>
      <c r="F155" s="50">
        <f>VLOOKUP($A155,'Data shares'!$C:$FM,108)</f>
        <v>-11.23</v>
      </c>
      <c r="G155" s="50">
        <f t="shared" si="4"/>
        <v>0.71153352170562545</v>
      </c>
    </row>
    <row r="156" spans="1:7" x14ac:dyDescent="0.25">
      <c r="A156" s="49" t="str">
        <f>'Data shares'!C151</f>
        <v>OIL</v>
      </c>
      <c r="B156" s="50">
        <f>VLOOKUP($A156,'Data shares'!$C:$FM,102)</f>
        <v>21.57</v>
      </c>
      <c r="C156" s="50">
        <f>VLOOKUP($A156,'Data shares'!$C:$FM,110)</f>
        <v>21.22</v>
      </c>
      <c r="D156" s="50">
        <f>VLOOKUP($A156,'Data shares'!$C:$FM,114)</f>
        <v>22.75</v>
      </c>
      <c r="E156" s="50">
        <f>VLOOKUP($A156,'Data shares'!$C:$FM,106)</f>
        <v>41.22</v>
      </c>
      <c r="F156" s="50">
        <f>VLOOKUP($A156,'Data shares'!$C:$FM,108)</f>
        <v>-19.649999999999999</v>
      </c>
      <c r="G156" s="50">
        <f t="shared" si="4"/>
        <v>0.52328966521106257</v>
      </c>
    </row>
    <row r="157" spans="1:7" x14ac:dyDescent="0.25">
      <c r="A157" s="49" t="str">
        <f>'Data shares'!C152</f>
        <v>ONGC</v>
      </c>
      <c r="B157" s="50">
        <f>VLOOKUP($A157,'Data shares'!$C:$FM,102)</f>
        <v>17.75</v>
      </c>
      <c r="C157" s="50">
        <f>VLOOKUP($A157,'Data shares'!$C:$FM,110)</f>
        <v>17.579999999999998</v>
      </c>
      <c r="D157" s="50">
        <f>VLOOKUP($A157,'Data shares'!$C:$FM,114)</f>
        <v>18.079999999999998</v>
      </c>
      <c r="E157" s="50">
        <f>VLOOKUP($A157,'Data shares'!$C:$FM,106)</f>
        <v>29.93</v>
      </c>
      <c r="F157" s="50">
        <f>VLOOKUP($A157,'Data shares'!$C:$FM,108)</f>
        <v>-12.18</v>
      </c>
      <c r="G157" s="50">
        <f t="shared" si="4"/>
        <v>0.59305045105245568</v>
      </c>
    </row>
    <row r="158" spans="1:7" x14ac:dyDescent="0.25">
      <c r="A158" s="49" t="str">
        <f>'Data shares'!C153</f>
        <v>PAGEIND</v>
      </c>
      <c r="B158" s="50">
        <f>VLOOKUP($A158,'Data shares'!$C:$FM,102)</f>
        <v>29.86</v>
      </c>
      <c r="C158" s="50">
        <f>VLOOKUP($A158,'Data shares'!$C:$FM,110)</f>
        <v>25.31</v>
      </c>
      <c r="D158" s="50">
        <f>VLOOKUP($A158,'Data shares'!$C:$FM,114)</f>
        <v>34.56</v>
      </c>
      <c r="E158" s="50">
        <f>VLOOKUP($A158,'Data shares'!$C:$FM,106)</f>
        <v>27.8</v>
      </c>
      <c r="F158" s="50">
        <f>VLOOKUP($A158,'Data shares'!$C:$FM,108)</f>
        <v>2.06</v>
      </c>
      <c r="G158" s="50">
        <f t="shared" si="4"/>
        <v>1.0741007194244603</v>
      </c>
    </row>
    <row r="159" spans="1:7" x14ac:dyDescent="0.25">
      <c r="A159" s="49" t="str">
        <f>'Data shares'!C154</f>
        <v>PATANJALI</v>
      </c>
      <c r="B159" s="50">
        <f>VLOOKUP($A159,'Data shares'!$C:$FM,102)</f>
        <v>25.36</v>
      </c>
      <c r="C159" s="50">
        <f>VLOOKUP($A159,'Data shares'!$C:$FM,110)</f>
        <v>25.7</v>
      </c>
      <c r="D159" s="50">
        <f>VLOOKUP($A159,'Data shares'!$C:$FM,114)</f>
        <v>24.62</v>
      </c>
      <c r="E159" s="50">
        <f>VLOOKUP($A159,'Data shares'!$C:$FM,106)</f>
        <v>33.46</v>
      </c>
      <c r="F159" s="50">
        <f>VLOOKUP($A159,'Data shares'!$C:$FM,108)</f>
        <v>-8.1</v>
      </c>
      <c r="G159" s="50">
        <f t="shared" si="4"/>
        <v>0.75791990436341894</v>
      </c>
    </row>
    <row r="160" spans="1:7" x14ac:dyDescent="0.25">
      <c r="A160" s="49" t="str">
        <f>'Data shares'!C155</f>
        <v>PAYTM</v>
      </c>
      <c r="B160" s="50">
        <f>VLOOKUP($A160,'Data shares'!$C:$FM,102)</f>
        <v>28.06</v>
      </c>
      <c r="C160" s="50">
        <f>VLOOKUP($A160,'Data shares'!$C:$FM,110)</f>
        <v>27.89</v>
      </c>
      <c r="D160" s="50">
        <f>VLOOKUP($A160,'Data shares'!$C:$FM,114)</f>
        <v>28.43</v>
      </c>
      <c r="E160" s="50">
        <f>VLOOKUP($A160,'Data shares'!$C:$FM,106)</f>
        <v>52.27</v>
      </c>
      <c r="F160" s="50">
        <f>VLOOKUP($A160,'Data shares'!$C:$FM,108)</f>
        <v>-24.21</v>
      </c>
      <c r="G160" s="50">
        <f t="shared" si="4"/>
        <v>0.5368280084178304</v>
      </c>
    </row>
    <row r="161" spans="1:7" x14ac:dyDescent="0.25">
      <c r="A161" s="49" t="str">
        <f>'Data shares'!C156</f>
        <v>PERSISTENT</v>
      </c>
      <c r="B161" s="50">
        <f>VLOOKUP($A161,'Data shares'!$C:$FM,102)</f>
        <v>27.28</v>
      </c>
      <c r="C161" s="50">
        <f>VLOOKUP($A161,'Data shares'!$C:$FM,110)</f>
        <v>26.68</v>
      </c>
      <c r="D161" s="50">
        <f>VLOOKUP($A161,'Data shares'!$C:$FM,114)</f>
        <v>28.55</v>
      </c>
      <c r="E161" s="50">
        <f>VLOOKUP($A161,'Data shares'!$C:$FM,106)</f>
        <v>40.1</v>
      </c>
      <c r="F161" s="50">
        <f>VLOOKUP($A161,'Data shares'!$C:$FM,108)</f>
        <v>-12.82</v>
      </c>
      <c r="G161" s="50">
        <f t="shared" si="4"/>
        <v>0.68029925187032414</v>
      </c>
    </row>
    <row r="162" spans="1:7" x14ac:dyDescent="0.25">
      <c r="A162" s="49" t="str">
        <f>'Data shares'!C157</f>
        <v>PETRONET</v>
      </c>
      <c r="B162" s="50">
        <f>VLOOKUP($A162,'Data shares'!$C:$FM,102)</f>
        <v>20.059999999999999</v>
      </c>
      <c r="C162" s="50">
        <f>VLOOKUP($A162,'Data shares'!$C:$FM,110)</f>
        <v>19.989999999999998</v>
      </c>
      <c r="D162" s="50">
        <f>VLOOKUP($A162,'Data shares'!$C:$FM,114)</f>
        <v>20.190000000000001</v>
      </c>
      <c r="E162" s="50">
        <f>VLOOKUP($A162,'Data shares'!$C:$FM,106)</f>
        <v>31.19</v>
      </c>
      <c r="F162" s="50">
        <f>VLOOKUP($A162,'Data shares'!$C:$FM,108)</f>
        <v>-11.13</v>
      </c>
      <c r="G162" s="50">
        <f t="shared" si="4"/>
        <v>0.64315485732606603</v>
      </c>
    </row>
    <row r="163" spans="1:7" x14ac:dyDescent="0.25">
      <c r="A163" s="49" t="str">
        <f>'Data shares'!C158</f>
        <v>PFC</v>
      </c>
      <c r="B163" s="50">
        <f>VLOOKUP($A163,'Data shares'!$C:$FM,102)</f>
        <v>21.63</v>
      </c>
      <c r="C163" s="50">
        <f>VLOOKUP($A163,'Data shares'!$C:$FM,110)</f>
        <v>21.88</v>
      </c>
      <c r="D163" s="50">
        <f>VLOOKUP($A163,'Data shares'!$C:$FM,114)</f>
        <v>21.02</v>
      </c>
      <c r="E163" s="50">
        <f>VLOOKUP($A163,'Data shares'!$C:$FM,106)</f>
        <v>41.34</v>
      </c>
      <c r="F163" s="50">
        <f>VLOOKUP($A163,'Data shares'!$C:$FM,108)</f>
        <v>-19.71</v>
      </c>
      <c r="G163" s="50">
        <f t="shared" si="4"/>
        <v>0.52322206095790991</v>
      </c>
    </row>
    <row r="164" spans="1:7" x14ac:dyDescent="0.25">
      <c r="A164" s="49" t="str">
        <f>'Data shares'!C159</f>
        <v>PGEL</v>
      </c>
      <c r="B164" s="50">
        <f>VLOOKUP($A164,'Data shares'!$C:$FM,102)</f>
        <v>36.130000000000003</v>
      </c>
      <c r="C164" s="50">
        <f>VLOOKUP($A164,'Data shares'!$C:$FM,110)</f>
        <v>36.26</v>
      </c>
      <c r="D164" s="50">
        <f>VLOOKUP($A164,'Data shares'!$C:$FM,114)</f>
        <v>35.76</v>
      </c>
      <c r="E164" s="50">
        <f>VLOOKUP($A164,'Data shares'!$C:$FM,106)</f>
        <v>66.12</v>
      </c>
      <c r="F164" s="50">
        <f>VLOOKUP($A164,'Data shares'!$C:$FM,108)</f>
        <v>-29.99</v>
      </c>
      <c r="G164" s="50">
        <f t="shared" si="4"/>
        <v>0.54643073200241987</v>
      </c>
    </row>
    <row r="165" spans="1:7" x14ac:dyDescent="0.25">
      <c r="A165" s="49" t="str">
        <f>'Data shares'!C160</f>
        <v>PHOENIXLTD</v>
      </c>
      <c r="B165" s="50">
        <f>VLOOKUP($A165,'Data shares'!$C:$FM,102)</f>
        <v>21.86</v>
      </c>
      <c r="C165" s="50">
        <f>VLOOKUP($A165,'Data shares'!$C:$FM,110)</f>
        <v>20.63</v>
      </c>
      <c r="D165" s="50">
        <f>VLOOKUP($A165,'Data shares'!$C:$FM,114)</f>
        <v>25.23</v>
      </c>
      <c r="E165" s="50">
        <f>VLOOKUP($A165,'Data shares'!$C:$FM,106)</f>
        <v>41.14</v>
      </c>
      <c r="F165" s="50">
        <f>VLOOKUP($A165,'Data shares'!$C:$FM,108)</f>
        <v>-19.28</v>
      </c>
      <c r="G165" s="50">
        <f t="shared" si="4"/>
        <v>0.53135634419056876</v>
      </c>
    </row>
    <row r="166" spans="1:7" x14ac:dyDescent="0.25">
      <c r="A166" s="49" t="str">
        <f>'Data shares'!C161</f>
        <v>PIDILITIND</v>
      </c>
      <c r="B166" s="50">
        <f>VLOOKUP($A166,'Data shares'!$C:$FM,102)</f>
        <v>16.02</v>
      </c>
      <c r="C166" s="50">
        <f>VLOOKUP($A166,'Data shares'!$C:$FM,110)</f>
        <v>15.83</v>
      </c>
      <c r="D166" s="50">
        <f>VLOOKUP($A166,'Data shares'!$C:$FM,114)</f>
        <v>16.420000000000002</v>
      </c>
      <c r="E166" s="50">
        <f>VLOOKUP($A166,'Data shares'!$C:$FM,106)</f>
        <v>21.32</v>
      </c>
      <c r="F166" s="50">
        <f>VLOOKUP($A166,'Data shares'!$C:$FM,108)</f>
        <v>-5.3</v>
      </c>
      <c r="G166" s="50">
        <f t="shared" si="4"/>
        <v>0.75140712945590993</v>
      </c>
    </row>
    <row r="167" spans="1:7" x14ac:dyDescent="0.25">
      <c r="A167" s="49" t="str">
        <f>'Data shares'!C162</f>
        <v>PIIND</v>
      </c>
      <c r="B167" s="50">
        <f>VLOOKUP($A167,'Data shares'!$C:$FM,102)</f>
        <v>23.47</v>
      </c>
      <c r="C167" s="50">
        <f>VLOOKUP($A167,'Data shares'!$C:$FM,110)</f>
        <v>22.8</v>
      </c>
      <c r="D167" s="50">
        <f>VLOOKUP($A167,'Data shares'!$C:$FM,114)</f>
        <v>24.32</v>
      </c>
      <c r="E167" s="50">
        <f>VLOOKUP($A167,'Data shares'!$C:$FM,106)</f>
        <v>29.35</v>
      </c>
      <c r="F167" s="50">
        <f>VLOOKUP($A167,'Data shares'!$C:$FM,108)</f>
        <v>-5.88</v>
      </c>
      <c r="G167" s="50">
        <f t="shared" ref="G167:G189" si="5">B167/E167</f>
        <v>0.79965928449744461</v>
      </c>
    </row>
    <row r="168" spans="1:7" x14ac:dyDescent="0.25">
      <c r="A168" s="49" t="str">
        <f>'Data shares'!C163</f>
        <v>PNB</v>
      </c>
      <c r="B168" s="50">
        <f>VLOOKUP($A168,'Data shares'!$C:$FM,102)</f>
        <v>23.19</v>
      </c>
      <c r="C168" s="50">
        <f>VLOOKUP($A168,'Data shares'!$C:$FM,110)</f>
        <v>23.43</v>
      </c>
      <c r="D168" s="50">
        <f>VLOOKUP($A168,'Data shares'!$C:$FM,114)</f>
        <v>22.71</v>
      </c>
      <c r="E168" s="50">
        <f>VLOOKUP($A168,'Data shares'!$C:$FM,106)</f>
        <v>35.81</v>
      </c>
      <c r="F168" s="50">
        <f>VLOOKUP($A168,'Data shares'!$C:$FM,108)</f>
        <v>-12.62</v>
      </c>
      <c r="G168" s="50">
        <f t="shared" si="5"/>
        <v>0.64758447361072324</v>
      </c>
    </row>
    <row r="169" spans="1:7" x14ac:dyDescent="0.25">
      <c r="A169" s="49" t="str">
        <f>'Data shares'!C164</f>
        <v>PNBHOUSING</v>
      </c>
      <c r="B169" s="50">
        <f>VLOOKUP($A169,'Data shares'!$C:$FM,102)</f>
        <v>27.79</v>
      </c>
      <c r="C169" s="50">
        <f>VLOOKUP($A169,'Data shares'!$C:$FM,110)</f>
        <v>28.47</v>
      </c>
      <c r="D169" s="50">
        <f>VLOOKUP($A169,'Data shares'!$C:$FM,114)</f>
        <v>26.5</v>
      </c>
      <c r="E169" s="50">
        <f>VLOOKUP($A169,'Data shares'!$C:$FM,106)</f>
        <v>46.22</v>
      </c>
      <c r="F169" s="50">
        <f>VLOOKUP($A169,'Data shares'!$C:$FM,108)</f>
        <v>-18.43</v>
      </c>
      <c r="G169" s="50">
        <f t="shared" si="5"/>
        <v>0.60125486802250105</v>
      </c>
    </row>
    <row r="170" spans="1:7" x14ac:dyDescent="0.25">
      <c r="A170" s="49" t="str">
        <f>'Data shares'!C165</f>
        <v>POLICYBZR</v>
      </c>
      <c r="B170" s="50">
        <f>VLOOKUP($A170,'Data shares'!$C:$FM,102)</f>
        <v>29.98</v>
      </c>
      <c r="C170" s="50">
        <f>VLOOKUP($A170,'Data shares'!$C:$FM,110)</f>
        <v>28.78</v>
      </c>
      <c r="D170" s="50">
        <f>VLOOKUP($A170,'Data shares'!$C:$FM,114)</f>
        <v>31.96</v>
      </c>
      <c r="E170" s="50">
        <f>VLOOKUP($A170,'Data shares'!$C:$FM,106)</f>
        <v>47.07</v>
      </c>
      <c r="F170" s="50">
        <f>VLOOKUP($A170,'Data shares'!$C:$FM,108)</f>
        <v>-17.09</v>
      </c>
      <c r="G170" s="50">
        <f t="shared" si="5"/>
        <v>0.63692373061397922</v>
      </c>
    </row>
    <row r="171" spans="1:7" x14ac:dyDescent="0.25">
      <c r="A171" s="49" t="str">
        <f>'Data shares'!C166</f>
        <v>POLYCAB</v>
      </c>
      <c r="B171" s="50">
        <f>VLOOKUP($A171,'Data shares'!$C:$FM,102)</f>
        <v>23.97</v>
      </c>
      <c r="C171" s="50">
        <f>VLOOKUP($A171,'Data shares'!$C:$FM,110)</f>
        <v>23.25</v>
      </c>
      <c r="D171" s="50">
        <f>VLOOKUP($A171,'Data shares'!$C:$FM,114)</f>
        <v>24.88</v>
      </c>
      <c r="E171" s="50">
        <f>VLOOKUP($A171,'Data shares'!$C:$FM,106)</f>
        <v>38.69</v>
      </c>
      <c r="F171" s="50">
        <f>VLOOKUP($A171,'Data shares'!$C:$FM,108)</f>
        <v>-14.72</v>
      </c>
      <c r="G171" s="50">
        <f t="shared" si="5"/>
        <v>0.61953993279917297</v>
      </c>
    </row>
    <row r="172" spans="1:7" x14ac:dyDescent="0.25">
      <c r="A172" s="49" t="str">
        <f>'Data shares'!C167</f>
        <v>POWERGRID</v>
      </c>
      <c r="B172" s="50">
        <f>VLOOKUP($A172,'Data shares'!$C:$FM,102)</f>
        <v>17.93</v>
      </c>
      <c r="C172" s="50">
        <f>VLOOKUP($A172,'Data shares'!$C:$FM,110)</f>
        <v>18.170000000000002</v>
      </c>
      <c r="D172" s="50">
        <f>VLOOKUP($A172,'Data shares'!$C:$FM,114)</f>
        <v>17.440000000000001</v>
      </c>
      <c r="E172" s="50">
        <f>VLOOKUP($A172,'Data shares'!$C:$FM,106)</f>
        <v>27.75</v>
      </c>
      <c r="F172" s="50">
        <f>VLOOKUP($A172,'Data shares'!$C:$FM,108)</f>
        <v>-9.82</v>
      </c>
      <c r="G172" s="50">
        <f t="shared" si="5"/>
        <v>0.64612612612612608</v>
      </c>
    </row>
    <row r="173" spans="1:7" x14ac:dyDescent="0.25">
      <c r="A173" s="49" t="str">
        <f>'Data shares'!C168</f>
        <v>POWERINDIA</v>
      </c>
      <c r="B173" s="50">
        <f>VLOOKUP($A173,'Data shares'!$C:$FM,102)</f>
        <v>37.299999999999997</v>
      </c>
      <c r="C173" s="50">
        <f>VLOOKUP($A173,'Data shares'!$C:$FM,110)</f>
        <v>39.76</v>
      </c>
      <c r="D173" s="50">
        <f>VLOOKUP($A173,'Data shares'!$C:$FM,114)</f>
        <v>34.17</v>
      </c>
      <c r="E173" s="50">
        <f>VLOOKUP($A173,'Data shares'!$C:$FM,106)</f>
        <v>58.51</v>
      </c>
      <c r="F173" s="50">
        <f>VLOOKUP($A173,'Data shares'!$C:$FM,108)</f>
        <v>-21.21</v>
      </c>
      <c r="G173" s="50">
        <f t="shared" si="5"/>
        <v>0.6374978636130576</v>
      </c>
    </row>
    <row r="174" spans="1:7" x14ac:dyDescent="0.25">
      <c r="A174" s="49" t="str">
        <f>'Data shares'!C169</f>
        <v>PPLPHARMA</v>
      </c>
      <c r="B174" s="50">
        <f>VLOOKUP($A174,'Data shares'!$C:$FM,102)</f>
        <v>27.59</v>
      </c>
      <c r="C174" s="50">
        <f>VLOOKUP($A174,'Data shares'!$C:$FM,110)</f>
        <v>28.25</v>
      </c>
      <c r="D174" s="50">
        <f>VLOOKUP($A174,'Data shares'!$C:$FM,114)</f>
        <v>25.11</v>
      </c>
      <c r="E174" s="50">
        <f>VLOOKUP($A174,'Data shares'!$C:$FM,106)</f>
        <v>43.63</v>
      </c>
      <c r="F174" s="50">
        <f>VLOOKUP($A174,'Data shares'!$C:$FM,108)</f>
        <v>-16.04</v>
      </c>
      <c r="G174" s="50">
        <f t="shared" si="5"/>
        <v>0.6323630529452211</v>
      </c>
    </row>
    <row r="175" spans="1:7" x14ac:dyDescent="0.25">
      <c r="A175" s="49" t="str">
        <f>'Data shares'!C170</f>
        <v>PRESTIGE</v>
      </c>
      <c r="B175" s="50">
        <f>VLOOKUP($A175,'Data shares'!$C:$FM,102)</f>
        <v>27.29</v>
      </c>
      <c r="C175" s="50">
        <f>VLOOKUP($A175,'Data shares'!$C:$FM,110)</f>
        <v>27.82</v>
      </c>
      <c r="D175" s="50">
        <f>VLOOKUP($A175,'Data shares'!$C:$FM,114)</f>
        <v>26.02</v>
      </c>
      <c r="E175" s="50">
        <f>VLOOKUP($A175,'Data shares'!$C:$FM,106)</f>
        <v>44.69</v>
      </c>
      <c r="F175" s="50">
        <f>VLOOKUP($A175,'Data shares'!$C:$FM,108)</f>
        <v>-17.399999999999999</v>
      </c>
      <c r="G175" s="50">
        <f t="shared" si="5"/>
        <v>0.61065115238308343</v>
      </c>
    </row>
    <row r="176" spans="1:7" x14ac:dyDescent="0.25">
      <c r="A176" s="49" t="str">
        <f>'Data shares'!C171</f>
        <v>RBLBANK</v>
      </c>
      <c r="B176" s="50">
        <f>VLOOKUP($A176,'Data shares'!$C:$FM,102)</f>
        <v>27.4</v>
      </c>
      <c r="C176" s="50">
        <f>VLOOKUP($A176,'Data shares'!$C:$FM,110)</f>
        <v>27.93</v>
      </c>
      <c r="D176" s="50">
        <f>VLOOKUP($A176,'Data shares'!$C:$FM,114)</f>
        <v>26.32</v>
      </c>
      <c r="E176" s="50">
        <f>VLOOKUP($A176,'Data shares'!$C:$FM,106)</f>
        <v>44.64</v>
      </c>
      <c r="F176" s="50">
        <f>VLOOKUP($A176,'Data shares'!$C:$FM,108)</f>
        <v>-17.239999999999998</v>
      </c>
      <c r="G176" s="50">
        <f t="shared" si="5"/>
        <v>0.6137992831541218</v>
      </c>
    </row>
    <row r="177" spans="1:7" x14ac:dyDescent="0.25">
      <c r="A177" s="49" t="str">
        <f>'Data shares'!C172</f>
        <v>RECLTD</v>
      </c>
      <c r="B177" s="50">
        <f>VLOOKUP($A177,'Data shares'!$C:$FM,102)</f>
        <v>21.19</v>
      </c>
      <c r="C177" s="50">
        <f>VLOOKUP($A177,'Data shares'!$C:$FM,110)</f>
        <v>21.05</v>
      </c>
      <c r="D177" s="50">
        <f>VLOOKUP($A177,'Data shares'!$C:$FM,114)</f>
        <v>21.51</v>
      </c>
      <c r="E177" s="50">
        <f>VLOOKUP($A177,'Data shares'!$C:$FM,106)</f>
        <v>42</v>
      </c>
      <c r="F177" s="50">
        <f>VLOOKUP($A177,'Data shares'!$C:$FM,108)</f>
        <v>-20.81</v>
      </c>
      <c r="G177" s="50">
        <f t="shared" si="5"/>
        <v>0.5045238095238096</v>
      </c>
    </row>
    <row r="178" spans="1:7" x14ac:dyDescent="0.25">
      <c r="A178" s="49" t="str">
        <f>'Data shares'!C173</f>
        <v>RELIANCE</v>
      </c>
      <c r="B178" s="50">
        <f>VLOOKUP($A178,'Data shares'!$C:$FM,102)</f>
        <v>14.65</v>
      </c>
      <c r="C178" s="50">
        <f>VLOOKUP($A178,'Data shares'!$C:$FM,110)</f>
        <v>14.39</v>
      </c>
      <c r="D178" s="50">
        <f>VLOOKUP($A178,'Data shares'!$C:$FM,114)</f>
        <v>15.1</v>
      </c>
      <c r="E178" s="50">
        <f>VLOOKUP($A178,'Data shares'!$C:$FM,106)</f>
        <v>23.28</v>
      </c>
      <c r="F178" s="50">
        <f>VLOOKUP($A178,'Data shares'!$C:$FM,108)</f>
        <v>-8.6300000000000008</v>
      </c>
      <c r="G178" s="50">
        <f t="shared" si="5"/>
        <v>0.62929553264604809</v>
      </c>
    </row>
    <row r="179" spans="1:7" x14ac:dyDescent="0.25">
      <c r="A179" s="49" t="str">
        <f>'Data shares'!C174</f>
        <v>RVNL</v>
      </c>
      <c r="B179" s="50">
        <f>VLOOKUP($A179,'Data shares'!$C:$FM,102)</f>
        <v>30.68</v>
      </c>
      <c r="C179" s="50">
        <f>VLOOKUP($A179,'Data shares'!$C:$FM,110)</f>
        <v>31.16</v>
      </c>
      <c r="D179" s="50">
        <f>VLOOKUP($A179,'Data shares'!$C:$FM,114)</f>
        <v>28.94</v>
      </c>
      <c r="E179" s="50">
        <f>VLOOKUP($A179,'Data shares'!$C:$FM,106)</f>
        <v>53.84</v>
      </c>
      <c r="F179" s="50">
        <f>VLOOKUP($A179,'Data shares'!$C:$FM,108)</f>
        <v>-23.16</v>
      </c>
      <c r="G179" s="50">
        <f t="shared" si="5"/>
        <v>0.56983655274888556</v>
      </c>
    </row>
    <row r="180" spans="1:7" x14ac:dyDescent="0.25">
      <c r="A180" s="49" t="str">
        <f>'Data shares'!C175</f>
        <v>SAIL</v>
      </c>
      <c r="B180" s="50">
        <f>VLOOKUP($A180,'Data shares'!$C:$FM,102)</f>
        <v>29.54</v>
      </c>
      <c r="C180" s="50">
        <f>VLOOKUP($A180,'Data shares'!$C:$FM,110)</f>
        <v>30.15</v>
      </c>
      <c r="D180" s="50">
        <f>VLOOKUP($A180,'Data shares'!$C:$FM,114)</f>
        <v>28.23</v>
      </c>
      <c r="E180" s="50">
        <f>VLOOKUP($A180,'Data shares'!$C:$FM,106)</f>
        <v>43.36</v>
      </c>
      <c r="F180" s="50">
        <f>VLOOKUP($A180,'Data shares'!$C:$FM,108)</f>
        <v>-13.82</v>
      </c>
      <c r="G180" s="50">
        <f t="shared" si="5"/>
        <v>0.68127306273062727</v>
      </c>
    </row>
    <row r="181" spans="1:7" x14ac:dyDescent="0.25">
      <c r="A181" s="49" t="str">
        <f>'Data shares'!C176</f>
        <v>SAMMAANCAP</v>
      </c>
      <c r="B181" s="50">
        <f>VLOOKUP($A181,'Data shares'!$C:$FM,102)</f>
        <v>49.41</v>
      </c>
      <c r="C181" s="50">
        <f>VLOOKUP($A181,'Data shares'!$C:$FM,110)</f>
        <v>46.38</v>
      </c>
      <c r="D181" s="50">
        <f>VLOOKUP($A181,'Data shares'!$C:$FM,114)</f>
        <v>52.46</v>
      </c>
      <c r="E181" s="50">
        <f>VLOOKUP($A181,'Data shares'!$C:$FM,106)</f>
        <v>57.39</v>
      </c>
      <c r="F181" s="50">
        <f>VLOOKUP($A181,'Data shares'!$C:$FM,108)</f>
        <v>-7.98</v>
      </c>
      <c r="G181" s="50">
        <f t="shared" si="5"/>
        <v>0.86095138525875581</v>
      </c>
    </row>
    <row r="182" spans="1:7" x14ac:dyDescent="0.25">
      <c r="A182" s="49" t="str">
        <f>'Data shares'!C177</f>
        <v>SBICARD</v>
      </c>
      <c r="B182" s="50">
        <f>VLOOKUP($A182,'Data shares'!$C:$FM,102)</f>
        <v>22.84</v>
      </c>
      <c r="C182" s="50">
        <f>VLOOKUP($A182,'Data shares'!$C:$FM,110)</f>
        <v>22.8</v>
      </c>
      <c r="D182" s="50">
        <f>VLOOKUP($A182,'Data shares'!$C:$FM,114)</f>
        <v>22.94</v>
      </c>
      <c r="E182" s="50">
        <f>VLOOKUP($A182,'Data shares'!$C:$FM,106)</f>
        <v>29.31</v>
      </c>
      <c r="F182" s="50">
        <f>VLOOKUP($A182,'Data shares'!$C:$FM,108)</f>
        <v>-6.47</v>
      </c>
      <c r="G182" s="50">
        <f t="shared" si="5"/>
        <v>0.77925622654384175</v>
      </c>
    </row>
    <row r="183" spans="1:7" x14ac:dyDescent="0.25">
      <c r="A183" s="49" t="str">
        <f>'Data shares'!C178</f>
        <v>SBILIFE</v>
      </c>
      <c r="B183" s="50">
        <f>VLOOKUP($A183,'Data shares'!$C:$FM,102)</f>
        <v>14.96</v>
      </c>
      <c r="C183" s="50">
        <f>VLOOKUP($A183,'Data shares'!$C:$FM,110)</f>
        <v>14.78</v>
      </c>
      <c r="D183" s="50">
        <f>VLOOKUP($A183,'Data shares'!$C:$FM,114)</f>
        <v>15.37</v>
      </c>
      <c r="E183" s="50">
        <f>VLOOKUP($A183,'Data shares'!$C:$FM,106)</f>
        <v>24.32</v>
      </c>
      <c r="F183" s="50">
        <f>VLOOKUP($A183,'Data shares'!$C:$FM,108)</f>
        <v>-9.36</v>
      </c>
      <c r="G183" s="50">
        <f t="shared" si="5"/>
        <v>0.61513157894736847</v>
      </c>
    </row>
    <row r="184" spans="1:7" x14ac:dyDescent="0.25">
      <c r="A184" s="49" t="str">
        <f>'Data shares'!C179</f>
        <v>SBIN</v>
      </c>
      <c r="B184" s="50">
        <f>VLOOKUP($A184,'Data shares'!$C:$FM,102)</f>
        <v>15</v>
      </c>
      <c r="C184" s="50">
        <f>VLOOKUP($A184,'Data shares'!$C:$FM,110)</f>
        <v>14.97</v>
      </c>
      <c r="D184" s="50">
        <f>VLOOKUP($A184,'Data shares'!$C:$FM,114)</f>
        <v>15.04</v>
      </c>
      <c r="E184" s="50">
        <f>VLOOKUP($A184,'Data shares'!$C:$FM,106)</f>
        <v>24.76</v>
      </c>
      <c r="F184" s="50">
        <f>VLOOKUP($A184,'Data shares'!$C:$FM,108)</f>
        <v>-9.76</v>
      </c>
      <c r="G184" s="50">
        <f t="shared" si="5"/>
        <v>0.60581583198707589</v>
      </c>
    </row>
    <row r="185" spans="1:7" x14ac:dyDescent="0.25">
      <c r="A185" s="49" t="str">
        <f>'Data shares'!C180</f>
        <v>SHREECEM</v>
      </c>
      <c r="B185" s="50">
        <f>VLOOKUP($A185,'Data shares'!$C:$FM,102)</f>
        <v>21.66</v>
      </c>
      <c r="C185" s="50">
        <f>VLOOKUP($A185,'Data shares'!$C:$FM,110)</f>
        <v>22.09</v>
      </c>
      <c r="D185" s="50">
        <f>VLOOKUP($A185,'Data shares'!$C:$FM,114)</f>
        <v>20</v>
      </c>
      <c r="E185" s="50">
        <f>VLOOKUP($A185,'Data shares'!$C:$FM,106)</f>
        <v>24.74</v>
      </c>
      <c r="F185" s="50">
        <f>VLOOKUP($A185,'Data shares'!$C:$FM,108)</f>
        <v>-3.08</v>
      </c>
      <c r="G185" s="50">
        <f t="shared" si="5"/>
        <v>0.87550525464834283</v>
      </c>
    </row>
    <row r="186" spans="1:7" x14ac:dyDescent="0.25">
      <c r="A186" s="49" t="str">
        <f>'Data shares'!C181</f>
        <v>SHRIRAMFIN</v>
      </c>
      <c r="B186" s="50">
        <f>VLOOKUP($A186,'Data shares'!$C:$FM,102)</f>
        <v>33.86</v>
      </c>
      <c r="C186" s="50">
        <f>VLOOKUP($A186,'Data shares'!$C:$FM,110)</f>
        <v>33.659999999999997</v>
      </c>
      <c r="D186" s="50">
        <f>VLOOKUP($A186,'Data shares'!$C:$FM,114)</f>
        <v>34.24</v>
      </c>
      <c r="E186" s="50">
        <f>VLOOKUP($A186,'Data shares'!$C:$FM,106)</f>
        <v>39.04</v>
      </c>
      <c r="F186" s="50">
        <f>VLOOKUP($A186,'Data shares'!$C:$FM,108)</f>
        <v>-5.18</v>
      </c>
      <c r="G186" s="50">
        <f t="shared" si="5"/>
        <v>0.86731557377049184</v>
      </c>
    </row>
    <row r="187" spans="1:7" x14ac:dyDescent="0.25">
      <c r="A187" s="49" t="str">
        <f>'Data shares'!C182</f>
        <v>SIEMENS</v>
      </c>
      <c r="B187" s="50">
        <f>VLOOKUP($A187,'Data shares'!$C:$FM,102)</f>
        <v>26.02</v>
      </c>
      <c r="C187" s="50">
        <f>VLOOKUP($A187,'Data shares'!$C:$FM,110)</f>
        <v>26.58</v>
      </c>
      <c r="D187" s="50">
        <f>VLOOKUP($A187,'Data shares'!$C:$FM,114)</f>
        <v>25.08</v>
      </c>
      <c r="E187" s="50">
        <f>VLOOKUP($A187,'Data shares'!$C:$FM,106)</f>
        <v>37.81</v>
      </c>
      <c r="F187" s="50">
        <f>VLOOKUP($A187,'Data shares'!$C:$FM,108)</f>
        <v>-11.79</v>
      </c>
      <c r="G187" s="50">
        <f t="shared" si="5"/>
        <v>0.68817773075905841</v>
      </c>
    </row>
    <row r="188" spans="1:7" x14ac:dyDescent="0.25">
      <c r="A188" s="49" t="str">
        <f>'Data shares'!C183</f>
        <v>SOLARINDS</v>
      </c>
      <c r="B188" s="50">
        <f>VLOOKUP($A188,'Data shares'!$C:$FM,102)</f>
        <v>30.59</v>
      </c>
      <c r="C188" s="50">
        <f>VLOOKUP($A188,'Data shares'!$C:$FM,110)</f>
        <v>31.13</v>
      </c>
      <c r="D188" s="50">
        <f>VLOOKUP($A188,'Data shares'!$C:$FM,114)</f>
        <v>29.67</v>
      </c>
      <c r="E188" s="50">
        <f>VLOOKUP($A188,'Data shares'!$C:$FM,106)</f>
        <v>39.17</v>
      </c>
      <c r="F188" s="50">
        <f>VLOOKUP($A188,'Data shares'!$C:$FM,108)</f>
        <v>-8.58</v>
      </c>
      <c r="G188" s="50">
        <f t="shared" si="5"/>
        <v>0.78095481235639519</v>
      </c>
    </row>
    <row r="189" spans="1:7" x14ac:dyDescent="0.25">
      <c r="A189" s="49" t="str">
        <f>'Data shares'!C215</f>
        <v>ZYDUSLIFE</v>
      </c>
      <c r="B189" s="50">
        <f>VLOOKUP($A189,'Data shares'!$C:$FM,102)</f>
        <v>17.14</v>
      </c>
      <c r="C189" s="50">
        <f>VLOOKUP($A189,'Data shares'!$C:$FM,110)</f>
        <v>17.18</v>
      </c>
      <c r="D189" s="50">
        <f>VLOOKUP($A189,'Data shares'!$C:$FM,114)</f>
        <v>17.05</v>
      </c>
      <c r="E189" s="50">
        <f>VLOOKUP($A189,'Data shares'!$C:$FM,106)</f>
        <v>27.94</v>
      </c>
      <c r="F189" s="50">
        <f>VLOOKUP($A189,'Data shares'!$C:$FM,108)</f>
        <v>-10.8</v>
      </c>
      <c r="G189" s="50">
        <f t="shared" si="5"/>
        <v>0.61345740873299925</v>
      </c>
    </row>
    <row r="190" spans="1:7" x14ac:dyDescent="0.25">
      <c r="A190" s="49"/>
      <c r="B190" s="50"/>
      <c r="C190" s="50"/>
      <c r="D190" s="50"/>
      <c r="E190" s="50"/>
      <c r="F190" s="50"/>
      <c r="G190" s="50"/>
    </row>
    <row r="191" spans="1:7" x14ac:dyDescent="0.25">
      <c r="A191" s="49"/>
      <c r="B191" s="50"/>
      <c r="C191" s="50"/>
      <c r="D191" s="50"/>
      <c r="E191" s="50"/>
      <c r="F191" s="50"/>
      <c r="G191" s="50"/>
    </row>
    <row r="192" spans="1:7" x14ac:dyDescent="0.25">
      <c r="A192" s="49"/>
      <c r="B192" s="50"/>
      <c r="C192" s="50"/>
      <c r="D192" s="50"/>
      <c r="E192" s="50"/>
      <c r="F192" s="50"/>
      <c r="G192" s="50"/>
    </row>
    <row r="193" spans="1:7" x14ac:dyDescent="0.25">
      <c r="A193" s="49"/>
      <c r="B193" s="50"/>
      <c r="C193" s="50"/>
      <c r="D193" s="50"/>
      <c r="E193" s="50"/>
      <c r="F193" s="50"/>
      <c r="G193" s="50"/>
    </row>
    <row r="194" spans="1:7" x14ac:dyDescent="0.25">
      <c r="A194" s="49"/>
      <c r="B194" s="50"/>
      <c r="C194" s="50"/>
      <c r="D194" s="50"/>
      <c r="E194" s="50"/>
      <c r="F194" s="50"/>
      <c r="G194" s="50"/>
    </row>
    <row r="195" spans="1:7" x14ac:dyDescent="0.25">
      <c r="A195" s="49"/>
      <c r="B195" s="50"/>
      <c r="C195" s="50"/>
      <c r="D195" s="50"/>
      <c r="E195" s="50"/>
      <c r="F195" s="50"/>
      <c r="G195" s="50"/>
    </row>
    <row r="196" spans="1:7" x14ac:dyDescent="0.25">
      <c r="A196" s="49"/>
      <c r="B196" s="50"/>
      <c r="C196" s="50"/>
      <c r="D196" s="50"/>
      <c r="E196" s="50"/>
      <c r="F196" s="50"/>
      <c r="G196" s="50"/>
    </row>
    <row r="197" spans="1:7" x14ac:dyDescent="0.25">
      <c r="A197" s="49"/>
      <c r="B197" s="50"/>
      <c r="C197" s="50"/>
      <c r="D197" s="50"/>
      <c r="E197" s="50"/>
      <c r="F197" s="50"/>
      <c r="G197" s="50"/>
    </row>
    <row r="198" spans="1:7" x14ac:dyDescent="0.25">
      <c r="A198" s="49"/>
      <c r="B198" s="50"/>
      <c r="C198" s="50"/>
      <c r="D198" s="50"/>
      <c r="E198" s="50"/>
      <c r="F198" s="50"/>
      <c r="G198" s="50"/>
    </row>
    <row r="199" spans="1:7" x14ac:dyDescent="0.25">
      <c r="A199" s="49"/>
      <c r="B199" s="50"/>
      <c r="C199" s="50"/>
      <c r="D199" s="50"/>
      <c r="E199" s="50"/>
      <c r="F199" s="50"/>
      <c r="G199" s="50"/>
    </row>
    <row r="200" spans="1:7" x14ac:dyDescent="0.25">
      <c r="A200" s="49"/>
      <c r="B200" s="50"/>
      <c r="C200" s="50"/>
      <c r="D200" s="50"/>
      <c r="E200" s="50"/>
      <c r="F200" s="50"/>
      <c r="G200" s="50"/>
    </row>
    <row r="201" spans="1:7" x14ac:dyDescent="0.25">
      <c r="A201" s="49"/>
      <c r="B201" s="50"/>
      <c r="C201" s="50"/>
      <c r="D201" s="50"/>
      <c r="E201" s="50"/>
      <c r="F201" s="50"/>
      <c r="G201" s="50"/>
    </row>
    <row r="202" spans="1:7" x14ac:dyDescent="0.25">
      <c r="A202" s="49"/>
      <c r="B202" s="50"/>
      <c r="C202" s="50"/>
      <c r="D202" s="50"/>
      <c r="E202" s="50"/>
      <c r="F202" s="50"/>
      <c r="G202" s="50"/>
    </row>
    <row r="203" spans="1:7" x14ac:dyDescent="0.25">
      <c r="A203" s="49"/>
      <c r="B203" s="50"/>
      <c r="C203" s="50"/>
      <c r="D203" s="50"/>
      <c r="E203" s="50"/>
      <c r="F203" s="50"/>
      <c r="G203" s="50"/>
    </row>
    <row r="204" spans="1:7" x14ac:dyDescent="0.25">
      <c r="A204" s="49"/>
      <c r="B204" s="50"/>
      <c r="C204" s="50"/>
      <c r="D204" s="50"/>
      <c r="E204" s="50"/>
      <c r="F204" s="50"/>
      <c r="G204" s="50"/>
    </row>
    <row r="205" spans="1:7" x14ac:dyDescent="0.25">
      <c r="A205" s="49"/>
      <c r="B205" s="50"/>
      <c r="C205" s="50"/>
      <c r="D205" s="50"/>
      <c r="E205" s="50"/>
      <c r="F205" s="50"/>
      <c r="G205" s="50"/>
    </row>
    <row r="206" spans="1:7" x14ac:dyDescent="0.25">
      <c r="A206" s="49"/>
      <c r="B206" s="50"/>
      <c r="C206" s="50"/>
      <c r="D206" s="50"/>
      <c r="E206" s="50"/>
      <c r="F206" s="50"/>
      <c r="G206" s="50"/>
    </row>
    <row r="207" spans="1:7" x14ac:dyDescent="0.25">
      <c r="A207" s="49"/>
      <c r="B207" s="50"/>
      <c r="C207" s="50"/>
      <c r="D207" s="50"/>
      <c r="E207" s="50"/>
      <c r="F207" s="50"/>
      <c r="G207" s="50"/>
    </row>
    <row r="208" spans="1:7" x14ac:dyDescent="0.25">
      <c r="A208" s="49"/>
      <c r="B208" s="50"/>
      <c r="C208" s="50"/>
      <c r="D208" s="50"/>
      <c r="E208" s="50"/>
      <c r="F208" s="50"/>
      <c r="G208"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5" activePane="bottomLeft" state="frozen"/>
      <selection pane="bottomLeft" activeCell="K13" sqref="K13"/>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683</v>
      </c>
      <c r="B5" s="49">
        <v>44660948</v>
      </c>
      <c r="C5" s="49">
        <v>4680500</v>
      </c>
      <c r="D5" s="49">
        <v>1820916.383285</v>
      </c>
      <c r="E5" s="50">
        <f>VLOOKUP($A5,'Data shares'!$C:$FA,154)*100</f>
        <v>10.59</v>
      </c>
      <c r="F5" s="173">
        <f>C5/B5</f>
        <v>0.10480073105479086</v>
      </c>
    </row>
    <row r="6" spans="1:6" x14ac:dyDescent="0.25">
      <c r="A6" s="99" t="s">
        <v>553</v>
      </c>
      <c r="B6" s="49">
        <v>7946564</v>
      </c>
      <c r="C6" s="49">
        <v>4077375</v>
      </c>
      <c r="D6" s="49">
        <v>2295186.4552112501</v>
      </c>
      <c r="E6" s="50">
        <f>VLOOKUP($A6,'Data shares'!$C:$FA,154)*100</f>
        <v>52.459999999999994</v>
      </c>
      <c r="F6" s="173">
        <f>C6/B6</f>
        <v>0.51309912057588658</v>
      </c>
    </row>
    <row r="7" spans="1:6" x14ac:dyDescent="0.25">
      <c r="A7" s="99" t="s">
        <v>544</v>
      </c>
      <c r="B7" s="49">
        <v>122316423</v>
      </c>
      <c r="C7" s="49">
        <v>117719400</v>
      </c>
      <c r="D7" s="49">
        <v>76038487.352009997</v>
      </c>
      <c r="E7" s="50">
        <f>VLOOKUP($A7,'Data shares'!$C:$FA,154)*100</f>
        <v>98.25</v>
      </c>
      <c r="F7" s="173">
        <f>C7/B7</f>
        <v>0.96241696014933331</v>
      </c>
    </row>
    <row r="8" spans="1:6" x14ac:dyDescent="0.25">
      <c r="A8" s="99" t="s">
        <v>579</v>
      </c>
      <c r="B8" s="49">
        <v>51907388</v>
      </c>
      <c r="C8" s="49">
        <v>24120450</v>
      </c>
      <c r="D8" s="49">
        <v>16187936.261955701</v>
      </c>
      <c r="E8" s="50">
        <f>VLOOKUP($A8,'Data shares'!$C:$FA,154)*100</f>
        <v>46.97</v>
      </c>
      <c r="F8" s="173">
        <f>C8/B8</f>
        <v>0.46468240705928027</v>
      </c>
    </row>
    <row r="9" spans="1:6" x14ac:dyDescent="0.25">
      <c r="A9" s="99" t="s">
        <v>159</v>
      </c>
      <c r="B9" s="49">
        <v>30942206</v>
      </c>
      <c r="C9" s="49">
        <v>43951851</v>
      </c>
      <c r="D9" s="49">
        <v>19717399.649131998</v>
      </c>
      <c r="E9" s="50">
        <f>VLOOKUP($A9,'Data shares'!$C:$FA,154)*100</f>
        <v>148.01999999999998</v>
      </c>
      <c r="F9" s="173">
        <f>C9/B9</f>
        <v>1.4204498218388177</v>
      </c>
    </row>
    <row r="10" spans="1:6" x14ac:dyDescent="0.25">
      <c r="A10" s="99" t="s">
        <v>606</v>
      </c>
      <c r="B10" s="49">
        <v>61877951</v>
      </c>
      <c r="C10" s="49">
        <v>43305000</v>
      </c>
      <c r="D10" s="49">
        <v>22365655.300074</v>
      </c>
      <c r="E10" s="50">
        <f>VLOOKUP($A10,'Data shares'!$C:$FA,154)*100</f>
        <v>71.709999999999994</v>
      </c>
      <c r="F10" s="173">
        <f>C10/B10</f>
        <v>0.69984541020112323</v>
      </c>
    </row>
    <row r="11" spans="1:6" x14ac:dyDescent="0.25">
      <c r="A11" s="99" t="s">
        <v>160</v>
      </c>
      <c r="B11" s="49">
        <v>73799006</v>
      </c>
      <c r="C11" s="49">
        <v>37560625</v>
      </c>
      <c r="D11" s="49">
        <v>23521682.076529201</v>
      </c>
      <c r="E11" s="50">
        <f>VLOOKUP($A11,'Data shares'!$C:$FA,154)*100</f>
        <v>51.859999999999992</v>
      </c>
      <c r="F11" s="173">
        <f>C11/B11</f>
        <v>0.50895841334231517</v>
      </c>
    </row>
    <row r="12" spans="1:6" x14ac:dyDescent="0.25">
      <c r="A12" s="99" t="s">
        <v>497</v>
      </c>
      <c r="B12" s="49">
        <v>6130387</v>
      </c>
      <c r="C12" s="49">
        <v>2022625</v>
      </c>
      <c r="D12" s="49">
        <v>1554669.1857574999</v>
      </c>
      <c r="E12" s="50">
        <f>VLOOKUP($A12,'Data shares'!$C:$FA,154)*100</f>
        <v>33.129999999999995</v>
      </c>
      <c r="F12" s="173">
        <f>C12/B12</f>
        <v>0.32993430920429656</v>
      </c>
    </row>
    <row r="13" spans="1:6" x14ac:dyDescent="0.25">
      <c r="A13" s="99" t="s">
        <v>682</v>
      </c>
      <c r="B13" s="49">
        <v>3067454</v>
      </c>
      <c r="C13" s="49">
        <v>3028500</v>
      </c>
      <c r="D13" s="49">
        <v>890169.58458200004</v>
      </c>
      <c r="E13" s="50">
        <f>VLOOKUP($A13,'Data shares'!$C:$FA,154)*100</f>
        <v>101.97</v>
      </c>
      <c r="F13" s="173">
        <f>C13/B13</f>
        <v>0.98730086905948711</v>
      </c>
    </row>
    <row r="14" spans="1:6" x14ac:dyDescent="0.25">
      <c r="A14" s="99" t="s">
        <v>164</v>
      </c>
      <c r="B14" s="49">
        <v>119762774</v>
      </c>
      <c r="C14" s="49">
        <v>69513150</v>
      </c>
      <c r="D14" s="49">
        <v>44645400.345976502</v>
      </c>
      <c r="E14" s="50">
        <f>VLOOKUP($A14,'Data shares'!$C:$FA,154)*100</f>
        <v>58.96</v>
      </c>
      <c r="F14" s="173">
        <f>C14/B14</f>
        <v>0.58042367989906452</v>
      </c>
    </row>
    <row r="15" spans="1:6" x14ac:dyDescent="0.25">
      <c r="A15" s="99" t="s">
        <v>609</v>
      </c>
      <c r="B15" s="49">
        <v>9647634</v>
      </c>
      <c r="C15" s="49">
        <v>11476750</v>
      </c>
      <c r="D15" s="49">
        <v>3586427.0627299999</v>
      </c>
      <c r="E15" s="50"/>
      <c r="F15" s="173">
        <f>C15/B15</f>
        <v>1.189592183948935</v>
      </c>
    </row>
    <row r="16" spans="1:6" x14ac:dyDescent="0.25">
      <c r="A16" s="99" t="s">
        <v>598</v>
      </c>
      <c r="B16" s="49">
        <v>27232196</v>
      </c>
      <c r="C16" s="49">
        <v>9607150</v>
      </c>
      <c r="D16" s="49">
        <v>7314097.5901769996</v>
      </c>
      <c r="E16" s="50">
        <f>VLOOKUP($A16,'Data shares'!$C:$FA,154)*100</f>
        <v>35.449999999999996</v>
      </c>
      <c r="F16" s="173">
        <f>C16/B16</f>
        <v>0.35278645908688377</v>
      </c>
    </row>
    <row r="17" spans="1:6" x14ac:dyDescent="0.25">
      <c r="A17" s="99" t="s">
        <v>165</v>
      </c>
      <c r="B17" s="49">
        <v>15240043</v>
      </c>
      <c r="C17" s="49">
        <v>6847375</v>
      </c>
      <c r="D17" s="49">
        <v>3357757.8972999998</v>
      </c>
      <c r="E17" s="50">
        <f>VLOOKUP($A17,'Data shares'!$C:$FA,154)*100</f>
        <v>45.81</v>
      </c>
      <c r="F17" s="173">
        <f>C17/B17</f>
        <v>0.44930155380795184</v>
      </c>
    </row>
    <row r="18" spans="1:6" x14ac:dyDescent="0.25">
      <c r="A18" s="99" t="s">
        <v>167</v>
      </c>
      <c r="B18" s="49">
        <v>409181558</v>
      </c>
      <c r="C18" s="49">
        <v>304845000</v>
      </c>
      <c r="D18" s="49">
        <v>144887457.79355001</v>
      </c>
      <c r="E18" s="50">
        <f>VLOOKUP($A18,'Data shares'!$C:$FA,154)*100</f>
        <v>77.56</v>
      </c>
      <c r="F18" s="173">
        <f>C18/B18</f>
        <v>0.74501158236461873</v>
      </c>
    </row>
    <row r="19" spans="1:6" x14ac:dyDescent="0.25">
      <c r="A19" s="99" t="s">
        <v>169</v>
      </c>
      <c r="B19" s="49">
        <v>52357280</v>
      </c>
      <c r="C19" s="49">
        <v>24949000</v>
      </c>
      <c r="D19" s="49">
        <v>12013963.971995</v>
      </c>
      <c r="E19" s="50">
        <f>VLOOKUP($A19,'Data shares'!$C:$FA,154)*100</f>
        <v>49.25</v>
      </c>
      <c r="F19" s="173">
        <f>C19/B19</f>
        <v>0.47651444078072813</v>
      </c>
    </row>
    <row r="20" spans="1:6" x14ac:dyDescent="0.25">
      <c r="A20" s="99" t="s">
        <v>503</v>
      </c>
      <c r="B20" s="49">
        <v>18495534</v>
      </c>
      <c r="C20" s="49">
        <v>13198800</v>
      </c>
      <c r="D20" s="49">
        <v>6749126.8186867498</v>
      </c>
      <c r="E20" s="50">
        <f>VLOOKUP($A20,'Data shares'!$C:$FA,154)*100</f>
        <v>72.88</v>
      </c>
      <c r="F20" s="173">
        <f>C20/B20</f>
        <v>0.71362092059629101</v>
      </c>
    </row>
    <row r="21" spans="1:6" x14ac:dyDescent="0.25">
      <c r="A21" s="99" t="s">
        <v>495</v>
      </c>
      <c r="B21" s="49">
        <v>86234186</v>
      </c>
      <c r="C21" s="49">
        <v>37083000</v>
      </c>
      <c r="D21" s="49">
        <v>20876598.826310001</v>
      </c>
      <c r="E21" s="50">
        <f>VLOOKUP($A21,'Data shares'!$C:$FA,154)*100</f>
        <v>43.93</v>
      </c>
      <c r="F21" s="173">
        <f>C21/B21</f>
        <v>0.43002667178884252</v>
      </c>
    </row>
    <row r="22" spans="1:6" x14ac:dyDescent="0.25">
      <c r="A22" s="99" t="s">
        <v>171</v>
      </c>
      <c r="B22" s="49">
        <v>41977935</v>
      </c>
      <c r="C22" s="49">
        <v>30735650</v>
      </c>
      <c r="D22" s="49">
        <v>21022468.385660499</v>
      </c>
      <c r="E22" s="50">
        <f>VLOOKUP($A22,'Data shares'!$C:$FA,154)*100</f>
        <v>73.91</v>
      </c>
      <c r="F22" s="173">
        <f>C22/B22</f>
        <v>0.73218584954214638</v>
      </c>
    </row>
    <row r="23" spans="1:6" x14ac:dyDescent="0.25">
      <c r="A23" s="99" t="s">
        <v>173</v>
      </c>
      <c r="B23" s="49">
        <v>316147681</v>
      </c>
      <c r="C23" s="49">
        <v>122738125</v>
      </c>
      <c r="D23" s="49">
        <v>76676589.721925005</v>
      </c>
      <c r="E23" s="50">
        <f>VLOOKUP($A23,'Data shares'!$C:$FA,154)*100</f>
        <v>39.729999999999997</v>
      </c>
      <c r="F23" s="173">
        <f>C23/B23</f>
        <v>0.38823035048610716</v>
      </c>
    </row>
    <row r="24" spans="1:6" x14ac:dyDescent="0.25">
      <c r="A24" s="99" t="s">
        <v>174</v>
      </c>
      <c r="B24" s="49">
        <v>12547731</v>
      </c>
      <c r="C24" s="49">
        <v>6831525</v>
      </c>
      <c r="D24" s="49">
        <v>3290089.1193360002</v>
      </c>
      <c r="E24" s="50">
        <f>VLOOKUP($A24,'Data shares'!$C:$FA,154)*100</f>
        <v>55.93</v>
      </c>
      <c r="F24" s="173">
        <f>C24/B24</f>
        <v>0.54444305508302659</v>
      </c>
    </row>
    <row r="25" spans="1:6" x14ac:dyDescent="0.25">
      <c r="A25" s="99" t="s">
        <v>176</v>
      </c>
      <c r="B25" s="49">
        <v>65659712</v>
      </c>
      <c r="C25" s="49">
        <v>27497250</v>
      </c>
      <c r="D25" s="49">
        <v>18273888.342887498</v>
      </c>
      <c r="E25" s="50">
        <f>VLOOKUP($A25,'Data shares'!$C:$FA,154)*100</f>
        <v>42.28</v>
      </c>
      <c r="F25" s="173">
        <f>C25/B25</f>
        <v>0.41878420057645088</v>
      </c>
    </row>
    <row r="26" spans="1:6" x14ac:dyDescent="0.25">
      <c r="A26" s="99" t="s">
        <v>177</v>
      </c>
      <c r="B26" s="49">
        <v>281116345</v>
      </c>
      <c r="C26" s="49">
        <v>136622250</v>
      </c>
      <c r="D26" s="49">
        <v>88224329.959979996</v>
      </c>
      <c r="E26" s="50">
        <f>VLOOKUP($A26,'Data shares'!$C:$FA,154)*100</f>
        <v>49.63</v>
      </c>
      <c r="F26" s="173">
        <f>C26/B26</f>
        <v>0.48599895534356069</v>
      </c>
    </row>
    <row r="27" spans="1:6" x14ac:dyDescent="0.25">
      <c r="A27" s="99" t="s">
        <v>179</v>
      </c>
      <c r="B27" s="49">
        <v>142752962</v>
      </c>
      <c r="C27" s="49">
        <v>177886800</v>
      </c>
      <c r="D27" s="49">
        <v>104348213.00427601</v>
      </c>
      <c r="E27" s="50">
        <f>VLOOKUP($A27,'Data shares'!$C:$FA,154)*100</f>
        <v>127.64999999999999</v>
      </c>
      <c r="F27" s="173">
        <f>C27/B27</f>
        <v>1.246116350286308</v>
      </c>
    </row>
    <row r="28" spans="1:6" x14ac:dyDescent="0.25">
      <c r="A28" s="99" t="s">
        <v>180</v>
      </c>
      <c r="B28" s="49">
        <v>257509827</v>
      </c>
      <c r="C28" s="49">
        <v>171568800</v>
      </c>
      <c r="D28" s="49">
        <v>83888109.899129197</v>
      </c>
      <c r="E28" s="50">
        <f>VLOOKUP($A28,'Data shares'!$C:$FA,154)*100</f>
        <v>67.820000000000007</v>
      </c>
      <c r="F28" s="173">
        <f>C28/B28</f>
        <v>0.66626117534535878</v>
      </c>
    </row>
    <row r="29" spans="1:6" x14ac:dyDescent="0.25">
      <c r="A29" s="99" t="s">
        <v>602</v>
      </c>
      <c r="B29" s="49">
        <v>181770921</v>
      </c>
      <c r="C29" s="49">
        <v>95420000</v>
      </c>
      <c r="D29" s="49">
        <v>49657039.765164003</v>
      </c>
      <c r="E29" s="50">
        <f>VLOOKUP($A29,'Data shares'!$C:$FA,154)*100</f>
        <v>53.54</v>
      </c>
      <c r="F29" s="173">
        <f>C29/B29</f>
        <v>0.52494645169344767</v>
      </c>
    </row>
    <row r="30" spans="1:6" x14ac:dyDescent="0.25">
      <c r="A30" s="99" t="s">
        <v>672</v>
      </c>
      <c r="B30" s="49">
        <v>13786716</v>
      </c>
      <c r="C30" s="49">
        <v>14711925</v>
      </c>
      <c r="D30" s="49">
        <v>4485867.0757632498</v>
      </c>
      <c r="E30" s="50">
        <f>VLOOKUP($A30,'Data shares'!$C:$FA,154)*100</f>
        <v>110.01</v>
      </c>
      <c r="F30" s="173">
        <f>C30/B30</f>
        <v>1.067108729881721</v>
      </c>
    </row>
    <row r="31" spans="1:6" x14ac:dyDescent="0.25">
      <c r="A31" s="99" t="s">
        <v>185</v>
      </c>
      <c r="B31" s="49">
        <v>535778534</v>
      </c>
      <c r="C31" s="49">
        <v>250299825</v>
      </c>
      <c r="D31" s="49">
        <v>118540946.055418</v>
      </c>
      <c r="E31" s="50">
        <f>VLOOKUP($A31,'Data shares'!$C:$FA,154)*100</f>
        <v>48.22</v>
      </c>
      <c r="F31" s="173">
        <f>C31/B31</f>
        <v>0.4671703122021682</v>
      </c>
    </row>
    <row r="32" spans="1:6" x14ac:dyDescent="0.25">
      <c r="A32" s="99" t="s">
        <v>187</v>
      </c>
      <c r="B32" s="49">
        <v>35155737</v>
      </c>
      <c r="C32" s="49">
        <v>13632000</v>
      </c>
      <c r="D32" s="49">
        <v>7320293.1675399998</v>
      </c>
      <c r="E32" s="50">
        <f>VLOOKUP($A32,'Data shares'!$C:$FA,154)*100</f>
        <v>39.35</v>
      </c>
      <c r="F32" s="173">
        <f>C32/B32</f>
        <v>0.38776032486532708</v>
      </c>
    </row>
    <row r="33" spans="1:6" x14ac:dyDescent="0.25">
      <c r="A33" s="99" t="s">
        <v>189</v>
      </c>
      <c r="B33" s="49">
        <v>314058656</v>
      </c>
      <c r="C33" s="49">
        <v>73917125</v>
      </c>
      <c r="D33" s="49">
        <v>48182125.293184698</v>
      </c>
      <c r="E33" s="50">
        <f>VLOOKUP($A33,'Data shares'!$C:$FA,154)*100</f>
        <v>24.12</v>
      </c>
      <c r="F33" s="173">
        <f>C33/B33</f>
        <v>0.23536089067387464</v>
      </c>
    </row>
    <row r="34" spans="1:6" x14ac:dyDescent="0.25">
      <c r="A34" s="99" t="s">
        <v>190</v>
      </c>
      <c r="B34" s="49">
        <v>169029877</v>
      </c>
      <c r="C34" s="49">
        <v>137153625</v>
      </c>
      <c r="D34" s="49">
        <v>60081337.808729999</v>
      </c>
      <c r="E34" s="50">
        <f>VLOOKUP($A34,'Data shares'!$C:$FA,154)*100</f>
        <v>84.8</v>
      </c>
      <c r="F34" s="173">
        <f>C34/B34</f>
        <v>0.81141646337469675</v>
      </c>
    </row>
    <row r="35" spans="1:6" x14ac:dyDescent="0.25">
      <c r="A35" s="99" t="s">
        <v>191</v>
      </c>
      <c r="B35" s="49">
        <v>90981174</v>
      </c>
      <c r="C35" s="49">
        <v>92715000</v>
      </c>
      <c r="D35" s="49">
        <v>42215136.721100003</v>
      </c>
      <c r="E35" s="50">
        <f>VLOOKUP($A35,'Data shares'!$C:$FA,154)*100</f>
        <v>104.47</v>
      </c>
      <c r="F35" s="173">
        <f>C35/B35</f>
        <v>1.0190569754573622</v>
      </c>
    </row>
    <row r="36" spans="1:6" x14ac:dyDescent="0.25">
      <c r="A36" s="99" t="s">
        <v>680</v>
      </c>
      <c r="B36" s="49">
        <v>19584741</v>
      </c>
      <c r="C36" s="49">
        <v>3612375</v>
      </c>
      <c r="D36" s="49">
        <v>2019429.1624390001</v>
      </c>
      <c r="E36" s="50">
        <f>VLOOKUP($A36,'Data shares'!$C:$FA,154)*100</f>
        <v>18.7</v>
      </c>
      <c r="F36" s="173">
        <f>C36/B36</f>
        <v>0.18444844381654063</v>
      </c>
    </row>
    <row r="37" spans="1:6" x14ac:dyDescent="0.25">
      <c r="A37" s="99" t="s">
        <v>192</v>
      </c>
      <c r="B37" s="49">
        <v>982526</v>
      </c>
      <c r="C37" s="49">
        <v>347150</v>
      </c>
      <c r="D37" s="49">
        <v>206694.99852600001</v>
      </c>
      <c r="E37" s="50">
        <f>VLOOKUP($A37,'Data shares'!$C:$FA,154)*100</f>
        <v>35.699999999999996</v>
      </c>
      <c r="F37" s="173">
        <f>C37/B37</f>
        <v>0.35332398328390291</v>
      </c>
    </row>
    <row r="38" spans="1:6" x14ac:dyDescent="0.25">
      <c r="A38" s="99" t="s">
        <v>194</v>
      </c>
      <c r="B38" s="49">
        <v>281577339</v>
      </c>
      <c r="C38" s="49">
        <v>58736500</v>
      </c>
      <c r="D38" s="49">
        <v>28666409.7630127</v>
      </c>
      <c r="E38" s="50">
        <f>VLOOKUP($A38,'Data shares'!$C:$FA,154)*100</f>
        <v>21.349999999999998</v>
      </c>
      <c r="F38" s="173">
        <f>C38/B38</f>
        <v>0.20859810739244183</v>
      </c>
    </row>
    <row r="39" spans="1:6" x14ac:dyDescent="0.25">
      <c r="A39" s="99" t="s">
        <v>195</v>
      </c>
      <c r="B39" s="49">
        <v>13082978</v>
      </c>
      <c r="C39" s="49">
        <v>4759125</v>
      </c>
      <c r="D39" s="49">
        <v>2809119.64037125</v>
      </c>
      <c r="E39" s="50">
        <f>VLOOKUP($A39,'Data shares'!$C:$FA,154)*100</f>
        <v>37.369999999999997</v>
      </c>
      <c r="F39" s="173">
        <f>C39/B39</f>
        <v>0.36376465664010138</v>
      </c>
    </row>
    <row r="40" spans="1:6" x14ac:dyDescent="0.25">
      <c r="A40" s="99" t="s">
        <v>584</v>
      </c>
      <c r="B40" s="49">
        <v>48385387</v>
      </c>
      <c r="C40" s="49">
        <v>30637875</v>
      </c>
      <c r="D40" s="49">
        <v>11676514.069863699</v>
      </c>
      <c r="E40" s="50">
        <f>VLOOKUP($A40,'Data shares'!$C:$FA,154)*100</f>
        <v>66.100000000000009</v>
      </c>
      <c r="F40" s="173">
        <f>C40/B40</f>
        <v>0.63320512451414313</v>
      </c>
    </row>
    <row r="41" spans="1:6" x14ac:dyDescent="0.25">
      <c r="A41" s="99" t="s">
        <v>611</v>
      </c>
      <c r="B41" s="49">
        <v>37106075</v>
      </c>
      <c r="C41" s="49">
        <v>19167750</v>
      </c>
      <c r="D41" s="49">
        <v>8841713.3556824997</v>
      </c>
      <c r="E41" s="50">
        <f>VLOOKUP($A41,'Data shares'!$C:$FA,154)*100</f>
        <v>52.17</v>
      </c>
      <c r="F41" s="173">
        <f>C41/B41</f>
        <v>0.5165663573956556</v>
      </c>
    </row>
    <row r="42" spans="1:6" x14ac:dyDescent="0.25">
      <c r="A42" s="99" t="s">
        <v>196</v>
      </c>
      <c r="B42" s="49">
        <v>504315430</v>
      </c>
      <c r="C42" s="49">
        <v>340827750</v>
      </c>
      <c r="D42" s="49">
        <v>133675596.036585</v>
      </c>
      <c r="E42" s="50">
        <f>VLOOKUP($A42,'Data shares'!$C:$FA,154)*100</f>
        <v>68.86</v>
      </c>
      <c r="F42" s="173">
        <f>C42/B42</f>
        <v>0.67582257001337431</v>
      </c>
    </row>
    <row r="43" spans="1:6" x14ac:dyDescent="0.25">
      <c r="A43" s="99" t="s">
        <v>597</v>
      </c>
      <c r="B43" s="49">
        <v>26647500</v>
      </c>
      <c r="C43" s="49">
        <v>25850925</v>
      </c>
      <c r="D43" s="49">
        <v>9301389.0602027494</v>
      </c>
      <c r="E43" s="50">
        <f>VLOOKUP($A43,'Data shares'!$C:$FA,154)*100</f>
        <v>100.01</v>
      </c>
      <c r="F43" s="173">
        <f>C43/B43</f>
        <v>0.97010695187165774</v>
      </c>
    </row>
    <row r="44" spans="1:6" x14ac:dyDescent="0.25">
      <c r="A44" s="99" t="s">
        <v>612</v>
      </c>
      <c r="B44" s="49">
        <v>100245792</v>
      </c>
      <c r="C44" s="49">
        <v>27500900</v>
      </c>
      <c r="D44" s="49">
        <v>13838205.185954001</v>
      </c>
      <c r="E44" s="50">
        <f>VLOOKUP($A44,'Data shares'!$C:$FA,154)*100</f>
        <v>27.91</v>
      </c>
      <c r="F44" s="173">
        <f>C44/B44</f>
        <v>0.27433470723638953</v>
      </c>
    </row>
    <row r="45" spans="1:6" x14ac:dyDescent="0.25">
      <c r="A45" s="99" t="s">
        <v>198</v>
      </c>
      <c r="B45" s="49">
        <v>63212268</v>
      </c>
      <c r="C45" s="49">
        <v>24606875</v>
      </c>
      <c r="D45" s="49">
        <v>13219163.328862499</v>
      </c>
      <c r="E45" s="50">
        <f>VLOOKUP($A45,'Data shares'!$C:$FA,154)*100</f>
        <v>41</v>
      </c>
      <c r="F45" s="173">
        <f>C45/B45</f>
        <v>0.38927372452448628</v>
      </c>
    </row>
    <row r="46" spans="1:6" x14ac:dyDescent="0.25">
      <c r="A46" s="99" t="s">
        <v>199</v>
      </c>
      <c r="B46" s="49">
        <v>57073940</v>
      </c>
      <c r="C46" s="49">
        <v>23439375</v>
      </c>
      <c r="D46" s="49">
        <v>13418388.798517499</v>
      </c>
      <c r="E46" s="50">
        <f>VLOOKUP($A46,'Data shares'!$C:$FA,154)*100</f>
        <v>41.71</v>
      </c>
      <c r="F46" s="173">
        <f>C46/B46</f>
        <v>0.41068436838248767</v>
      </c>
    </row>
    <row r="47" spans="1:6" x14ac:dyDescent="0.25">
      <c r="A47" s="99" t="s">
        <v>200</v>
      </c>
      <c r="B47" s="49">
        <v>227199238</v>
      </c>
      <c r="C47" s="49">
        <v>92758500</v>
      </c>
      <c r="D47" s="49">
        <v>53590582.347291</v>
      </c>
      <c r="E47" s="50">
        <f>VLOOKUP($A47,'Data shares'!$C:$FA,154)*100</f>
        <v>41.03</v>
      </c>
      <c r="F47" s="173">
        <f>C47/B47</f>
        <v>0.40826941505851355</v>
      </c>
    </row>
    <row r="48" spans="1:6" x14ac:dyDescent="0.25">
      <c r="A48" s="99" t="s">
        <v>470</v>
      </c>
      <c r="B48" s="49">
        <v>50163899</v>
      </c>
      <c r="C48" s="49">
        <v>22693125</v>
      </c>
      <c r="D48" s="49">
        <v>12900608.503983701</v>
      </c>
      <c r="E48" s="50">
        <f>VLOOKUP($A48,'Data shares'!$C:$FA,154)*100</f>
        <v>47.660000000000004</v>
      </c>
      <c r="F48" s="173">
        <f>C48/B48</f>
        <v>0.45237960869030536</v>
      </c>
    </row>
    <row r="49" spans="1:6" x14ac:dyDescent="0.25">
      <c r="A49" s="99" t="s">
        <v>201</v>
      </c>
      <c r="B49" s="49">
        <v>19990944</v>
      </c>
      <c r="C49" s="49">
        <v>12132675</v>
      </c>
      <c r="D49" s="49">
        <v>6271291.7766720001</v>
      </c>
      <c r="E49" s="50">
        <f>VLOOKUP($A49,'Data shares'!$C:$FA,154)*100</f>
        <v>61.57</v>
      </c>
      <c r="F49" s="173">
        <f>C49/B49</f>
        <v>0.60690855819515077</v>
      </c>
    </row>
    <row r="50" spans="1:6" x14ac:dyDescent="0.25">
      <c r="A50" s="99" t="s">
        <v>202</v>
      </c>
      <c r="B50" s="49">
        <v>48077012</v>
      </c>
      <c r="C50" s="49">
        <v>62747500</v>
      </c>
      <c r="D50" s="49">
        <v>35295239.492849998</v>
      </c>
      <c r="E50" s="50">
        <f>VLOOKUP($A50,'Data shares'!$C:$FA,154)*100</f>
        <v>132.94</v>
      </c>
      <c r="F50" s="173">
        <f>C50/B50</f>
        <v>1.3051455860027241</v>
      </c>
    </row>
    <row r="51" spans="1:6" x14ac:dyDescent="0.25">
      <c r="A51" s="99" t="s">
        <v>523</v>
      </c>
      <c r="B51" s="49">
        <v>81400589</v>
      </c>
      <c r="C51" s="49">
        <v>97630200</v>
      </c>
      <c r="D51" s="49">
        <v>53435754.667475998</v>
      </c>
      <c r="E51" s="50">
        <f>VLOOKUP($A51,'Data shares'!$C:$FA,154)*100</f>
        <v>122.39999999999999</v>
      </c>
      <c r="F51" s="173">
        <f>C51/B51</f>
        <v>1.1993795278311807</v>
      </c>
    </row>
    <row r="52" spans="1:6" x14ac:dyDescent="0.25">
      <c r="A52" s="99" t="s">
        <v>203</v>
      </c>
      <c r="B52" s="49">
        <v>20374200</v>
      </c>
      <c r="C52" s="49">
        <v>5006600</v>
      </c>
      <c r="D52" s="49">
        <v>3062037.1852000002</v>
      </c>
      <c r="E52" s="50">
        <f>VLOOKUP($A52,'Data shares'!$C:$FA,154)*100</f>
        <v>24.95</v>
      </c>
      <c r="F52" s="173">
        <f>C52/B52</f>
        <v>0.24573234777316411</v>
      </c>
    </row>
    <row r="53" spans="1:6" x14ac:dyDescent="0.25">
      <c r="A53" s="99" t="s">
        <v>572</v>
      </c>
      <c r="B53" s="49">
        <v>12039544</v>
      </c>
      <c r="C53" s="49">
        <v>5627425</v>
      </c>
      <c r="D53" s="49">
        <v>3046617.1221172502</v>
      </c>
      <c r="E53" s="50">
        <f>VLOOKUP($A53,'Data shares'!$C:$FA,154)*100</f>
        <v>47.199999999999996</v>
      </c>
      <c r="F53" s="173">
        <f>C53/B53</f>
        <v>0.4674118056298478</v>
      </c>
    </row>
    <row r="54" spans="1:6" x14ac:dyDescent="0.25">
      <c r="A54" s="99" t="s">
        <v>204</v>
      </c>
      <c r="B54" s="49">
        <v>89873278</v>
      </c>
      <c r="C54" s="49">
        <v>42911250</v>
      </c>
      <c r="D54" s="49">
        <v>19292196.9059375</v>
      </c>
      <c r="E54" s="50">
        <f>VLOOKUP($A54,'Data shares'!$C:$FA,154)*100</f>
        <v>48.97</v>
      </c>
      <c r="F54" s="173">
        <f>C54/B54</f>
        <v>0.47746394651366786</v>
      </c>
    </row>
    <row r="55" spans="1:6" x14ac:dyDescent="0.25">
      <c r="A55" s="99" t="s">
        <v>524</v>
      </c>
      <c r="B55" s="49">
        <v>12425041</v>
      </c>
      <c r="C55" s="49">
        <v>4874350</v>
      </c>
      <c r="D55" s="49">
        <v>2273593.09452275</v>
      </c>
      <c r="E55" s="50">
        <f>VLOOKUP($A55,'Data shares'!$C:$FA,154)*100</f>
        <v>39.65</v>
      </c>
      <c r="F55" s="173">
        <f>C55/B55</f>
        <v>0.39230051635242091</v>
      </c>
    </row>
    <row r="56" spans="1:6" x14ac:dyDescent="0.25">
      <c r="A56" s="99" t="s">
        <v>600</v>
      </c>
      <c r="B56" s="49">
        <v>94196226</v>
      </c>
      <c r="C56" s="49">
        <v>37650875</v>
      </c>
      <c r="D56" s="49">
        <v>15293590.051486701</v>
      </c>
      <c r="E56" s="50">
        <f>VLOOKUP($A56,'Data shares'!$C:$FA,154)*100</f>
        <v>40.97</v>
      </c>
      <c r="F56" s="173">
        <f>C56/B56</f>
        <v>0.39970683114204597</v>
      </c>
    </row>
    <row r="57" spans="1:6" x14ac:dyDescent="0.25">
      <c r="A57" s="99" t="s">
        <v>205</v>
      </c>
      <c r="B57" s="49">
        <v>16353614</v>
      </c>
      <c r="C57" s="49">
        <v>4656700</v>
      </c>
      <c r="D57" s="49">
        <v>2877845.8937269999</v>
      </c>
      <c r="E57" s="50">
        <f>VLOOKUP($A57,'Data shares'!$C:$FA,154)*100</f>
        <v>28.95</v>
      </c>
      <c r="F57" s="173">
        <f>C57/B57</f>
        <v>0.28475051447343686</v>
      </c>
    </row>
    <row r="58" spans="1:6" x14ac:dyDescent="0.25">
      <c r="A58" s="99" t="s">
        <v>512</v>
      </c>
      <c r="B58" s="49">
        <v>6445442</v>
      </c>
      <c r="C58" s="49">
        <v>7284400</v>
      </c>
      <c r="D58" s="49">
        <v>2133127.9179529999</v>
      </c>
      <c r="E58" s="50">
        <f>VLOOKUP($A58,'Data shares'!$C:$FA,154)*100</f>
        <v>119.61</v>
      </c>
      <c r="F58" s="173">
        <f>C58/B58</f>
        <v>1.1301629895979206</v>
      </c>
    </row>
    <row r="59" spans="1:6" x14ac:dyDescent="0.25">
      <c r="A59" s="99" t="s">
        <v>207</v>
      </c>
      <c r="B59" s="49">
        <v>83667734</v>
      </c>
      <c r="C59" s="49">
        <v>87530025</v>
      </c>
      <c r="D59" s="49">
        <v>49717223.4779962</v>
      </c>
      <c r="E59" s="50">
        <f>VLOOKUP($A59,'Data shares'!$C:$FA,154)*100</f>
        <v>107.21000000000001</v>
      </c>
      <c r="F59" s="173">
        <f>C59/B59</f>
        <v>1.046162251746892</v>
      </c>
    </row>
    <row r="60" spans="1:6" x14ac:dyDescent="0.25">
      <c r="A60" s="99" t="s">
        <v>583</v>
      </c>
      <c r="B60" s="49">
        <v>22136392</v>
      </c>
      <c r="C60" s="49">
        <v>9729900</v>
      </c>
      <c r="D60" s="49">
        <v>4962620.5379114999</v>
      </c>
      <c r="E60" s="50">
        <f>VLOOKUP($A60,'Data shares'!$C:$FA,154)*100</f>
        <v>44.87</v>
      </c>
      <c r="F60" s="173">
        <f>C60/B60</f>
        <v>0.43954317397342801</v>
      </c>
    </row>
    <row r="61" spans="1:6" x14ac:dyDescent="0.25">
      <c r="A61" s="99" t="s">
        <v>208</v>
      </c>
      <c r="B61" s="49">
        <v>61006521</v>
      </c>
      <c r="C61" s="49">
        <v>23501875</v>
      </c>
      <c r="D61" s="49">
        <v>12788841.842118699</v>
      </c>
      <c r="E61" s="50">
        <f>VLOOKUP($A61,'Data shares'!$C:$FA,154)*100</f>
        <v>39.269999999999996</v>
      </c>
      <c r="F61" s="173">
        <f>C61/B61</f>
        <v>0.38523545704237094</v>
      </c>
    </row>
    <row r="62" spans="1:6" x14ac:dyDescent="0.25">
      <c r="A62" s="99" t="s">
        <v>209</v>
      </c>
      <c r="B62" s="49">
        <v>20353850</v>
      </c>
      <c r="C62" s="49">
        <v>7618525</v>
      </c>
      <c r="D62" s="49">
        <v>3342108.0644137501</v>
      </c>
      <c r="E62" s="50">
        <f>VLOOKUP($A62,'Data shares'!$C:$FA,154)*100</f>
        <v>38.409999999999997</v>
      </c>
      <c r="F62" s="173">
        <f>C62/B62</f>
        <v>0.37430387862738501</v>
      </c>
    </row>
    <row r="63" spans="1:6" x14ac:dyDescent="0.25">
      <c r="A63" s="99" t="s">
        <v>668</v>
      </c>
      <c r="B63" s="49">
        <v>1361988292</v>
      </c>
      <c r="C63" s="49">
        <v>446413400</v>
      </c>
      <c r="D63" s="49">
        <v>300646376.17726898</v>
      </c>
      <c r="E63" s="50">
        <f>VLOOKUP($A63,'Data shares'!$C:$FA,154)*100</f>
        <v>33.339999999999996</v>
      </c>
      <c r="F63" s="173">
        <f>C63/B63</f>
        <v>0.32776595997346503</v>
      </c>
    </row>
    <row r="64" spans="1:6" x14ac:dyDescent="0.25">
      <c r="A64" s="99" t="s">
        <v>211</v>
      </c>
      <c r="B64" s="49">
        <v>68856800</v>
      </c>
      <c r="C64" s="49">
        <v>52097400</v>
      </c>
      <c r="D64" s="49">
        <v>26036404.383726001</v>
      </c>
      <c r="E64" s="50">
        <f>VLOOKUP($A64,'Data shares'!$C:$FA,154)*100</f>
        <v>76.58</v>
      </c>
      <c r="F64" s="173">
        <f>C64/B64</f>
        <v>0.75660501214113929</v>
      </c>
    </row>
    <row r="65" spans="1:6" x14ac:dyDescent="0.25">
      <c r="A65" s="99" t="s">
        <v>212</v>
      </c>
      <c r="B65" s="49">
        <v>338654719</v>
      </c>
      <c r="C65" s="49">
        <v>150775000</v>
      </c>
      <c r="D65" s="49">
        <v>67103991.527199998</v>
      </c>
      <c r="E65" s="50">
        <f>VLOOKUP($A65,'Data shares'!$C:$FA,154)*100</f>
        <v>45.47</v>
      </c>
      <c r="F65" s="173">
        <f>C65/B65</f>
        <v>0.44521747827763181</v>
      </c>
    </row>
    <row r="66" spans="1:6" x14ac:dyDescent="0.25">
      <c r="A66" s="99" t="s">
        <v>678</v>
      </c>
      <c r="B66" s="49">
        <v>62490435</v>
      </c>
      <c r="C66" s="49">
        <v>23160875</v>
      </c>
      <c r="D66" s="49">
        <v>13044121.9328382</v>
      </c>
      <c r="E66" s="50">
        <f>VLOOKUP($A66,'Data shares'!$C:$FA,154)*100</f>
        <v>37.81</v>
      </c>
      <c r="F66" s="173">
        <f>C66/B66</f>
        <v>0.37063072132559166</v>
      </c>
    </row>
    <row r="67" spans="1:6" x14ac:dyDescent="0.25">
      <c r="A67" s="99" t="s">
        <v>213</v>
      </c>
      <c r="B67" s="49">
        <v>402429848</v>
      </c>
      <c r="C67" s="49">
        <v>207777150</v>
      </c>
      <c r="D67" s="49">
        <v>98557012.104862496</v>
      </c>
      <c r="E67" s="50">
        <f>VLOOKUP($A67,'Data shares'!$C:$FA,154)*100</f>
        <v>52.959999999999994</v>
      </c>
      <c r="F67" s="173">
        <f>C67/B67</f>
        <v>0.51630650915336673</v>
      </c>
    </row>
    <row r="68" spans="1:6" x14ac:dyDescent="0.25">
      <c r="A68" s="99" t="s">
        <v>214</v>
      </c>
      <c r="B68" s="49">
        <v>22585180</v>
      </c>
      <c r="C68" s="49">
        <v>21435750</v>
      </c>
      <c r="D68" s="49">
        <v>12635644.651732501</v>
      </c>
      <c r="E68" s="50">
        <f>VLOOKUP($A68,'Data shares'!$C:$FA,154)*100</f>
        <v>95.92</v>
      </c>
      <c r="F68" s="173">
        <f>C68/B68</f>
        <v>0.9491068922187027</v>
      </c>
    </row>
    <row r="69" spans="1:6" x14ac:dyDescent="0.25">
      <c r="A69" s="99" t="s">
        <v>631</v>
      </c>
      <c r="B69" s="49">
        <v>534704421</v>
      </c>
      <c r="C69" s="49">
        <v>402555150</v>
      </c>
      <c r="D69" s="49">
        <v>154384700.78239399</v>
      </c>
      <c r="E69" s="50">
        <f>VLOOKUP($A69,'Data shares'!$C:$FA,154)*100</f>
        <v>76.64</v>
      </c>
      <c r="F69" s="173">
        <f>C69/B69</f>
        <v>0.75285547339807768</v>
      </c>
    </row>
    <row r="70" spans="1:6" x14ac:dyDescent="0.25">
      <c r="A70" s="99" t="s">
        <v>217</v>
      </c>
      <c r="B70" s="49">
        <v>58001204</v>
      </c>
      <c r="C70" s="49">
        <v>13990000</v>
      </c>
      <c r="D70" s="49">
        <v>9211795.5965849999</v>
      </c>
      <c r="E70" s="50">
        <f>VLOOKUP($A70,'Data shares'!$C:$FA,154)*100</f>
        <v>24.52</v>
      </c>
      <c r="F70" s="173">
        <f>C70/B70</f>
        <v>0.24120188953318969</v>
      </c>
    </row>
    <row r="71" spans="1:6" x14ac:dyDescent="0.25">
      <c r="A71" s="99" t="s">
        <v>218</v>
      </c>
      <c r="B71" s="49">
        <v>24082879</v>
      </c>
      <c r="C71" s="49">
        <v>14548600</v>
      </c>
      <c r="D71" s="49">
        <v>8985511.6247792505</v>
      </c>
      <c r="E71" s="50">
        <f>VLOOKUP($A71,'Data shares'!$C:$FA,154)*100</f>
        <v>61.150000000000006</v>
      </c>
      <c r="F71" s="173">
        <f>C71/B71</f>
        <v>0.60410551412893787</v>
      </c>
    </row>
    <row r="72" spans="1:6" x14ac:dyDescent="0.25">
      <c r="A72" s="99" t="s">
        <v>219</v>
      </c>
      <c r="B72" s="49">
        <v>38514157</v>
      </c>
      <c r="C72" s="49">
        <v>20430000</v>
      </c>
      <c r="D72" s="49">
        <v>12738320.088575</v>
      </c>
      <c r="E72" s="50">
        <f>VLOOKUP($A72,'Data shares'!$C:$FA,154)*100</f>
        <v>53.480000000000004</v>
      </c>
      <c r="F72" s="173">
        <f>C72/B72</f>
        <v>0.53045429502715069</v>
      </c>
    </row>
    <row r="73" spans="1:6" x14ac:dyDescent="0.25">
      <c r="A73" s="99" t="s">
        <v>513</v>
      </c>
      <c r="B73" s="49">
        <v>28450886</v>
      </c>
      <c r="C73" s="49">
        <v>23226300</v>
      </c>
      <c r="D73" s="49">
        <v>9757634.861397</v>
      </c>
      <c r="E73" s="50">
        <f>VLOOKUP($A73,'Data shares'!$C:$FA,154)*100</f>
        <v>83.81</v>
      </c>
      <c r="F73" s="173">
        <f>C73/B73</f>
        <v>0.81636473465184878</v>
      </c>
    </row>
    <row r="74" spans="1:6" x14ac:dyDescent="0.25">
      <c r="A74" s="99" t="s">
        <v>220</v>
      </c>
      <c r="B74" s="49">
        <v>38133766</v>
      </c>
      <c r="C74" s="49">
        <v>12885000</v>
      </c>
      <c r="D74" s="49">
        <v>8082009.9965650002</v>
      </c>
      <c r="E74" s="50">
        <f>VLOOKUP($A74,'Data shares'!$C:$FA,154)*100</f>
        <v>34.29</v>
      </c>
      <c r="F74" s="173">
        <f>C74/B74</f>
        <v>0.33788952289684687</v>
      </c>
    </row>
    <row r="75" spans="1:6" x14ac:dyDescent="0.25">
      <c r="A75" s="99" t="s">
        <v>222</v>
      </c>
      <c r="B75" s="49">
        <v>145993539</v>
      </c>
      <c r="C75" s="49">
        <v>28367850</v>
      </c>
      <c r="D75" s="49">
        <v>17078084.464671999</v>
      </c>
      <c r="E75" s="50">
        <f>VLOOKUP($A75,'Data shares'!$C:$FA,154)*100</f>
        <v>19.88</v>
      </c>
      <c r="F75" s="173">
        <f>C75/B75</f>
        <v>0.19430894130184762</v>
      </c>
    </row>
    <row r="76" spans="1:6" x14ac:dyDescent="0.25">
      <c r="A76" s="99" t="s">
        <v>475</v>
      </c>
      <c r="B76" s="49">
        <v>30518916</v>
      </c>
      <c r="C76" s="49">
        <v>12522600</v>
      </c>
      <c r="D76" s="49">
        <v>6243390.0539309997</v>
      </c>
      <c r="E76" s="50">
        <f>VLOOKUP($A76,'Data shares'!$C:$FA,154)*100</f>
        <v>42.65</v>
      </c>
      <c r="F76" s="173">
        <f>C76/B76</f>
        <v>0.41032256846868348</v>
      </c>
    </row>
    <row r="77" spans="1:6" x14ac:dyDescent="0.25">
      <c r="A77" s="99" t="s">
        <v>224</v>
      </c>
      <c r="B77" s="49">
        <v>1329733550</v>
      </c>
      <c r="C77" s="49">
        <v>295529850</v>
      </c>
      <c r="D77" s="49">
        <v>219017954.23202199</v>
      </c>
      <c r="E77" s="50">
        <f>VLOOKUP($A77,'Data shares'!$C:$FA,154)*100</f>
        <v>22.509999999999998</v>
      </c>
      <c r="F77" s="173">
        <f>C77/B77</f>
        <v>0.22224741941722084</v>
      </c>
    </row>
    <row r="78" spans="1:6" x14ac:dyDescent="0.25">
      <c r="A78" s="99" t="s">
        <v>225</v>
      </c>
      <c r="B78" s="49">
        <v>119296253</v>
      </c>
      <c r="C78" s="49">
        <v>58216400</v>
      </c>
      <c r="D78" s="49">
        <v>31012158.693967</v>
      </c>
      <c r="E78" s="50">
        <f>VLOOKUP($A78,'Data shares'!$C:$FA,154)*100</f>
        <v>49.47</v>
      </c>
      <c r="F78" s="173">
        <f>C78/B78</f>
        <v>0.48799856270422842</v>
      </c>
    </row>
    <row r="79" spans="1:6" x14ac:dyDescent="0.25">
      <c r="A79" s="99" t="s">
        <v>226</v>
      </c>
      <c r="B79" s="49">
        <v>19579129</v>
      </c>
      <c r="C79" s="49">
        <v>13014450</v>
      </c>
      <c r="D79" s="49">
        <v>6254323.2287640003</v>
      </c>
      <c r="E79" s="50">
        <f>VLOOKUP($A79,'Data shares'!$C:$FA,154)*100</f>
        <v>68.84</v>
      </c>
      <c r="F79" s="173">
        <f>C79/B79</f>
        <v>0.66471036581862253</v>
      </c>
    </row>
    <row r="80" spans="1:6" x14ac:dyDescent="0.25">
      <c r="A80" s="99" t="s">
        <v>576</v>
      </c>
      <c r="B80" s="49">
        <v>147979599</v>
      </c>
      <c r="C80" s="49">
        <v>206838600</v>
      </c>
      <c r="D80" s="49">
        <v>89346056.637734994</v>
      </c>
      <c r="E80" s="50">
        <f>VLOOKUP($A80,'Data shares'!$C:$FA,154)*100</f>
        <v>141.98999999999998</v>
      </c>
      <c r="F80" s="173">
        <f>C80/B80</f>
        <v>1.39775078049779</v>
      </c>
    </row>
    <row r="81" spans="1:6" x14ac:dyDescent="0.25">
      <c r="A81" s="99" t="s">
        <v>228</v>
      </c>
      <c r="B81" s="49">
        <v>176136372</v>
      </c>
      <c r="C81" s="49">
        <v>104652800</v>
      </c>
      <c r="D81" s="49">
        <v>76768457.569355994</v>
      </c>
      <c r="E81" s="50">
        <f>VLOOKUP($A81,'Data shares'!$C:$FA,154)*100</f>
        <v>60.22</v>
      </c>
      <c r="F81" s="173">
        <f>C81/B81</f>
        <v>0.59415780404515206</v>
      </c>
    </row>
    <row r="82" spans="1:6" x14ac:dyDescent="0.25">
      <c r="A82" s="99" t="s">
        <v>229</v>
      </c>
      <c r="B82" s="49">
        <v>143933168</v>
      </c>
      <c r="C82" s="49">
        <v>61606575</v>
      </c>
      <c r="D82" s="49">
        <v>36790419.907446697</v>
      </c>
      <c r="E82" s="50">
        <f>VLOOKUP($A82,'Data shares'!$C:$FA,154)*100</f>
        <v>43.32</v>
      </c>
      <c r="F82" s="173">
        <f>C82/B82</f>
        <v>0.42802208730651992</v>
      </c>
    </row>
    <row r="83" spans="1:6" x14ac:dyDescent="0.25">
      <c r="A83" s="99" t="s">
        <v>230</v>
      </c>
      <c r="B83" s="49">
        <v>89517840</v>
      </c>
      <c r="C83" s="49">
        <v>21486900</v>
      </c>
      <c r="D83" s="49">
        <v>10560211.101111</v>
      </c>
      <c r="E83" s="50">
        <f>VLOOKUP($A83,'Data shares'!$C:$FA,154)*100</f>
        <v>24.529999999999998</v>
      </c>
      <c r="F83" s="173">
        <f>C83/B83</f>
        <v>0.24002925003552364</v>
      </c>
    </row>
    <row r="84" spans="1:6" x14ac:dyDescent="0.25">
      <c r="A84" s="99" t="s">
        <v>669</v>
      </c>
      <c r="B84" s="49">
        <v>167680340</v>
      </c>
      <c r="C84" s="49">
        <v>119594300</v>
      </c>
      <c r="D84" s="49">
        <v>41103069.112239704</v>
      </c>
      <c r="E84" s="50"/>
      <c r="F84" s="173">
        <f>C84/B84</f>
        <v>0.71322791926590801</v>
      </c>
    </row>
    <row r="85" spans="1:6" x14ac:dyDescent="0.25">
      <c r="A85" s="99" t="s">
        <v>608</v>
      </c>
      <c r="B85" s="49">
        <v>75071250</v>
      </c>
      <c r="C85" s="49">
        <v>91699875</v>
      </c>
      <c r="D85" s="49">
        <v>31617981.822906699</v>
      </c>
      <c r="E85" s="50">
        <f>VLOOKUP($A85,'Data shares'!$C:$FA,154)*100</f>
        <v>127.25</v>
      </c>
      <c r="F85" s="173">
        <f>C85/B85</f>
        <v>1.2215045706578751</v>
      </c>
    </row>
    <row r="86" spans="1:6" x14ac:dyDescent="0.25">
      <c r="A86" s="99" t="s">
        <v>232</v>
      </c>
      <c r="B86" s="49">
        <v>579785172</v>
      </c>
      <c r="C86" s="49">
        <v>182181300</v>
      </c>
      <c r="D86" s="49">
        <v>115539486.99244</v>
      </c>
      <c r="E86" s="50">
        <f>VLOOKUP($A86,'Data shares'!$C:$FA,154)*100</f>
        <v>32.07</v>
      </c>
      <c r="F86" s="173">
        <f>C86/B86</f>
        <v>0.31422207534483132</v>
      </c>
    </row>
    <row r="87" spans="1:6" x14ac:dyDescent="0.25">
      <c r="A87" s="99" t="s">
        <v>472</v>
      </c>
      <c r="B87" s="49">
        <v>26688038</v>
      </c>
      <c r="C87" s="49">
        <v>8685300</v>
      </c>
      <c r="D87" s="49">
        <v>5615053.9185357504</v>
      </c>
      <c r="E87" s="50">
        <f>VLOOKUP($A87,'Data shares'!$C:$FA,154)*100</f>
        <v>32.68</v>
      </c>
      <c r="F87" s="173">
        <f>C87/B87</f>
        <v>0.32543793590221959</v>
      </c>
    </row>
    <row r="88" spans="1:6" x14ac:dyDescent="0.25">
      <c r="A88" s="99" t="s">
        <v>233</v>
      </c>
      <c r="B88" s="49">
        <v>48653643</v>
      </c>
      <c r="C88" s="49">
        <v>23382150</v>
      </c>
      <c r="D88" s="49">
        <v>16679524.180857999</v>
      </c>
      <c r="E88" s="50">
        <f>VLOOKUP($A88,'Data shares'!$C:$FA,154)*100</f>
        <v>48.54</v>
      </c>
      <c r="F88" s="173">
        <f>C88/B88</f>
        <v>0.48058374580501606</v>
      </c>
    </row>
    <row r="89" spans="1:6" x14ac:dyDescent="0.25">
      <c r="A89" s="99" t="s">
        <v>234</v>
      </c>
      <c r="B89" s="49">
        <v>8713529091</v>
      </c>
      <c r="C89" s="49">
        <v>10457364300</v>
      </c>
      <c r="D89" s="49">
        <v>6023459755.16008</v>
      </c>
      <c r="E89" s="50">
        <f>VLOOKUP($A89,'Data shares'!$C:$FA,154)*100</f>
        <v>121.50000000000001</v>
      </c>
      <c r="F89" s="173">
        <f>C89/B89</f>
        <v>1.2001296134767216</v>
      </c>
    </row>
    <row r="90" spans="1:6" x14ac:dyDescent="0.25">
      <c r="A90" s="99" t="s">
        <v>235</v>
      </c>
      <c r="B90" s="49">
        <v>761294821</v>
      </c>
      <c r="C90" s="49">
        <v>578324075</v>
      </c>
      <c r="D90" s="49">
        <v>340414360.500893</v>
      </c>
      <c r="E90" s="50">
        <f>VLOOKUP($A90,'Data shares'!$C:$FA,154)*100</f>
        <v>77.100000000000009</v>
      </c>
      <c r="F90" s="173">
        <f>C90/B90</f>
        <v>0.75965849109592198</v>
      </c>
    </row>
    <row r="91" spans="1:6" x14ac:dyDescent="0.25">
      <c r="A91" s="99" t="s">
        <v>514</v>
      </c>
      <c r="B91" s="49">
        <v>133395043</v>
      </c>
      <c r="C91" s="49">
        <v>134872500</v>
      </c>
      <c r="D91" s="49">
        <v>53238113.540775001</v>
      </c>
      <c r="E91" s="50">
        <f>VLOOKUP($A91,'Data shares'!$C:$FA,154)*100</f>
        <v>103.33000000000001</v>
      </c>
      <c r="F91" s="173">
        <f>C91/B91</f>
        <v>1.0110758013699204</v>
      </c>
    </row>
    <row r="92" spans="1:6" x14ac:dyDescent="0.25">
      <c r="A92" s="99" t="s">
        <v>667</v>
      </c>
      <c r="B92" s="49">
        <v>47888370</v>
      </c>
      <c r="C92" s="49">
        <v>23486100</v>
      </c>
      <c r="D92" s="49">
        <v>11364870.895818001</v>
      </c>
      <c r="E92" s="50">
        <f>VLOOKUP($A92,'Data shares'!$C:$FA,154)*100</f>
        <v>50.07</v>
      </c>
      <c r="F92" s="173">
        <f>C92/B92</f>
        <v>0.49043431630686113</v>
      </c>
    </row>
    <row r="93" spans="1:6" x14ac:dyDescent="0.25">
      <c r="A93" s="99" t="s">
        <v>501</v>
      </c>
      <c r="B93" s="49">
        <v>111956321</v>
      </c>
      <c r="C93" s="49">
        <v>43569000</v>
      </c>
      <c r="D93" s="49">
        <v>26547801.5462</v>
      </c>
      <c r="E93" s="50">
        <f>VLOOKUP($A93,'Data shares'!$C:$FA,154)*100</f>
        <v>39.69</v>
      </c>
      <c r="F93" s="173">
        <f>C93/B93</f>
        <v>0.38916069776890938</v>
      </c>
    </row>
    <row r="94" spans="1:6" x14ac:dyDescent="0.25">
      <c r="A94" s="99" t="s">
        <v>578</v>
      </c>
      <c r="B94" s="49">
        <v>52862157</v>
      </c>
      <c r="C94" s="49">
        <v>28395000</v>
      </c>
      <c r="D94" s="49">
        <v>11666862.707119999</v>
      </c>
      <c r="E94" s="50">
        <f>VLOOKUP($A94,'Data shares'!$C:$FA,154)*100</f>
        <v>55.059999999999995</v>
      </c>
      <c r="F94" s="173">
        <f>C94/B94</f>
        <v>0.53715174732654214</v>
      </c>
    </row>
    <row r="95" spans="1:6" x14ac:dyDescent="0.25">
      <c r="A95" s="99" t="s">
        <v>238</v>
      </c>
      <c r="B95" s="49">
        <v>32732860</v>
      </c>
      <c r="C95" s="49">
        <v>34948950</v>
      </c>
      <c r="D95" s="49">
        <v>12030404.294209501</v>
      </c>
      <c r="E95" s="50">
        <f>VLOOKUP($A95,'Data shares'!$C:$FA,154)*100</f>
        <v>110.87</v>
      </c>
      <c r="F95" s="173">
        <f>C95/B95</f>
        <v>1.0677023028235235</v>
      </c>
    </row>
    <row r="96" spans="1:6" x14ac:dyDescent="0.25">
      <c r="A96" s="99" t="s">
        <v>239</v>
      </c>
      <c r="B96" s="49">
        <v>93805784</v>
      </c>
      <c r="C96" s="49">
        <v>70035700</v>
      </c>
      <c r="D96" s="49">
        <v>43602380.708039999</v>
      </c>
      <c r="E96" s="50">
        <f>VLOOKUP($A96,'Data shares'!$C:$FA,154)*100</f>
        <v>75.58</v>
      </c>
      <c r="F96" s="173">
        <f>C96/B96</f>
        <v>0.74660321585287326</v>
      </c>
    </row>
    <row r="97" spans="1:6" x14ac:dyDescent="0.25">
      <c r="A97" s="99" t="s">
        <v>473</v>
      </c>
      <c r="B97" s="49">
        <v>197705578</v>
      </c>
      <c r="C97" s="49">
        <v>123027300</v>
      </c>
      <c r="D97" s="49">
        <v>76188855.452877</v>
      </c>
      <c r="E97" s="50">
        <f>VLOOKUP($A97,'Data shares'!$C:$FA,154)*100</f>
        <v>63.139999999999993</v>
      </c>
      <c r="F97" s="173">
        <f>C97/B97</f>
        <v>0.62227531081596499</v>
      </c>
    </row>
    <row r="98" spans="1:6" x14ac:dyDescent="0.25">
      <c r="A98" s="99" t="s">
        <v>240</v>
      </c>
      <c r="B98" s="49">
        <v>341789333</v>
      </c>
      <c r="C98" s="49">
        <v>119186800</v>
      </c>
      <c r="D98" s="49">
        <v>72472710.073487997</v>
      </c>
      <c r="E98" s="50">
        <f>VLOOKUP($A98,'Data shares'!$C:$FA,154)*100</f>
        <v>35.49</v>
      </c>
      <c r="F98" s="173">
        <f>C98/B98</f>
        <v>0.34871421806484521</v>
      </c>
    </row>
    <row r="99" spans="1:6" x14ac:dyDescent="0.25">
      <c r="A99" s="99" t="s">
        <v>670</v>
      </c>
      <c r="B99" s="49">
        <v>144708707</v>
      </c>
      <c r="C99" s="49">
        <v>153522753</v>
      </c>
      <c r="D99" s="49">
        <v>75883497.700154394</v>
      </c>
      <c r="E99" s="50">
        <f>VLOOKUP($A99,'Data shares'!$C:$FA,154)*100</f>
        <v>108.76999999999998</v>
      </c>
      <c r="F99" s="173">
        <f>C99/B99</f>
        <v>1.0609088850472557</v>
      </c>
    </row>
    <row r="100" spans="1:6" x14ac:dyDescent="0.25">
      <c r="A100" s="99" t="s">
        <v>241</v>
      </c>
      <c r="B100" s="49">
        <v>684903861</v>
      </c>
      <c r="C100" s="49">
        <v>199182750</v>
      </c>
      <c r="D100" s="49">
        <v>97236652.931876197</v>
      </c>
      <c r="E100" s="50">
        <f>VLOOKUP($A100,'Data shares'!$C:$FA,154)*100</f>
        <v>29.439999999999998</v>
      </c>
      <c r="F100" s="173">
        <f>C100/B100</f>
        <v>0.29081855329181738</v>
      </c>
    </row>
    <row r="101" spans="1:6" x14ac:dyDescent="0.25">
      <c r="A101" s="99" t="s">
        <v>490</v>
      </c>
      <c r="B101" s="49">
        <v>30082783</v>
      </c>
      <c r="C101" s="49">
        <v>37525250</v>
      </c>
      <c r="D101" s="49">
        <v>18081741.180369999</v>
      </c>
      <c r="E101" s="50"/>
      <c r="F101" s="173">
        <f>C101/B101</f>
        <v>1.2473995507662972</v>
      </c>
    </row>
    <row r="102" spans="1:6" x14ac:dyDescent="0.25">
      <c r="A102" s="99" t="s">
        <v>665</v>
      </c>
      <c r="B102" s="49">
        <v>119011160</v>
      </c>
      <c r="C102" s="49">
        <v>111773100</v>
      </c>
      <c r="D102" s="49">
        <v>46195564.586208001</v>
      </c>
      <c r="E102" s="50">
        <f>VLOOKUP($A102,'Data shares'!$C:$FA,154)*100</f>
        <v>96.95</v>
      </c>
      <c r="F102" s="173">
        <f>C102/B102</f>
        <v>0.93918167002153408</v>
      </c>
    </row>
    <row r="103" spans="1:6" x14ac:dyDescent="0.25">
      <c r="A103" s="99" t="s">
        <v>592</v>
      </c>
      <c r="B103" s="49">
        <v>226853356</v>
      </c>
      <c r="C103" s="49">
        <v>111333000</v>
      </c>
      <c r="D103" s="49">
        <v>44231244.236675002</v>
      </c>
      <c r="E103" s="50">
        <f>VLOOKUP($A103,'Data shares'!$C:$FA,154)*100</f>
        <v>49.76</v>
      </c>
      <c r="F103" s="173">
        <f>C103/B103</f>
        <v>0.49077078674560143</v>
      </c>
    </row>
    <row r="104" spans="1:6" x14ac:dyDescent="0.25">
      <c r="A104" s="99" t="s">
        <v>242</v>
      </c>
      <c r="B104" s="49">
        <v>1251412841</v>
      </c>
      <c r="C104" s="49">
        <v>273136000</v>
      </c>
      <c r="D104" s="49">
        <v>172159194.69924799</v>
      </c>
      <c r="E104" s="50">
        <f>VLOOKUP($A104,'Data shares'!$C:$FA,154)*100</f>
        <v>22.03</v>
      </c>
      <c r="F104" s="173">
        <f>C104/B104</f>
        <v>0.21826210428026127</v>
      </c>
    </row>
    <row r="105" spans="1:6" x14ac:dyDescent="0.25">
      <c r="A105" s="99" t="s">
        <v>243</v>
      </c>
      <c r="B105" s="49">
        <v>54776702</v>
      </c>
      <c r="C105" s="49">
        <v>22843750</v>
      </c>
      <c r="D105" s="49">
        <v>13101272.739700001</v>
      </c>
      <c r="E105" s="50">
        <f>VLOOKUP($A105,'Data shares'!$C:$FA,154)*100</f>
        <v>42.24</v>
      </c>
      <c r="F105" s="173">
        <f>C105/B105</f>
        <v>0.41703405217787665</v>
      </c>
    </row>
    <row r="106" spans="1:6" x14ac:dyDescent="0.25">
      <c r="A106" s="99" t="s">
        <v>570</v>
      </c>
      <c r="B106" s="49">
        <v>446457456</v>
      </c>
      <c r="C106" s="49">
        <v>273314400</v>
      </c>
      <c r="D106" s="49">
        <v>151724572.166134</v>
      </c>
      <c r="E106" s="50">
        <f>VLOOKUP($A106,'Data shares'!$C:$FA,154)*100</f>
        <v>62.41</v>
      </c>
      <c r="F106" s="173">
        <f>C106/B106</f>
        <v>0.61218464677180795</v>
      </c>
    </row>
    <row r="107" spans="1:6" x14ac:dyDescent="0.25">
      <c r="A107" s="99" t="s">
        <v>580</v>
      </c>
      <c r="B107" s="49">
        <v>80203755</v>
      </c>
      <c r="C107" s="49">
        <v>71441000</v>
      </c>
      <c r="D107" s="49">
        <v>43202525.783079997</v>
      </c>
      <c r="E107" s="50">
        <f>VLOOKUP($A107,'Data shares'!$C:$FA,154)*100</f>
        <v>89.89</v>
      </c>
      <c r="F107" s="173">
        <f>C107/B107</f>
        <v>0.89074383113359223</v>
      </c>
    </row>
    <row r="108" spans="1:6" x14ac:dyDescent="0.25">
      <c r="A108" s="99" t="s">
        <v>244</v>
      </c>
      <c r="B108" s="49">
        <v>133166619</v>
      </c>
      <c r="C108" s="49">
        <v>78928425</v>
      </c>
      <c r="D108" s="49">
        <v>47190050.694017999</v>
      </c>
      <c r="E108" s="50">
        <f>VLOOKUP($A108,'Data shares'!$C:$FA,154)*100</f>
        <v>60.34</v>
      </c>
      <c r="F108" s="173">
        <f>C108/B108</f>
        <v>0.59270427974145679</v>
      </c>
    </row>
    <row r="109" spans="1:6" x14ac:dyDescent="0.25">
      <c r="A109" s="99" t="s">
        <v>245</v>
      </c>
      <c r="B109" s="49">
        <v>48884739</v>
      </c>
      <c r="C109" s="49">
        <v>42461250</v>
      </c>
      <c r="D109" s="49">
        <v>20855656.548262499</v>
      </c>
      <c r="E109" s="50">
        <f>VLOOKUP($A109,'Data shares'!$C:$FA,154)*100</f>
        <v>90.8</v>
      </c>
      <c r="F109" s="173">
        <f>C109/B109</f>
        <v>0.86859929844363082</v>
      </c>
    </row>
    <row r="110" spans="1:6" x14ac:dyDescent="0.25">
      <c r="A110" s="99" t="s">
        <v>582</v>
      </c>
      <c r="B110" s="49">
        <v>57552009</v>
      </c>
      <c r="C110" s="49">
        <v>51529625</v>
      </c>
      <c r="D110" s="49">
        <v>30206660.427017499</v>
      </c>
      <c r="E110" s="50">
        <f>VLOOKUP($A110,'Data shares'!$C:$FA,154)*100</f>
        <v>90.9</v>
      </c>
      <c r="F110" s="173">
        <f>C110/B110</f>
        <v>0.89535753651970684</v>
      </c>
    </row>
    <row r="111" spans="1:6" x14ac:dyDescent="0.25">
      <c r="A111" s="99" t="s">
        <v>677</v>
      </c>
      <c r="B111" s="49">
        <v>4667784</v>
      </c>
      <c r="C111" s="49">
        <v>14490700</v>
      </c>
      <c r="D111" s="49">
        <v>3155998.1621139999</v>
      </c>
      <c r="E111" s="50"/>
      <c r="F111" s="173">
        <f>C111/B111</f>
        <v>3.1044067163347746</v>
      </c>
    </row>
    <row r="112" spans="1:6" x14ac:dyDescent="0.25">
      <c r="A112" s="99" t="s">
        <v>610</v>
      </c>
      <c r="B112" s="49">
        <v>9313740</v>
      </c>
      <c r="C112" s="49">
        <v>2240525</v>
      </c>
      <c r="D112" s="49">
        <v>1133097.4684225</v>
      </c>
      <c r="E112" s="50">
        <f>VLOOKUP($A112,'Data shares'!$C:$FA,154)*100</f>
        <v>24.779999999999998</v>
      </c>
      <c r="F112" s="173">
        <f>C112/B112</f>
        <v>0.24056125680983151</v>
      </c>
    </row>
    <row r="113" spans="1:6" x14ac:dyDescent="0.25">
      <c r="A113" s="99" t="s">
        <v>684</v>
      </c>
      <c r="B113" s="49">
        <v>19911179</v>
      </c>
      <c r="C113" s="49">
        <v>7769050</v>
      </c>
      <c r="D113" s="49">
        <v>3106323.1319865002</v>
      </c>
      <c r="E113" s="50">
        <f>VLOOKUP($A113,'Data shares'!$C:$FA,154)*100</f>
        <v>39.979999999999997</v>
      </c>
      <c r="F113" s="173">
        <f>C113/B113</f>
        <v>0.3901853325712154</v>
      </c>
    </row>
    <row r="114" spans="1:6" x14ac:dyDescent="0.25">
      <c r="A114" s="99" t="s">
        <v>246</v>
      </c>
      <c r="B114" s="49">
        <v>215751979</v>
      </c>
      <c r="C114" s="49">
        <v>56592800</v>
      </c>
      <c r="D114" s="49">
        <v>39506015.446744002</v>
      </c>
      <c r="E114" s="50">
        <f>VLOOKUP($A114,'Data shares'!$C:$FA,154)*100</f>
        <v>26.529999999999998</v>
      </c>
      <c r="F114" s="173">
        <f>C114/B114</f>
        <v>0.26230489408396113</v>
      </c>
    </row>
    <row r="115" spans="1:6" x14ac:dyDescent="0.25">
      <c r="A115" s="99" t="s">
        <v>577</v>
      </c>
      <c r="B115" s="49">
        <v>24568295</v>
      </c>
      <c r="C115" s="49">
        <v>8070050</v>
      </c>
      <c r="D115" s="49">
        <v>3558315.9194377498</v>
      </c>
      <c r="E115" s="50">
        <f>VLOOKUP($A115,'Data shares'!$C:$FA,154)*100</f>
        <v>33.44</v>
      </c>
      <c r="F115" s="173">
        <f>C115/B115</f>
        <v>0.32847415744560216</v>
      </c>
    </row>
    <row r="116" spans="1:6" x14ac:dyDescent="0.25">
      <c r="A116" s="99" t="s">
        <v>535</v>
      </c>
      <c r="B116" s="49">
        <v>58629477</v>
      </c>
      <c r="C116" s="49">
        <v>29043650</v>
      </c>
      <c r="D116" s="49">
        <v>13648469.5753385</v>
      </c>
      <c r="E116" s="50">
        <f>VLOOKUP($A116,'Data shares'!$C:$FA,154)*100</f>
        <v>50.61</v>
      </c>
      <c r="F116" s="173">
        <f>C116/B116</f>
        <v>0.49537624222709681</v>
      </c>
    </row>
    <row r="117" spans="1:6" x14ac:dyDescent="0.25">
      <c r="A117" s="99" t="s">
        <v>248</v>
      </c>
      <c r="B117" s="49">
        <v>45183075</v>
      </c>
      <c r="C117" s="49">
        <v>53969000</v>
      </c>
      <c r="D117" s="49">
        <v>33311442.561730001</v>
      </c>
      <c r="E117" s="50">
        <f>VLOOKUP($A117,'Data shares'!$C:$FA,154)*100</f>
        <v>121.36</v>
      </c>
      <c r="F117" s="173">
        <f>C117/B117</f>
        <v>1.1944516835120231</v>
      </c>
    </row>
    <row r="118" spans="1:6" x14ac:dyDescent="0.25">
      <c r="A118" s="99" t="s">
        <v>607</v>
      </c>
      <c r="B118" s="49">
        <v>32057152</v>
      </c>
      <c r="C118" s="49">
        <v>25907700</v>
      </c>
      <c r="D118" s="49">
        <v>10446338.895251</v>
      </c>
      <c r="E118" s="50">
        <f>VLOOKUP($A118,'Data shares'!$C:$FA,154)*100</f>
        <v>82.14</v>
      </c>
      <c r="F118" s="173">
        <f>C118/B118</f>
        <v>0.80817222939829469</v>
      </c>
    </row>
    <row r="119" spans="1:6" x14ac:dyDescent="0.25">
      <c r="A119" s="99" t="s">
        <v>588</v>
      </c>
      <c r="B119" s="49">
        <v>42060143</v>
      </c>
      <c r="C119" s="49">
        <v>20310300</v>
      </c>
      <c r="D119" s="49">
        <v>12364583.5066185</v>
      </c>
      <c r="E119" s="50">
        <f>VLOOKUP($A119,'Data shares'!$C:$FA,154)*100</f>
        <v>49.120000000000005</v>
      </c>
      <c r="F119" s="173">
        <f>C119/B119</f>
        <v>0.48288708861498642</v>
      </c>
    </row>
    <row r="120" spans="1:6" x14ac:dyDescent="0.25">
      <c r="A120" s="99" t="s">
        <v>249</v>
      </c>
      <c r="B120" s="49">
        <v>136007303</v>
      </c>
      <c r="C120" s="49">
        <v>22387050</v>
      </c>
      <c r="D120" s="49">
        <v>13826802.3303777</v>
      </c>
      <c r="E120" s="50">
        <f>VLOOKUP($A120,'Data shares'!$C:$FA,154)*100</f>
        <v>16.71</v>
      </c>
      <c r="F120" s="173">
        <f>C120/B120</f>
        <v>0.16460182288887826</v>
      </c>
    </row>
    <row r="121" spans="1:6" x14ac:dyDescent="0.25">
      <c r="A121" s="99" t="s">
        <v>565</v>
      </c>
      <c r="B121" s="49">
        <v>126777205</v>
      </c>
      <c r="C121" s="49">
        <v>97969184</v>
      </c>
      <c r="D121" s="49">
        <v>40914005.699861601</v>
      </c>
      <c r="E121" s="50">
        <f>VLOOKUP($A121,'Data shares'!$C:$FA,154)*100</f>
        <v>81.06</v>
      </c>
      <c r="F121" s="173">
        <f>C121/B121</f>
        <v>0.77276655531252636</v>
      </c>
    </row>
    <row r="122" spans="1:6" x14ac:dyDescent="0.25">
      <c r="A122" s="99" t="s">
        <v>561</v>
      </c>
      <c r="B122" s="49">
        <v>9315942</v>
      </c>
      <c r="C122" s="49">
        <v>4060200</v>
      </c>
      <c r="D122" s="49">
        <v>2260346.7345329998</v>
      </c>
      <c r="E122" s="50">
        <f>VLOOKUP($A122,'Data shares'!$C:$FA,154)*100</f>
        <v>44.629999999999995</v>
      </c>
      <c r="F122" s="173">
        <f>C122/B122</f>
        <v>0.43583354211522568</v>
      </c>
    </row>
    <row r="123" spans="1:6" x14ac:dyDescent="0.25">
      <c r="A123" s="99" t="s">
        <v>250</v>
      </c>
      <c r="B123" s="49">
        <v>35341043</v>
      </c>
      <c r="C123" s="49">
        <v>12173700</v>
      </c>
      <c r="D123" s="49">
        <v>7107136.8521137498</v>
      </c>
      <c r="E123" s="50">
        <f>VLOOKUP($A123,'Data shares'!$C:$FA,154)*100</f>
        <v>35.18</v>
      </c>
      <c r="F123" s="173">
        <f>C123/B123</f>
        <v>0.34446351795559627</v>
      </c>
    </row>
    <row r="124" spans="1:6" x14ac:dyDescent="0.25">
      <c r="A124" s="99" t="s">
        <v>251</v>
      </c>
      <c r="B124" s="49">
        <v>100261459</v>
      </c>
      <c r="C124" s="49">
        <v>28496800</v>
      </c>
      <c r="D124" s="49">
        <v>18577525.392928001</v>
      </c>
      <c r="E124" s="50">
        <f>VLOOKUP($A124,'Data shares'!$C:$FA,154)*100</f>
        <v>29.049999999999997</v>
      </c>
      <c r="F124" s="173">
        <f>C124/B124</f>
        <v>0.28422486850106582</v>
      </c>
    </row>
    <row r="125" spans="1:6" x14ac:dyDescent="0.25">
      <c r="A125" s="99" t="s">
        <v>253</v>
      </c>
      <c r="B125" s="49">
        <v>82205057</v>
      </c>
      <c r="C125" s="49">
        <v>70008000</v>
      </c>
      <c r="D125" s="49">
        <v>34616774.495159999</v>
      </c>
      <c r="E125" s="50">
        <f>VLOOKUP($A125,'Data shares'!$C:$FA,154)*100</f>
        <v>86.17</v>
      </c>
      <c r="F125" s="173">
        <f>C125/B125</f>
        <v>0.85162643947804817</v>
      </c>
    </row>
    <row r="126" spans="1:6" x14ac:dyDescent="0.25">
      <c r="A126" s="99" t="s">
        <v>673</v>
      </c>
      <c r="B126" s="49">
        <v>16915220</v>
      </c>
      <c r="C126" s="49">
        <v>4162725</v>
      </c>
      <c r="D126" s="49">
        <v>2673115.7236987501</v>
      </c>
      <c r="E126" s="50">
        <f>VLOOKUP($A126,'Data shares'!$C:$FA,154)*100</f>
        <v>25.27</v>
      </c>
      <c r="F126" s="173">
        <f>C126/B126</f>
        <v>0.24609345902684091</v>
      </c>
    </row>
    <row r="127" spans="1:6" x14ac:dyDescent="0.25">
      <c r="A127" s="99" t="s">
        <v>254</v>
      </c>
      <c r="B127" s="49">
        <v>79408529</v>
      </c>
      <c r="C127" s="49">
        <v>43094400</v>
      </c>
      <c r="D127" s="49">
        <v>34008969.749580003</v>
      </c>
      <c r="E127" s="50">
        <f>VLOOKUP($A127,'Data shares'!$C:$FA,154)*100</f>
        <v>54.98</v>
      </c>
      <c r="F127" s="173">
        <f>C127/B127</f>
        <v>0.54269233472389344</v>
      </c>
    </row>
    <row r="128" spans="1:6" x14ac:dyDescent="0.25">
      <c r="A128" s="99" t="s">
        <v>255</v>
      </c>
      <c r="B128" s="49">
        <v>16752897</v>
      </c>
      <c r="C128" s="49">
        <v>5768800</v>
      </c>
      <c r="D128" s="49">
        <v>3013145.5498515</v>
      </c>
      <c r="E128" s="50"/>
      <c r="F128" s="173">
        <f>C128/B128</f>
        <v>0.34434641363819046</v>
      </c>
    </row>
    <row r="129" spans="1:6" x14ac:dyDescent="0.25">
      <c r="A129" s="99" t="s">
        <v>603</v>
      </c>
      <c r="B129" s="49">
        <v>97211768</v>
      </c>
      <c r="C129" s="49">
        <v>29918700</v>
      </c>
      <c r="D129" s="49">
        <v>20475565.071333699</v>
      </c>
      <c r="E129" s="50">
        <f>VLOOKUP($A129,'Data shares'!$C:$FA,154)*100</f>
        <v>31.369999999999997</v>
      </c>
      <c r="F129" s="173">
        <f>C129/B129</f>
        <v>0.30776829406085898</v>
      </c>
    </row>
    <row r="130" spans="1:6" x14ac:dyDescent="0.25">
      <c r="A130" s="99" t="s">
        <v>674</v>
      </c>
      <c r="B130" s="49">
        <v>11364224</v>
      </c>
      <c r="C130" s="49">
        <v>10197600</v>
      </c>
      <c r="D130" s="49">
        <v>4403200.367943</v>
      </c>
      <c r="E130" s="50">
        <f>VLOOKUP($A130,'Data shares'!$C:$FA,154)*100</f>
        <v>92.56</v>
      </c>
      <c r="F130" s="173">
        <f>C130/B130</f>
        <v>0.89734239662998549</v>
      </c>
    </row>
    <row r="131" spans="1:6" x14ac:dyDescent="0.25">
      <c r="A131" s="99" t="s">
        <v>517</v>
      </c>
      <c r="B131" s="49">
        <v>7635422</v>
      </c>
      <c r="C131" s="49">
        <v>7390375</v>
      </c>
      <c r="D131" s="49">
        <v>3045106.8031737502</v>
      </c>
      <c r="E131" s="50">
        <f>VLOOKUP($A131,'Data shares'!$C:$FA,154)*100</f>
        <v>101.59</v>
      </c>
      <c r="F131" s="173">
        <f>C131/B131</f>
        <v>0.96790655447727714</v>
      </c>
    </row>
    <row r="132" spans="1:6" x14ac:dyDescent="0.25">
      <c r="A132" s="99" t="s">
        <v>257</v>
      </c>
      <c r="B132" s="49">
        <v>34712157</v>
      </c>
      <c r="C132" s="49">
        <v>10753200</v>
      </c>
      <c r="D132" s="49">
        <v>7984425.7735080002</v>
      </c>
      <c r="E132" s="50">
        <f>VLOOKUP($A132,'Data shares'!$C:$FA,154)*100</f>
        <v>31.169999999999998</v>
      </c>
      <c r="F132" s="173">
        <f>C132/B132</f>
        <v>0.30978195909865236</v>
      </c>
    </row>
    <row r="133" spans="1:6" x14ac:dyDescent="0.25">
      <c r="A133" s="99" t="s">
        <v>559</v>
      </c>
      <c r="B133" s="49">
        <v>542522848</v>
      </c>
      <c r="C133" s="49">
        <v>288631800</v>
      </c>
      <c r="D133" s="49">
        <v>182612639.66284499</v>
      </c>
      <c r="E133" s="50">
        <f>VLOOKUP($A133,'Data shares'!$C:$FA,154)*100</f>
        <v>53.690000000000005</v>
      </c>
      <c r="F133" s="173">
        <f>C133/B133</f>
        <v>0.53201777780241988</v>
      </c>
    </row>
    <row r="134" spans="1:6" x14ac:dyDescent="0.25">
      <c r="A134" s="99" t="s">
        <v>487</v>
      </c>
      <c r="B134" s="49">
        <v>14652855</v>
      </c>
      <c r="C134" s="49">
        <v>8933375</v>
      </c>
      <c r="D134" s="49">
        <v>6192343.91830175</v>
      </c>
      <c r="E134" s="50">
        <f>VLOOKUP($A134,'Data shares'!$C:$FA,154)*100</f>
        <v>61.660000000000004</v>
      </c>
      <c r="F134" s="173">
        <f>C134/B134</f>
        <v>0.60966787701099889</v>
      </c>
    </row>
    <row r="135" spans="1:6" x14ac:dyDescent="0.25">
      <c r="A135" s="99" t="s">
        <v>262</v>
      </c>
      <c r="B135" s="49">
        <v>16050690</v>
      </c>
      <c r="C135" s="49">
        <v>8328100</v>
      </c>
      <c r="D135" s="49">
        <v>3442807.0944382502</v>
      </c>
      <c r="E135" s="50">
        <f>VLOOKUP($A135,'Data shares'!$C:$FA,154)*100</f>
        <v>53.2</v>
      </c>
      <c r="F135" s="173">
        <f>C135/B135</f>
        <v>0.51886242896722823</v>
      </c>
    </row>
    <row r="136" spans="1:6" x14ac:dyDescent="0.25">
      <c r="A136" s="99" t="s">
        <v>263</v>
      </c>
      <c r="B136" s="49">
        <v>134225816</v>
      </c>
      <c r="C136" s="49">
        <v>118087500</v>
      </c>
      <c r="D136" s="49">
        <v>54492028.084762499</v>
      </c>
      <c r="E136" s="50">
        <f>VLOOKUP($A136,'Data shares'!$C:$FA,154)*100</f>
        <v>89.759999999999991</v>
      </c>
      <c r="F136" s="173">
        <f>C136/B136</f>
        <v>0.87976742119414642</v>
      </c>
    </row>
    <row r="137" spans="1:6" x14ac:dyDescent="0.25">
      <c r="A137" s="99" t="s">
        <v>264</v>
      </c>
      <c r="B137" s="49">
        <v>60530911</v>
      </c>
      <c r="C137" s="49">
        <v>13405875</v>
      </c>
      <c r="D137" s="49">
        <v>8021631.54937125</v>
      </c>
      <c r="E137" s="50">
        <f>VLOOKUP($A137,'Data shares'!$C:$FA,154)*100</f>
        <v>22.41</v>
      </c>
      <c r="F137" s="173">
        <f>C137/B137</f>
        <v>0.2214715552521587</v>
      </c>
    </row>
    <row r="138" spans="1:6" x14ac:dyDescent="0.25">
      <c r="A138" s="99" t="s">
        <v>550</v>
      </c>
      <c r="B138" s="49">
        <v>154894704</v>
      </c>
      <c r="C138" s="49">
        <v>172341000</v>
      </c>
      <c r="D138" s="49">
        <v>88421616.253295004</v>
      </c>
      <c r="E138" s="50">
        <f>VLOOKUP($A138,'Data shares'!$C:$FA,154)*100</f>
        <v>113.78999999999999</v>
      </c>
      <c r="F138" s="173">
        <f>C138/B138</f>
        <v>1.1126332634329448</v>
      </c>
    </row>
    <row r="139" spans="1:6" x14ac:dyDescent="0.25">
      <c r="A139" s="99" t="s">
        <v>591</v>
      </c>
      <c r="B139" s="49">
        <v>72342848</v>
      </c>
      <c r="C139" s="49">
        <v>54677700</v>
      </c>
      <c r="D139" s="49">
        <v>21789266.716692001</v>
      </c>
      <c r="E139" s="50">
        <f>VLOOKUP($A139,'Data shares'!$C:$FA,154)*100</f>
        <v>77.680000000000007</v>
      </c>
      <c r="F139" s="173">
        <f>C139/B139</f>
        <v>0.75581348414704386</v>
      </c>
    </row>
    <row r="140" spans="1:6" x14ac:dyDescent="0.25">
      <c r="A140" s="99" t="s">
        <v>265</v>
      </c>
      <c r="B140" s="49">
        <v>71801274</v>
      </c>
      <c r="C140" s="49">
        <v>25930000</v>
      </c>
      <c r="D140" s="49">
        <v>16652008.527565001</v>
      </c>
      <c r="E140" s="50">
        <f>VLOOKUP($A140,'Data shares'!$C:$FA,154)*100</f>
        <v>36.39</v>
      </c>
      <c r="F140" s="173">
        <f>C140/B140</f>
        <v>0.36113565338687442</v>
      </c>
    </row>
    <row r="141" spans="1:6" x14ac:dyDescent="0.25">
      <c r="A141" s="99" t="s">
        <v>585</v>
      </c>
      <c r="B141" s="49">
        <v>398201603</v>
      </c>
      <c r="C141" s="49">
        <v>141696000</v>
      </c>
      <c r="D141" s="49">
        <v>69942570.118655995</v>
      </c>
      <c r="E141" s="50">
        <f>VLOOKUP($A141,'Data shares'!$C:$FA,154)*100</f>
        <v>36.14</v>
      </c>
      <c r="F141" s="173">
        <f>C141/B141</f>
        <v>0.35583985331169043</v>
      </c>
    </row>
    <row r="142" spans="1:6" x14ac:dyDescent="0.25">
      <c r="A142" s="99" t="s">
        <v>267</v>
      </c>
      <c r="B142" s="49">
        <v>517037525</v>
      </c>
      <c r="C142" s="49">
        <v>511029000</v>
      </c>
      <c r="D142" s="49">
        <v>287183502.71158499</v>
      </c>
      <c r="E142" s="50">
        <f>VLOOKUP($A142,'Data shares'!$C:$FA,154)*100</f>
        <v>100.42999999999999</v>
      </c>
      <c r="F142" s="173">
        <f>C142/B142</f>
        <v>0.98837893825984879</v>
      </c>
    </row>
    <row r="143" spans="1:6" x14ac:dyDescent="0.25">
      <c r="A143" s="99" t="s">
        <v>268</v>
      </c>
      <c r="B143" s="49">
        <v>572782298</v>
      </c>
      <c r="C143" s="49">
        <v>149392500</v>
      </c>
      <c r="D143" s="49">
        <v>91431415.497584999</v>
      </c>
      <c r="E143" s="50">
        <f>VLOOKUP($A143,'Data shares'!$C:$FA,154)*100</f>
        <v>26.35</v>
      </c>
      <c r="F143" s="173">
        <f>C143/B143</f>
        <v>0.26081898920696045</v>
      </c>
    </row>
    <row r="144" spans="1:6" x14ac:dyDescent="0.25">
      <c r="A144" s="99" t="s">
        <v>686</v>
      </c>
      <c r="B144" s="49">
        <v>2444664</v>
      </c>
      <c r="C144" s="49">
        <v>1063225</v>
      </c>
      <c r="D144" s="49">
        <v>473953.59551775001</v>
      </c>
      <c r="E144" s="50">
        <f>VLOOKUP($A144,'Data shares'!$C:$FA,154)*100</f>
        <v>45.33</v>
      </c>
      <c r="F144" s="173">
        <f>C144/B144</f>
        <v>0.43491661839827478</v>
      </c>
    </row>
    <row r="145" spans="1:6" x14ac:dyDescent="0.25">
      <c r="A145" s="99" t="s">
        <v>613</v>
      </c>
      <c r="B145" s="49">
        <v>205324177</v>
      </c>
      <c r="C145" s="49">
        <v>87259375</v>
      </c>
      <c r="D145" s="49">
        <v>50608696.608625002</v>
      </c>
      <c r="E145" s="50">
        <f>VLOOKUP($A145,'Data shares'!$C:$FA,154)*100</f>
        <v>43.6</v>
      </c>
      <c r="F145" s="173">
        <f>C145/B145</f>
        <v>0.42498343972419772</v>
      </c>
    </row>
    <row r="146" spans="1:6" x14ac:dyDescent="0.25">
      <c r="A146" s="99" t="s">
        <v>528</v>
      </c>
      <c r="B146" s="49">
        <v>17614093</v>
      </c>
      <c r="C146" s="49">
        <v>7939750</v>
      </c>
      <c r="D146" s="49">
        <v>4284235.3226399999</v>
      </c>
      <c r="E146" s="50">
        <f>VLOOKUP($A146,'Data shares'!$C:$FA,154)*100</f>
        <v>45.97</v>
      </c>
      <c r="F146" s="173">
        <f>C146/B146</f>
        <v>0.45076121716854795</v>
      </c>
    </row>
    <row r="147" spans="1:6" x14ac:dyDescent="0.25">
      <c r="A147" s="99" t="s">
        <v>518</v>
      </c>
      <c r="B147" s="49">
        <v>3401732</v>
      </c>
      <c r="C147" s="49">
        <v>2791050</v>
      </c>
      <c r="D147" s="49">
        <v>1380269.8861515</v>
      </c>
      <c r="E147" s="50">
        <f>VLOOKUP($A147,'Data shares'!$C:$FA,154)*100</f>
        <v>83.320000000000007</v>
      </c>
      <c r="F147" s="173">
        <f>C147/B147</f>
        <v>0.82047909711876188</v>
      </c>
    </row>
    <row r="148" spans="1:6" x14ac:dyDescent="0.25">
      <c r="A148" s="99" t="s">
        <v>587</v>
      </c>
      <c r="B148" s="49">
        <v>94123587</v>
      </c>
      <c r="C148" s="49">
        <v>21746200</v>
      </c>
      <c r="D148" s="49">
        <v>10986023.92636</v>
      </c>
      <c r="E148" s="50">
        <f>VLOOKUP($A148,'Data shares'!$C:$FA,154)*100</f>
        <v>23.419999999999998</v>
      </c>
      <c r="F148" s="173">
        <f>C148/B148</f>
        <v>0.23103879370853131</v>
      </c>
    </row>
    <row r="149" spans="1:6" x14ac:dyDescent="0.25">
      <c r="A149" s="99" t="s">
        <v>269</v>
      </c>
      <c r="B149" s="49">
        <v>517141211</v>
      </c>
      <c r="C149" s="49">
        <v>189540000</v>
      </c>
      <c r="D149" s="49">
        <v>100709921.87181</v>
      </c>
      <c r="E149" s="50">
        <f>VLOOKUP($A149,'Data shares'!$C:$FA,154)*100</f>
        <v>37.01</v>
      </c>
      <c r="F149" s="173">
        <f>C149/B149</f>
        <v>0.36651497882654727</v>
      </c>
    </row>
    <row r="150" spans="1:6" x14ac:dyDescent="0.25">
      <c r="A150" s="99" t="s">
        <v>270</v>
      </c>
      <c r="B150" s="49">
        <v>955549</v>
      </c>
      <c r="C150" s="49">
        <v>453000</v>
      </c>
      <c r="D150" s="49">
        <v>250567.75170240001</v>
      </c>
      <c r="E150" s="50">
        <f>VLOOKUP($A150,'Data shares'!$C:$FA,154)*100</f>
        <v>48.22</v>
      </c>
      <c r="F150" s="173">
        <f>C150/B150</f>
        <v>0.47407301980327538</v>
      </c>
    </row>
    <row r="151" spans="1:6" x14ac:dyDescent="0.25">
      <c r="A151" s="99" t="s">
        <v>666</v>
      </c>
      <c r="B151" s="49">
        <v>50840137</v>
      </c>
      <c r="C151" s="49">
        <v>49374000</v>
      </c>
      <c r="D151" s="49">
        <v>22613829.090723</v>
      </c>
      <c r="E151" s="50">
        <f>VLOOKUP($A151,'Data shares'!$C:$FA,154)*100</f>
        <v>98.14</v>
      </c>
      <c r="F151" s="173">
        <f>C151/B151</f>
        <v>0.97116182043333199</v>
      </c>
    </row>
    <row r="152" spans="1:6" x14ac:dyDescent="0.25">
      <c r="A152" s="99" t="s">
        <v>575</v>
      </c>
      <c r="B152" s="49">
        <v>95715382</v>
      </c>
      <c r="C152" s="49">
        <v>34781150</v>
      </c>
      <c r="D152" s="49">
        <v>18189200.9104275</v>
      </c>
      <c r="E152" s="50">
        <f>VLOOKUP($A152,'Data shares'!$C:$FA,154)*100</f>
        <v>37.369999999999997</v>
      </c>
      <c r="F152" s="173">
        <f>C152/B152</f>
        <v>0.36338098718552886</v>
      </c>
    </row>
    <row r="153" spans="1:6" x14ac:dyDescent="0.25">
      <c r="A153" s="99" t="s">
        <v>529</v>
      </c>
      <c r="B153" s="49">
        <v>16151851</v>
      </c>
      <c r="C153" s="49">
        <v>3937700</v>
      </c>
      <c r="D153" s="49">
        <v>2164224.2396689998</v>
      </c>
      <c r="E153" s="50">
        <f>VLOOKUP($A153,'Data shares'!$C:$FA,154)*100</f>
        <v>25.22</v>
      </c>
      <c r="F153" s="173">
        <f>C153/B153</f>
        <v>0.24379249164693259</v>
      </c>
    </row>
    <row r="154" spans="1:6" x14ac:dyDescent="0.25">
      <c r="A154" s="99" t="s">
        <v>272</v>
      </c>
      <c r="B154" s="49">
        <v>93668136</v>
      </c>
      <c r="C154" s="49">
        <v>80364800</v>
      </c>
      <c r="D154" s="49">
        <v>37795150.060456999</v>
      </c>
      <c r="E154" s="50">
        <f>VLOOKUP($A154,'Data shares'!$C:$FA,154)*100</f>
        <v>87.72</v>
      </c>
      <c r="F154" s="173">
        <f>C154/B154</f>
        <v>0.85797372972170605</v>
      </c>
    </row>
    <row r="155" spans="1:6" x14ac:dyDescent="0.25">
      <c r="A155" s="99" t="s">
        <v>273</v>
      </c>
      <c r="B155" s="49">
        <v>203602113</v>
      </c>
      <c r="C155" s="49">
        <v>165252100</v>
      </c>
      <c r="D155" s="49">
        <v>80692972.016163006</v>
      </c>
      <c r="E155" s="50">
        <f>VLOOKUP($A155,'Data shares'!$C:$FA,154)*100</f>
        <v>82.699999999999989</v>
      </c>
      <c r="F155" s="173">
        <f>C155/B155</f>
        <v>0.81164236247391008</v>
      </c>
    </row>
    <row r="156" spans="1:6" x14ac:dyDescent="0.25">
      <c r="A156" s="99" t="s">
        <v>681</v>
      </c>
      <c r="B156" s="49">
        <v>23897684</v>
      </c>
      <c r="C156" s="49">
        <v>23789300</v>
      </c>
      <c r="D156" s="49">
        <v>7772143.6260399995</v>
      </c>
      <c r="E156" s="50">
        <f>VLOOKUP($A156,'Data shares'!$C:$FA,154)*100</f>
        <v>101.47999999999999</v>
      </c>
      <c r="F156" s="173">
        <f>C156/B156</f>
        <v>0.99546466511148113</v>
      </c>
    </row>
    <row r="157" spans="1:6" x14ac:dyDescent="0.25">
      <c r="A157" s="99" t="s">
        <v>645</v>
      </c>
      <c r="B157" s="49">
        <v>28283155</v>
      </c>
      <c r="C157" s="49">
        <v>5316150</v>
      </c>
      <c r="D157" s="49">
        <v>2916439.8545065001</v>
      </c>
      <c r="E157" s="50">
        <f>VLOOKUP($A157,'Data shares'!$C:$FA,154)*100</f>
        <v>18.899999999999999</v>
      </c>
      <c r="F157" s="173">
        <f>C157/B157</f>
        <v>0.18796170370667628</v>
      </c>
    </row>
    <row r="158" spans="1:6" x14ac:dyDescent="0.25">
      <c r="A158" s="99" t="s">
        <v>274</v>
      </c>
      <c r="B158" s="49">
        <v>31170515</v>
      </c>
      <c r="C158" s="49">
        <v>9809000</v>
      </c>
      <c r="D158" s="49">
        <v>7088306.7316849995</v>
      </c>
      <c r="E158" s="50">
        <f>VLOOKUP($A158,'Data shares'!$C:$FA,154)*100</f>
        <v>31.7</v>
      </c>
      <c r="F158" s="173">
        <f>C158/B158</f>
        <v>0.31468841628057798</v>
      </c>
    </row>
    <row r="159" spans="1:6" x14ac:dyDescent="0.25">
      <c r="A159" s="99" t="s">
        <v>483</v>
      </c>
      <c r="B159" s="49">
        <v>8178275</v>
      </c>
      <c r="C159" s="49">
        <v>4390575</v>
      </c>
      <c r="D159" s="49">
        <v>2334502.9390690001</v>
      </c>
      <c r="E159" s="50">
        <f>VLOOKUP($A159,'Data shares'!$C:$FA,154)*100</f>
        <v>54.44</v>
      </c>
      <c r="F159" s="173">
        <f>C159/B159</f>
        <v>0.53685832281257351</v>
      </c>
    </row>
    <row r="160" spans="1:6" x14ac:dyDescent="0.25">
      <c r="A160" s="99" t="s">
        <v>275</v>
      </c>
      <c r="B160" s="49">
        <v>447910372</v>
      </c>
      <c r="C160" s="49">
        <v>523632000</v>
      </c>
      <c r="D160" s="49">
        <v>231142023.14175999</v>
      </c>
      <c r="E160" s="50">
        <f>VLOOKUP($A160,'Data shares'!$C:$FA,154)*100</f>
        <v>119.11</v>
      </c>
      <c r="F160" s="173">
        <f>C160/B160</f>
        <v>1.1690553126999257</v>
      </c>
    </row>
    <row r="161" spans="1:6" x14ac:dyDescent="0.25">
      <c r="A161" s="99" t="s">
        <v>671</v>
      </c>
      <c r="B161" s="49">
        <v>28062406</v>
      </c>
      <c r="C161" s="49">
        <v>28386150</v>
      </c>
      <c r="D161" s="49">
        <v>15558691.3702025</v>
      </c>
      <c r="E161" s="50">
        <f>VLOOKUP($A161,'Data shares'!$C:$FA,154)*100</f>
        <v>102.91999999999999</v>
      </c>
      <c r="F161" s="173">
        <f>C161/B161</f>
        <v>1.011536573164824</v>
      </c>
    </row>
    <row r="162" spans="1:6" x14ac:dyDescent="0.25">
      <c r="A162" s="99" t="s">
        <v>573</v>
      </c>
      <c r="B162" s="49">
        <v>51720057</v>
      </c>
      <c r="C162" s="49">
        <v>11592000</v>
      </c>
      <c r="D162" s="49">
        <v>6281302.4842959996</v>
      </c>
      <c r="E162" s="50">
        <f>VLOOKUP($A162,'Data shares'!$C:$FA,154)*100</f>
        <v>23.080000000000002</v>
      </c>
      <c r="F162" s="173">
        <f>C162/B162</f>
        <v>0.2241296833837596</v>
      </c>
    </row>
    <row r="163" spans="1:6" x14ac:dyDescent="0.25">
      <c r="A163" s="99" t="s">
        <v>519</v>
      </c>
      <c r="B163" s="49">
        <v>8350688</v>
      </c>
      <c r="C163" s="49">
        <v>3765625</v>
      </c>
      <c r="D163" s="49">
        <v>2276022.46606</v>
      </c>
      <c r="E163" s="50"/>
      <c r="F163" s="173">
        <f>C163/B163</f>
        <v>0.45093589893431535</v>
      </c>
    </row>
    <row r="164" spans="1:6" x14ac:dyDescent="0.25">
      <c r="A164" s="99" t="s">
        <v>276</v>
      </c>
      <c r="B164" s="49">
        <v>488832949</v>
      </c>
      <c r="C164" s="49">
        <v>144094100</v>
      </c>
      <c r="D164" s="49">
        <v>84180680.503439993</v>
      </c>
      <c r="E164" s="50">
        <f>VLOOKUP($A164,'Data shares'!$C:$FA,154)*100</f>
        <v>29.84</v>
      </c>
      <c r="F164" s="173">
        <f>C164/B164</f>
        <v>0.29477166032848573</v>
      </c>
    </row>
    <row r="165" spans="1:6" x14ac:dyDescent="0.25">
      <c r="A165" s="99" t="s">
        <v>688</v>
      </c>
      <c r="B165" s="49">
        <v>1917916</v>
      </c>
      <c r="C165" s="49">
        <v>1116350</v>
      </c>
      <c r="D165" s="49">
        <v>312882.54590799997</v>
      </c>
      <c r="E165" s="50">
        <f>VLOOKUP($A165,'Data shares'!$C:$FA,154)*100</f>
        <v>60.33</v>
      </c>
      <c r="F165" s="173">
        <f>C165/B165</f>
        <v>0.58206407371334301</v>
      </c>
    </row>
    <row r="166" spans="1:6" x14ac:dyDescent="0.25">
      <c r="A166" s="99" t="s">
        <v>679</v>
      </c>
      <c r="B166" s="49">
        <v>120138597</v>
      </c>
      <c r="C166" s="49">
        <v>53587625</v>
      </c>
      <c r="D166" s="49">
        <v>22176999.897557501</v>
      </c>
      <c r="E166" s="50">
        <f>VLOOKUP($A166,'Data shares'!$C:$FA,154)*100</f>
        <v>45.39</v>
      </c>
      <c r="F166" s="173">
        <f>C166/B166</f>
        <v>0.44604836695404393</v>
      </c>
    </row>
    <row r="167" spans="1:6" x14ac:dyDescent="0.25">
      <c r="A167" s="99" t="s">
        <v>605</v>
      </c>
      <c r="B167" s="49">
        <v>25234534</v>
      </c>
      <c r="C167" s="49">
        <v>7389450</v>
      </c>
      <c r="D167" s="49">
        <v>4091119.6995720002</v>
      </c>
      <c r="E167" s="50">
        <f>VLOOKUP($A167,'Data shares'!$C:$FA,154)*100</f>
        <v>29.68</v>
      </c>
      <c r="F167" s="173">
        <f>C167/B167</f>
        <v>0.29283084839212803</v>
      </c>
    </row>
    <row r="168" spans="1:6" x14ac:dyDescent="0.25">
      <c r="A168" s="99" t="s">
        <v>279</v>
      </c>
      <c r="B168" s="49">
        <v>91351468</v>
      </c>
      <c r="C168" s="49">
        <v>120288050</v>
      </c>
      <c r="D168" s="49">
        <v>65494794.442680202</v>
      </c>
      <c r="E168" s="50">
        <f>VLOOKUP($A168,'Data shares'!$C:$FA,154)*100</f>
        <v>133.25</v>
      </c>
      <c r="F168" s="173">
        <f>C168/B168</f>
        <v>1.3167609961122901</v>
      </c>
    </row>
    <row r="169" spans="1:6" x14ac:dyDescent="0.25">
      <c r="A169" s="99" t="s">
        <v>280</v>
      </c>
      <c r="B169" s="49">
        <v>187084550</v>
      </c>
      <c r="C169" s="49">
        <v>180284775</v>
      </c>
      <c r="D169" s="49">
        <v>92179352.914161503</v>
      </c>
      <c r="E169" s="50">
        <f>VLOOKUP($A169,'Data shares'!$C:$FA,154)*100</f>
        <v>97.95</v>
      </c>
      <c r="F169" s="173">
        <f>C169/B169</f>
        <v>0.96365400029024306</v>
      </c>
    </row>
    <row r="170" spans="1:6" x14ac:dyDescent="0.25">
      <c r="A170" s="99" t="s">
        <v>281</v>
      </c>
      <c r="B170" s="49">
        <v>662701060</v>
      </c>
      <c r="C170" s="49">
        <v>174910000</v>
      </c>
      <c r="D170" s="49">
        <v>103412716.601905</v>
      </c>
      <c r="E170" s="50">
        <f>VLOOKUP($A170,'Data shares'!$C:$FA,154)*100</f>
        <v>26.900000000000002</v>
      </c>
      <c r="F170" s="173">
        <f>C170/B170</f>
        <v>0.2639349935550126</v>
      </c>
    </row>
    <row r="171" spans="1:6" x14ac:dyDescent="0.25">
      <c r="A171" s="99" t="s">
        <v>676</v>
      </c>
      <c r="B171" s="49">
        <v>84941460</v>
      </c>
      <c r="C171" s="49">
        <v>77497050</v>
      </c>
      <c r="D171" s="49">
        <v>34332289.178036503</v>
      </c>
      <c r="E171" s="50">
        <f>VLOOKUP($A171,'Data shares'!$C:$FA,154)*100</f>
        <v>94.51</v>
      </c>
      <c r="F171" s="173">
        <f>C171/B171</f>
        <v>0.91235834656008974</v>
      </c>
    </row>
    <row r="172" spans="1:6" x14ac:dyDescent="0.25">
      <c r="A172" s="99" t="s">
        <v>282</v>
      </c>
      <c r="B172" s="49">
        <v>216861410</v>
      </c>
      <c r="C172" s="49">
        <v>260488100</v>
      </c>
      <c r="D172" s="49">
        <v>153337234.30603901</v>
      </c>
      <c r="E172" s="50">
        <f>VLOOKUP($A172,'Data shares'!$C:$FA,154)*100</f>
        <v>122.02</v>
      </c>
      <c r="F172" s="173">
        <f>C172/B172</f>
        <v>1.2011731363362435</v>
      </c>
    </row>
    <row r="173" spans="1:6" x14ac:dyDescent="0.25">
      <c r="A173" s="99" t="s">
        <v>687</v>
      </c>
      <c r="B173" s="49">
        <v>122326971</v>
      </c>
      <c r="C173" s="49">
        <v>223548400</v>
      </c>
      <c r="D173" s="49">
        <v>95717780.582351997</v>
      </c>
      <c r="E173" s="50">
        <f>VLOOKUP($A173,'Data shares'!$C:$FA,154)*100</f>
        <v>187.68</v>
      </c>
      <c r="F173" s="173">
        <f>C173/B173</f>
        <v>1.827466160344966</v>
      </c>
    </row>
    <row r="174" spans="1:6" x14ac:dyDescent="0.25">
      <c r="A174" s="99" t="s">
        <v>536</v>
      </c>
      <c r="B174" s="49">
        <v>39583537</v>
      </c>
      <c r="C174" s="49">
        <v>26146400</v>
      </c>
      <c r="D174" s="49">
        <v>15052543.48092</v>
      </c>
      <c r="E174" s="50">
        <f>VLOOKUP($A174,'Data shares'!$C:$FA,154)*100</f>
        <v>67.5</v>
      </c>
      <c r="F174" s="173">
        <f>C174/B174</f>
        <v>0.66053723294105826</v>
      </c>
    </row>
    <row r="175" spans="1:6" x14ac:dyDescent="0.25">
      <c r="A175" s="99" t="s">
        <v>462</v>
      </c>
      <c r="B175" s="49">
        <v>44735132</v>
      </c>
      <c r="C175" s="49">
        <v>14342250</v>
      </c>
      <c r="D175" s="49">
        <v>8510195.8352400009</v>
      </c>
      <c r="E175" s="50">
        <f>VLOOKUP($A175,'Data shares'!$C:$FA,154)*100</f>
        <v>32.43</v>
      </c>
      <c r="F175" s="173">
        <f>C175/B175</f>
        <v>0.3206037259485453</v>
      </c>
    </row>
    <row r="176" spans="1:6" x14ac:dyDescent="0.25">
      <c r="A176" s="99" t="s">
        <v>283</v>
      </c>
      <c r="B176" s="49">
        <v>407307212</v>
      </c>
      <c r="C176" s="49">
        <v>151455000</v>
      </c>
      <c r="D176" s="49">
        <v>76185138.896362498</v>
      </c>
      <c r="E176" s="50">
        <f>VLOOKUP($A176,'Data shares'!$C:$FA,154)*100</f>
        <v>38.1</v>
      </c>
      <c r="F176" s="173">
        <f>C176/B176</f>
        <v>0.37184463112330063</v>
      </c>
    </row>
    <row r="177" spans="1:6" x14ac:dyDescent="0.25">
      <c r="A177" s="99" t="s">
        <v>284</v>
      </c>
      <c r="B177" s="49">
        <v>1548028</v>
      </c>
      <c r="C177" s="49">
        <v>539650</v>
      </c>
      <c r="D177" s="49">
        <v>311554.08864199999</v>
      </c>
      <c r="E177" s="50">
        <f>VLOOKUP($A177,'Data shares'!$C:$FA,154)*100</f>
        <v>35.410000000000004</v>
      </c>
      <c r="F177" s="173">
        <f>C177/B177</f>
        <v>0.34860480559783158</v>
      </c>
    </row>
    <row r="178" spans="1:6" x14ac:dyDescent="0.25">
      <c r="A178" s="99" t="s">
        <v>562</v>
      </c>
      <c r="B178" s="49">
        <v>210459276</v>
      </c>
      <c r="C178" s="49">
        <v>97284000</v>
      </c>
      <c r="D178" s="49">
        <v>59455770.176409699</v>
      </c>
      <c r="E178" s="50">
        <f>VLOOKUP($A178,'Data shares'!$C:$FA,154)*100</f>
        <v>47.29</v>
      </c>
      <c r="F178" s="173">
        <f>C178/B178</f>
        <v>0.4622461972167955</v>
      </c>
    </row>
    <row r="179" spans="1:6" x14ac:dyDescent="0.25">
      <c r="A179" s="99" t="s">
        <v>285</v>
      </c>
      <c r="B179" s="49">
        <v>13354588</v>
      </c>
      <c r="C179" s="49">
        <v>6566075</v>
      </c>
      <c r="D179" s="49">
        <v>3089166.0203634999</v>
      </c>
      <c r="E179" s="50"/>
      <c r="F179" s="173">
        <f>C179/B179</f>
        <v>0.49167185090247634</v>
      </c>
    </row>
    <row r="180" spans="1:6" x14ac:dyDescent="0.25">
      <c r="A180" s="99" t="s">
        <v>646</v>
      </c>
      <c r="B180" s="49">
        <v>3644817</v>
      </c>
      <c r="C180" s="49">
        <v>2108400</v>
      </c>
      <c r="D180" s="49">
        <v>976533.69772625004</v>
      </c>
      <c r="E180" s="50">
        <f>VLOOKUP($A180,'Data shares'!$C:$FA,154)*100</f>
        <v>59.019999999999996</v>
      </c>
      <c r="F180" s="173">
        <f>C180/B180</f>
        <v>0.5784652562803565</v>
      </c>
    </row>
    <row r="181" spans="1:6" x14ac:dyDescent="0.25">
      <c r="A181" s="99" t="s">
        <v>614</v>
      </c>
      <c r="B181" s="49">
        <v>67126548</v>
      </c>
      <c r="C181" s="49">
        <v>23282875</v>
      </c>
      <c r="D181" s="49">
        <v>14072821.2650235</v>
      </c>
      <c r="E181" s="50"/>
      <c r="F181" s="173">
        <f>C181/B181</f>
        <v>0.34685047412239939</v>
      </c>
    </row>
    <row r="182" spans="1:6" x14ac:dyDescent="0.25">
      <c r="A182" s="99" t="s">
        <v>286</v>
      </c>
      <c r="B182" s="49">
        <v>21205300</v>
      </c>
      <c r="C182" s="49">
        <v>6671400</v>
      </c>
      <c r="D182" s="49">
        <v>3397684.659976</v>
      </c>
      <c r="E182" s="50">
        <f>VLOOKUP($A182,'Data shares'!$C:$FA,154)*100</f>
        <v>32.019999999999996</v>
      </c>
      <c r="F182" s="173">
        <f>C182/B182</f>
        <v>0.31461002673859839</v>
      </c>
    </row>
    <row r="183" spans="1:6" x14ac:dyDescent="0.25">
      <c r="A183" s="99" t="s">
        <v>288</v>
      </c>
      <c r="B183" s="49">
        <v>109220043</v>
      </c>
      <c r="C183" s="49">
        <v>26745600</v>
      </c>
      <c r="D183" s="49">
        <v>15740002.096028</v>
      </c>
      <c r="E183" s="50">
        <f>VLOOKUP($A183,'Data shares'!$C:$FA,154)*100</f>
        <v>24.98</v>
      </c>
      <c r="F183" s="173">
        <f>C183/B183</f>
        <v>0.24487813102216047</v>
      </c>
    </row>
    <row r="184" spans="1:6" x14ac:dyDescent="0.25">
      <c r="A184" s="99" t="s">
        <v>574</v>
      </c>
      <c r="B184" s="49">
        <v>7242074</v>
      </c>
      <c r="C184" s="49">
        <v>4267200</v>
      </c>
      <c r="D184" s="49">
        <v>1996817.1951875</v>
      </c>
      <c r="E184" s="50">
        <f>VLOOKUP($A184,'Data shares'!$C:$FA,154)*100</f>
        <v>59.89</v>
      </c>
      <c r="F184" s="173">
        <f>C184/B184</f>
        <v>0.58922347382807738</v>
      </c>
    </row>
    <row r="185" spans="1:6" x14ac:dyDescent="0.25">
      <c r="A185" s="99" t="s">
        <v>685</v>
      </c>
      <c r="B185" s="49">
        <v>1813533848</v>
      </c>
      <c r="C185" s="49">
        <v>569039325</v>
      </c>
      <c r="D185" s="49">
        <v>250176598.01901901</v>
      </c>
      <c r="E185" s="50">
        <f>VLOOKUP($A185,'Data shares'!$C:$FA,154)*100</f>
        <v>32.86</v>
      </c>
      <c r="F185" s="173">
        <f>C185/B185</f>
        <v>0.31377375483096026</v>
      </c>
    </row>
    <row r="186" spans="1:6" x14ac:dyDescent="0.25">
      <c r="A186" s="99" t="s">
        <v>520</v>
      </c>
      <c r="B186" s="49">
        <v>28408333</v>
      </c>
      <c r="C186" s="49">
        <v>13472000</v>
      </c>
      <c r="D186" s="49">
        <v>8360932.6630300004</v>
      </c>
      <c r="E186" s="50">
        <f>VLOOKUP($A186,'Data shares'!$C:$FA,154)*100</f>
        <v>47.88</v>
      </c>
      <c r="F186" s="173">
        <f>C186/B186</f>
        <v>0.47422705161897394</v>
      </c>
    </row>
    <row r="187" spans="1:6" x14ac:dyDescent="0.25">
      <c r="A187" s="99" t="s">
        <v>291</v>
      </c>
      <c r="B187" s="49">
        <v>65471528</v>
      </c>
      <c r="C187" s="49">
        <v>21003950</v>
      </c>
      <c r="D187" s="49">
        <v>12174939.018945999</v>
      </c>
      <c r="E187" s="50">
        <f>VLOOKUP($A187,'Data shares'!$C:$FA,154)*100</f>
        <v>32.36</v>
      </c>
      <c r="F187" s="173">
        <f>C187/B187</f>
        <v>0.32081044450344887</v>
      </c>
    </row>
    <row r="188" spans="1:6" x14ac:dyDescent="0.25">
      <c r="A188" s="99" t="s">
        <v>604</v>
      </c>
      <c r="B188" s="49">
        <v>4309631</v>
      </c>
      <c r="C188" s="49">
        <v>3974200</v>
      </c>
      <c r="D188" s="49">
        <v>1692069.690075</v>
      </c>
      <c r="E188" s="50">
        <f>VLOOKUP($A188,'Data shares'!$C:$FA,154)*100</f>
        <v>94.08</v>
      </c>
      <c r="F188" s="173">
        <f>C188/B188</f>
        <v>0.9221671182521195</v>
      </c>
    </row>
    <row r="189" spans="1:6" x14ac:dyDescent="0.25">
      <c r="A189" s="99" t="s">
        <v>293</v>
      </c>
      <c r="B189" s="49">
        <v>169808198</v>
      </c>
      <c r="C189" s="49">
        <v>126136950</v>
      </c>
      <c r="D189" s="49">
        <v>53366072.520264499</v>
      </c>
      <c r="E189" s="50">
        <f>VLOOKUP($A189,'Data shares'!$C:$FA,154)*100</f>
        <v>76.73</v>
      </c>
      <c r="F189" s="173">
        <f>C189/B189</f>
        <v>0.74282014346562941</v>
      </c>
    </row>
    <row r="190" spans="1:6" x14ac:dyDescent="0.25">
      <c r="A190" s="99" t="s">
        <v>294</v>
      </c>
      <c r="B190" s="49">
        <v>833987639</v>
      </c>
      <c r="C190" s="49">
        <v>505593000</v>
      </c>
      <c r="D190" s="49">
        <v>261243162.11917001</v>
      </c>
      <c r="E190" s="50">
        <f>VLOOKUP($A190,'Data shares'!$C:$FA,154)*100</f>
        <v>61.88</v>
      </c>
      <c r="F190" s="173">
        <f>C190/B190</f>
        <v>0.60623560393081555</v>
      </c>
    </row>
    <row r="191" spans="1:6" x14ac:dyDescent="0.25">
      <c r="A191" s="99" t="s">
        <v>664</v>
      </c>
      <c r="B191" s="49">
        <v>27246569</v>
      </c>
      <c r="C191" s="49">
        <v>23033600</v>
      </c>
      <c r="D191" s="49">
        <v>10499230.478328001</v>
      </c>
      <c r="E191" s="50">
        <f>VLOOKUP($A191,'Data shares'!$C:$FA,154)*100</f>
        <v>86.7</v>
      </c>
      <c r="F191" s="173">
        <f>C191/B191</f>
        <v>0.84537616460993681</v>
      </c>
    </row>
    <row r="192" spans="1:6" x14ac:dyDescent="0.25">
      <c r="A192" s="99" t="s">
        <v>295</v>
      </c>
      <c r="B192" s="49">
        <v>123298271</v>
      </c>
      <c r="C192" s="49">
        <v>41398700</v>
      </c>
      <c r="D192" s="49">
        <v>24815698.1013165</v>
      </c>
      <c r="E192" s="50">
        <f>VLOOKUP($A192,'Data shares'!$C:$FA,154)*100</f>
        <v>34.380000000000003</v>
      </c>
      <c r="F192" s="173">
        <f>C192/B192</f>
        <v>0.33576058824052774</v>
      </c>
    </row>
    <row r="193" spans="1:6" x14ac:dyDescent="0.25">
      <c r="A193" s="99" t="s">
        <v>296</v>
      </c>
      <c r="B193" s="49">
        <v>76137451</v>
      </c>
      <c r="C193" s="49">
        <v>34188600</v>
      </c>
      <c r="D193" s="49">
        <v>23252274.273378</v>
      </c>
      <c r="E193" s="50"/>
      <c r="F193" s="173">
        <f>C193/B193</f>
        <v>0.44903788544221163</v>
      </c>
    </row>
    <row r="194" spans="1:6" x14ac:dyDescent="0.25">
      <c r="A194" s="99" t="s">
        <v>595</v>
      </c>
      <c r="B194" s="49">
        <v>14039249</v>
      </c>
      <c r="C194" s="49">
        <v>5777600</v>
      </c>
      <c r="D194" s="49">
        <v>3244851.4205339998</v>
      </c>
      <c r="E194" s="50">
        <f>VLOOKUP($A194,'Data shares'!$C:$FA,154)*100</f>
        <v>41.74</v>
      </c>
      <c r="F194" s="173">
        <f>C194/B194</f>
        <v>0.4115319843675399</v>
      </c>
    </row>
    <row r="195" spans="1:6" x14ac:dyDescent="0.25">
      <c r="A195" s="99" t="s">
        <v>663</v>
      </c>
      <c r="B195" s="49">
        <v>12028036</v>
      </c>
      <c r="C195" s="49">
        <v>10859050</v>
      </c>
      <c r="D195" s="49">
        <v>5055981.2648919998</v>
      </c>
      <c r="E195" s="50">
        <f>VLOOKUP($A195,'Data shares'!$C:$FA,154)*100</f>
        <v>95.49</v>
      </c>
      <c r="F195" s="173">
        <f>C195/B195</f>
        <v>0.90281156458128331</v>
      </c>
    </row>
    <row r="196" spans="1:6" x14ac:dyDescent="0.25">
      <c r="A196" s="99" t="s">
        <v>297</v>
      </c>
      <c r="B196" s="49">
        <v>41744334</v>
      </c>
      <c r="C196" s="49">
        <v>15091475</v>
      </c>
      <c r="D196" s="49">
        <v>9498369.4744084999</v>
      </c>
      <c r="E196" s="50">
        <f>VLOOKUP($A196,'Data shares'!$C:$FA,154)*100</f>
        <v>37.15</v>
      </c>
      <c r="F196" s="173">
        <f>C196/B196</f>
        <v>0.36152151810590633</v>
      </c>
    </row>
    <row r="197" spans="1:6" x14ac:dyDescent="0.25">
      <c r="A197" s="99" t="s">
        <v>690</v>
      </c>
      <c r="B197" s="49">
        <v>284575867</v>
      </c>
      <c r="C197" s="49">
        <v>201442400</v>
      </c>
      <c r="D197" s="49">
        <v>88059182.776048005</v>
      </c>
      <c r="E197" s="50">
        <f>VLOOKUP($A197,'Data shares'!$C:$FA,154)*100</f>
        <v>73.06</v>
      </c>
      <c r="F197" s="173">
        <f>C197/B197</f>
        <v>0.70786887912740681</v>
      </c>
    </row>
    <row r="198" spans="1:6" x14ac:dyDescent="0.25">
      <c r="A198" s="99" t="s">
        <v>298</v>
      </c>
      <c r="B198" s="49">
        <v>16072672</v>
      </c>
      <c r="C198" s="49">
        <v>3268250</v>
      </c>
      <c r="D198" s="49">
        <v>2351049.89543</v>
      </c>
      <c r="E198" s="50"/>
      <c r="F198" s="173">
        <f>C198/B198</f>
        <v>0.2033420454296585</v>
      </c>
    </row>
    <row r="199" spans="1:6" x14ac:dyDescent="0.25">
      <c r="A199" s="99" t="s">
        <v>299</v>
      </c>
      <c r="B199" s="49">
        <v>24646022</v>
      </c>
      <c r="C199" s="49">
        <v>4940450</v>
      </c>
      <c r="D199" s="49">
        <v>2811815.287186</v>
      </c>
      <c r="E199" s="50">
        <f>VLOOKUP($A199,'Data shares'!$C:$FA,154)*100</f>
        <v>20.200000000000003</v>
      </c>
      <c r="F199" s="173">
        <f>C199/B199</f>
        <v>0.20045628458823903</v>
      </c>
    </row>
    <row r="200" spans="1:6" x14ac:dyDescent="0.25">
      <c r="A200" s="99" t="s">
        <v>482</v>
      </c>
      <c r="B200" s="49">
        <v>33590487</v>
      </c>
      <c r="C200" s="49">
        <v>17174000</v>
      </c>
      <c r="D200" s="49">
        <v>8831563.6909720004</v>
      </c>
      <c r="E200" s="50">
        <f>VLOOKUP($A200,'Data shares'!$C:$FA,154)*100</f>
        <v>52.27</v>
      </c>
      <c r="F200" s="173">
        <f>C200/B200</f>
        <v>0.51127570731558614</v>
      </c>
    </row>
    <row r="201" spans="1:6" x14ac:dyDescent="0.25">
      <c r="A201" s="99" t="s">
        <v>300</v>
      </c>
      <c r="B201" s="49">
        <v>35369445</v>
      </c>
      <c r="C201" s="49">
        <v>10905825</v>
      </c>
      <c r="D201" s="49">
        <v>7670313.6449957499</v>
      </c>
      <c r="E201" s="50">
        <f>VLOOKUP($A201,'Data shares'!$C:$FA,154)*100</f>
        <v>31.419999999999998</v>
      </c>
      <c r="F201" s="173">
        <f>C201/B201</f>
        <v>0.30834029202324209</v>
      </c>
    </row>
    <row r="202" spans="1:6" x14ac:dyDescent="0.25">
      <c r="A202" s="99" t="s">
        <v>302</v>
      </c>
      <c r="B202" s="49">
        <v>11962066</v>
      </c>
      <c r="C202" s="49">
        <v>4560350</v>
      </c>
      <c r="D202" s="49">
        <v>2935831.0638314998</v>
      </c>
      <c r="E202" s="50">
        <f>VLOOKUP($A202,'Data shares'!$C:$FA,154)*100</f>
        <v>39.14</v>
      </c>
      <c r="F202" s="173">
        <f>C202/B202</f>
        <v>0.38123431186552559</v>
      </c>
    </row>
    <row r="203" spans="1:6" x14ac:dyDescent="0.25">
      <c r="A203" s="99" t="s">
        <v>593</v>
      </c>
      <c r="B203" s="49">
        <v>289041713</v>
      </c>
      <c r="C203" s="49">
        <v>135391725</v>
      </c>
      <c r="D203" s="49">
        <v>71399508.0510277</v>
      </c>
      <c r="E203" s="50">
        <f>VLOOKUP($A203,'Data shares'!$C:$FA,154)*100</f>
        <v>47.82</v>
      </c>
      <c r="F203" s="173">
        <f>C203/B203</f>
        <v>0.46841586840443339</v>
      </c>
    </row>
    <row r="204" spans="1:6" x14ac:dyDescent="0.25">
      <c r="A204" s="99" t="s">
        <v>569</v>
      </c>
      <c r="B204" s="49">
        <v>47269416</v>
      </c>
      <c r="C204" s="49">
        <v>19586800</v>
      </c>
      <c r="D204" s="49">
        <v>11377761.24584</v>
      </c>
      <c r="E204" s="50">
        <f>VLOOKUP($A204,'Data shares'!$C:$FA,154)*100</f>
        <v>41.92</v>
      </c>
      <c r="F204" s="173">
        <f>C204/B204</f>
        <v>0.41436517853319788</v>
      </c>
    </row>
    <row r="205" spans="1:6" x14ac:dyDescent="0.25">
      <c r="A205" s="99" t="s">
        <v>675</v>
      </c>
      <c r="B205" s="49">
        <v>22813802</v>
      </c>
      <c r="C205" s="49">
        <v>8750500</v>
      </c>
      <c r="D205" s="49">
        <v>4262441.7523435</v>
      </c>
      <c r="E205" s="50">
        <f>VLOOKUP($A205,'Data shares'!$C:$FA,154)*100</f>
        <v>38.950000000000003</v>
      </c>
      <c r="F205" s="173">
        <f>C205/B205</f>
        <v>0.38356167025557597</v>
      </c>
    </row>
    <row r="206" spans="1:6" x14ac:dyDescent="0.25">
      <c r="A206" s="99" t="s">
        <v>303</v>
      </c>
      <c r="B206" s="49">
        <v>82588393</v>
      </c>
      <c r="C206" s="49">
        <v>51569945</v>
      </c>
      <c r="D206" s="49">
        <v>29513910.545598902</v>
      </c>
      <c r="E206" s="50">
        <f>VLOOKUP($A206,'Data shares'!$C:$FA,154)*100</f>
        <v>63.480000000000004</v>
      </c>
      <c r="F206" s="173">
        <f>C206/B206</f>
        <v>0.62442121860876987</v>
      </c>
    </row>
    <row r="207" spans="1:6" x14ac:dyDescent="0.25">
      <c r="A207" s="99" t="s">
        <v>586</v>
      </c>
      <c r="B207" s="49">
        <v>203804339</v>
      </c>
      <c r="C207" s="49">
        <v>76815300</v>
      </c>
      <c r="D207" s="49">
        <v>45834330.046433501</v>
      </c>
      <c r="E207" s="50">
        <f>VLOOKUP($A207,'Data shares'!$C:$FA,154)*100</f>
        <v>38.18</v>
      </c>
      <c r="F207" s="173">
        <f>C207/B207</f>
        <v>0.37690708832258962</v>
      </c>
    </row>
    <row r="208" spans="1:6" x14ac:dyDescent="0.25">
      <c r="A208" s="99" t="s">
        <v>304</v>
      </c>
      <c r="B208" s="49">
        <v>255091106</v>
      </c>
      <c r="C208" s="49">
        <v>209067700</v>
      </c>
      <c r="D208" s="49">
        <v>104305562.82628401</v>
      </c>
      <c r="E208" s="50">
        <f>VLOOKUP($A208,'Data shares'!$C:$FA,154)*100</f>
        <v>84.86</v>
      </c>
      <c r="F208" s="173">
        <f>C208/B208</f>
        <v>0.81958051489258898</v>
      </c>
    </row>
    <row r="209" spans="1:6" x14ac:dyDescent="0.25">
      <c r="A209" s="99" t="s">
        <v>305</v>
      </c>
      <c r="B209" s="49">
        <v>34594689</v>
      </c>
      <c r="C209" s="49">
        <v>17704500</v>
      </c>
      <c r="D209" s="49">
        <v>9028505.8407787494</v>
      </c>
      <c r="E209" s="50">
        <f>VLOOKUP($A209,'Data shares'!$C:$FA,154)*100</f>
        <v>53.069999999999993</v>
      </c>
      <c r="F209" s="173">
        <f>C209/B209</f>
        <v>0.51176930655454078</v>
      </c>
    </row>
    <row r="210" spans="1:6" x14ac:dyDescent="0.25">
      <c r="A210" s="99" t="s">
        <v>306</v>
      </c>
      <c r="B210" s="49">
        <v>292948819</v>
      </c>
      <c r="C210" s="49">
        <v>204216000</v>
      </c>
      <c r="D210" s="49">
        <v>108371944.78656</v>
      </c>
      <c r="E210" s="50">
        <f>VLOOKUP($A210,'Data shares'!$C:$FA,154)*100</f>
        <v>71.25</v>
      </c>
      <c r="F210" s="173">
        <f>C210/B210</f>
        <v>0.69710470483241649</v>
      </c>
    </row>
    <row r="211" spans="1:6" x14ac:dyDescent="0.25">
      <c r="A211" s="99" t="s">
        <v>590</v>
      </c>
      <c r="B211" s="49">
        <v>3136562346</v>
      </c>
      <c r="C211" s="49">
        <v>1811543900</v>
      </c>
      <c r="D211" s="49">
        <v>1017283364.32245</v>
      </c>
      <c r="E211" s="50">
        <f>VLOOKUP($A211,'Data shares'!$C:$FA,154)*100</f>
        <v>58.74</v>
      </c>
      <c r="F211" s="173">
        <f>C211/B211</f>
        <v>0.57755711513601138</v>
      </c>
    </row>
    <row r="212" spans="1:6" x14ac:dyDescent="0.25">
      <c r="A212" s="99" t="s">
        <v>557</v>
      </c>
      <c r="B212" s="49">
        <v>32617803</v>
      </c>
      <c r="C212" s="49">
        <v>18704700</v>
      </c>
      <c r="D212" s="49">
        <v>10463463.053424001</v>
      </c>
      <c r="E212" s="50">
        <f>VLOOKUP($A212,'Data shares'!$C:$FA,154)*100</f>
        <v>58.430000000000007</v>
      </c>
      <c r="F212" s="173">
        <f>C212/B212</f>
        <v>0.57345063982390232</v>
      </c>
    </row>
    <row r="213" spans="1:6" x14ac:dyDescent="0.25">
      <c r="A213" s="99"/>
      <c r="B213" s="49"/>
      <c r="C213" s="49"/>
      <c r="D213" s="49"/>
      <c r="E213" s="50"/>
      <c r="F213" s="173"/>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2">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I9" sqref="I9"/>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5.81</v>
      </c>
      <c r="F6" s="49">
        <f>VLOOKUP($A6,'Data shares'!$C:$FA,129)</f>
        <v>587750</v>
      </c>
      <c r="G6" s="17"/>
    </row>
    <row r="7" spans="1:7" x14ac:dyDescent="0.25">
      <c r="A7" s="101" t="s">
        <v>228</v>
      </c>
      <c r="B7" s="17">
        <v>292206563</v>
      </c>
      <c r="C7" s="17">
        <v>71903525</v>
      </c>
      <c r="D7" s="17">
        <f t="shared" ref="D7:D70" si="0">C7</f>
        <v>71903525</v>
      </c>
      <c r="E7" s="49">
        <f>VLOOKUP($A7,'Data shares'!$C:$FA,128)*100</f>
        <v>11.799999999999999</v>
      </c>
      <c r="F7" s="49">
        <f>VLOOKUP($A7,'Data shares'!$C:$FA,129)</f>
        <v>3266900</v>
      </c>
      <c r="G7" s="17"/>
    </row>
    <row r="8" spans="1:7" x14ac:dyDescent="0.25">
      <c r="A8" s="101" t="s">
        <v>200</v>
      </c>
      <c r="B8" s="17">
        <v>417418754</v>
      </c>
      <c r="C8" s="17">
        <v>109662000</v>
      </c>
      <c r="D8" s="17">
        <f t="shared" si="0"/>
        <v>109662000</v>
      </c>
      <c r="E8" s="49">
        <f>VLOOKUP($A8,'Data shares'!$C:$FA,128)*100</f>
        <v>14.37</v>
      </c>
      <c r="F8" s="49">
        <f>VLOOKUP($A8,'Data shares'!$C:$FA,129)</f>
        <v>7096950</v>
      </c>
      <c r="G8" s="17"/>
    </row>
    <row r="9" spans="1:7" x14ac:dyDescent="0.25">
      <c r="A9" s="101" t="s">
        <v>214</v>
      </c>
      <c r="B9" s="17">
        <v>30110093</v>
      </c>
      <c r="C9" s="17">
        <v>10703050</v>
      </c>
      <c r="D9" s="17">
        <f t="shared" si="0"/>
        <v>10703050</v>
      </c>
      <c r="E9" s="49">
        <f>VLOOKUP($A9,'Data shares'!$C:$FA,128)*100</f>
        <v>2.29</v>
      </c>
      <c r="F9" s="49">
        <f>VLOOKUP($A9,'Data shares'!$C:$FA,129)</f>
        <v>295875</v>
      </c>
      <c r="G9" s="17"/>
    </row>
    <row r="10" spans="1:7" x14ac:dyDescent="0.25">
      <c r="A10" s="101" t="s">
        <v>243</v>
      </c>
      <c r="B10" s="17">
        <v>80699820</v>
      </c>
      <c r="C10" s="17">
        <v>65367500</v>
      </c>
      <c r="D10" s="17">
        <f t="shared" si="0"/>
        <v>65367500</v>
      </c>
      <c r="E10" s="49">
        <f>VLOOKUP($A10,'Data shares'!$C:$FA,128)*100</f>
        <v>4.5199999999999996</v>
      </c>
      <c r="F10" s="49">
        <f>VLOOKUP($A10,'Data shares'!$C:$FA,129)</f>
        <v>344375</v>
      </c>
      <c r="G10" s="17"/>
    </row>
    <row r="11" spans="1:7" x14ac:dyDescent="0.25">
      <c r="A11" s="101" t="s">
        <v>231</v>
      </c>
      <c r="B11" s="17">
        <v>80556813</v>
      </c>
      <c r="C11" s="17">
        <v>62967200</v>
      </c>
      <c r="D11" s="17">
        <f t="shared" si="0"/>
        <v>62967200</v>
      </c>
      <c r="E11" s="49">
        <f>VLOOKUP($A11,'Data shares'!$C:$FA,128)*100</f>
        <v>10.5</v>
      </c>
      <c r="F11" s="49">
        <f>VLOOKUP($A11,'Data shares'!$C:$FA,129)</f>
        <v>3185700</v>
      </c>
      <c r="G11" s="17"/>
    </row>
    <row r="12" spans="1:7" x14ac:dyDescent="0.25">
      <c r="A12" s="101" t="s">
        <v>195</v>
      </c>
      <c r="B12" s="17">
        <v>23823080</v>
      </c>
      <c r="C12" s="17">
        <v>2862400</v>
      </c>
      <c r="D12" s="17">
        <f t="shared" si="0"/>
        <v>2862400</v>
      </c>
      <c r="E12" s="49">
        <f>VLOOKUP($A12,'Data shares'!$C:$FA,128)*100</f>
        <v>3.2099999999999995</v>
      </c>
      <c r="F12" s="49">
        <f>VLOOKUP($A12,'Data shares'!$C:$FA,129)</f>
        <v>50375</v>
      </c>
      <c r="G12" s="17"/>
    </row>
    <row r="13" spans="1:7" x14ac:dyDescent="0.25">
      <c r="A13" s="101" t="s">
        <v>304</v>
      </c>
      <c r="B13" s="17">
        <v>223492679</v>
      </c>
      <c r="C13" s="17">
        <v>98465300</v>
      </c>
      <c r="D13" s="17">
        <f t="shared" si="0"/>
        <v>98465300</v>
      </c>
      <c r="E13" s="49">
        <f>VLOOKUP($A13,'Data shares'!$C:$FA,128)*100</f>
        <v>6.5</v>
      </c>
      <c r="F13" s="49">
        <f>VLOOKUP($A13,'Data shares'!$C:$FA,129)</f>
        <v>6350300</v>
      </c>
      <c r="G13" s="17"/>
    </row>
    <row r="14" spans="1:7" x14ac:dyDescent="0.25">
      <c r="A14" s="101" t="s">
        <v>167</v>
      </c>
      <c r="B14" s="17">
        <v>282181803</v>
      </c>
      <c r="C14" s="17">
        <v>95526000</v>
      </c>
      <c r="D14" s="17">
        <f t="shared" si="0"/>
        <v>95526000</v>
      </c>
      <c r="E14" s="49">
        <f>VLOOKUP($A14,'Data shares'!$C:$FA,128)*100</f>
        <v>14.32</v>
      </c>
      <c r="F14" s="49">
        <f>VLOOKUP($A14,'Data shares'!$C:$FA,129)</f>
        <v>18925000</v>
      </c>
      <c r="G14" s="17"/>
    </row>
    <row r="15" spans="1:7" x14ac:dyDescent="0.25">
      <c r="A15" s="101" t="s">
        <v>222</v>
      </c>
      <c r="B15" s="17">
        <v>214194964</v>
      </c>
      <c r="C15" s="17">
        <v>37437400</v>
      </c>
      <c r="D15" s="17">
        <f t="shared" si="0"/>
        <v>37437400</v>
      </c>
      <c r="E15" s="49">
        <f>VLOOKUP($A15,'Data shares'!$C:$FA,128)*100</f>
        <v>8.44</v>
      </c>
      <c r="F15" s="49">
        <f>VLOOKUP($A15,'Data shares'!$C:$FA,129)</f>
        <v>1189650</v>
      </c>
      <c r="G15" s="17"/>
    </row>
    <row r="16" spans="1:7" x14ac:dyDescent="0.25">
      <c r="A16" s="101" t="s">
        <v>290</v>
      </c>
      <c r="B16" s="17">
        <v>31601465</v>
      </c>
      <c r="C16" s="17">
        <v>13192000</v>
      </c>
      <c r="D16" s="17">
        <f t="shared" si="0"/>
        <v>13192000</v>
      </c>
      <c r="E16" s="49">
        <f>VLOOKUP($A16,'Data shares'!$C:$FA,128)*100</f>
        <v>3.54</v>
      </c>
      <c r="F16" s="49">
        <f>VLOOKUP($A16,'Data shares'!$C:$FA,129)</f>
        <v>272000</v>
      </c>
      <c r="G16" s="17"/>
    </row>
    <row r="17" spans="1:7" x14ac:dyDescent="0.25">
      <c r="A17" s="101" t="s">
        <v>500</v>
      </c>
      <c r="B17" s="17">
        <v>24930381</v>
      </c>
      <c r="C17" s="17">
        <v>1925625</v>
      </c>
      <c r="D17" s="17">
        <f t="shared" si="0"/>
        <v>1925625</v>
      </c>
      <c r="E17" s="49">
        <f>VLOOKUP($A17,'Data shares'!$C:$FA,128)*100</f>
        <v>9.5399999999999991</v>
      </c>
      <c r="F17" s="49">
        <f>VLOOKUP($A17,'Data shares'!$C:$FA,129)</f>
        <v>3537500</v>
      </c>
      <c r="G17" s="17"/>
    </row>
    <row r="18" spans="1:7" x14ac:dyDescent="0.25">
      <c r="A18" s="101" t="s">
        <v>491</v>
      </c>
      <c r="B18" s="17">
        <v>53841317</v>
      </c>
      <c r="C18" s="17">
        <v>9268750</v>
      </c>
      <c r="D18" s="17">
        <f t="shared" si="0"/>
        <v>9268750</v>
      </c>
      <c r="E18" s="49">
        <f>VLOOKUP($A18,'Data shares'!$C:$FA,128)*100</f>
        <v>8.25</v>
      </c>
      <c r="F18" s="49">
        <f>VLOOKUP($A18,'Data shares'!$C:$FA,129)</f>
        <v>1186000</v>
      </c>
      <c r="G18" s="17"/>
    </row>
    <row r="19" spans="1:7" x14ac:dyDescent="0.25">
      <c r="A19" s="101" t="s">
        <v>257</v>
      </c>
      <c r="B19" s="17">
        <v>43771086</v>
      </c>
      <c r="C19" s="17">
        <v>2865850</v>
      </c>
      <c r="D19" s="17">
        <f t="shared" si="0"/>
        <v>2865850</v>
      </c>
      <c r="E19" s="49">
        <f>VLOOKUP($A19,'Data shares'!$C:$FA,128)*100</f>
        <v>2.5499999999999998</v>
      </c>
      <c r="F19" s="49">
        <f>VLOOKUP($A19,'Data shares'!$C:$FA,129)</f>
        <v>149200</v>
      </c>
      <c r="G19" s="17"/>
    </row>
    <row r="20" spans="1:7" x14ac:dyDescent="0.25">
      <c r="A20" s="101" t="s">
        <v>259</v>
      </c>
      <c r="B20" s="17">
        <v>12838406</v>
      </c>
      <c r="C20" s="17">
        <v>3561800</v>
      </c>
      <c r="D20" s="17">
        <f t="shared" si="0"/>
        <v>3561800</v>
      </c>
      <c r="E20" s="49">
        <f>VLOOKUP($A20,'Data shares'!$C:$FA,128)*100</f>
        <v>6.0600000000000005</v>
      </c>
      <c r="F20" s="49">
        <f>VLOOKUP($A20,'Data shares'!$C:$FA,129)</f>
        <v>136680</v>
      </c>
      <c r="G20" s="17"/>
    </row>
    <row r="21" spans="1:7" x14ac:dyDescent="0.25">
      <c r="A21" s="101" t="s">
        <v>212</v>
      </c>
      <c r="B21" s="17">
        <v>393764205</v>
      </c>
      <c r="C21" s="17">
        <v>124730000</v>
      </c>
      <c r="D21" s="17">
        <f t="shared" si="0"/>
        <v>124730000</v>
      </c>
      <c r="E21" s="49">
        <f>VLOOKUP($A21,'Data shares'!$C:$FA,128)*100</f>
        <v>13.28</v>
      </c>
      <c r="F21" s="49">
        <f>VLOOKUP($A21,'Data shares'!$C:$FA,129)</f>
        <v>8495000</v>
      </c>
      <c r="G21" s="17"/>
    </row>
    <row r="22" spans="1:7" x14ac:dyDescent="0.25">
      <c r="A22" s="101" t="s">
        <v>209</v>
      </c>
      <c r="B22" s="17">
        <v>27768950</v>
      </c>
      <c r="C22" s="17">
        <v>5371100</v>
      </c>
      <c r="D22" s="17">
        <f t="shared" si="0"/>
        <v>5371100</v>
      </c>
      <c r="E22" s="49">
        <f>VLOOKUP($A22,'Data shares'!$C:$FA,128)*100</f>
        <v>10.61</v>
      </c>
      <c r="F22" s="49">
        <f>VLOOKUP($A22,'Data shares'!$C:$FA,129)</f>
        <v>276300</v>
      </c>
      <c r="G22" s="17"/>
    </row>
    <row r="23" spans="1:7" x14ac:dyDescent="0.25">
      <c r="A23" s="101" t="s">
        <v>501</v>
      </c>
      <c r="B23" s="17">
        <v>155792872</v>
      </c>
      <c r="C23" s="17">
        <v>50166406</v>
      </c>
      <c r="D23" s="17">
        <f t="shared" si="0"/>
        <v>50166406</v>
      </c>
      <c r="E23" s="49">
        <f>VLOOKUP($A23,'Data shares'!$C:$FA,128)*100</f>
        <v>7.88</v>
      </c>
      <c r="F23" s="49">
        <f>VLOOKUP($A23,'Data shares'!$C:$FA,129)</f>
        <v>1867000</v>
      </c>
      <c r="G23" s="17"/>
    </row>
    <row r="24" spans="1:7" x14ac:dyDescent="0.25">
      <c r="A24" s="101" t="s">
        <v>276</v>
      </c>
      <c r="B24" s="17">
        <v>678857930</v>
      </c>
      <c r="C24" s="17">
        <v>84677374</v>
      </c>
      <c r="D24" s="17">
        <f t="shared" si="0"/>
        <v>84677374</v>
      </c>
      <c r="E24" s="49">
        <f>VLOOKUP($A24,'Data shares'!$C:$FA,128)*100</f>
        <v>15.920000000000002</v>
      </c>
      <c r="F24" s="49">
        <f>VLOOKUP($A24,'Data shares'!$C:$FA,129)</f>
        <v>9315700</v>
      </c>
      <c r="G24" s="17"/>
    </row>
    <row r="25" spans="1:7" x14ac:dyDescent="0.25">
      <c r="A25" s="101" t="s">
        <v>210</v>
      </c>
      <c r="B25" s="17">
        <v>14114257</v>
      </c>
      <c r="C25" s="17">
        <v>11000000</v>
      </c>
      <c r="D25" s="17">
        <f t="shared" si="0"/>
        <v>11000000</v>
      </c>
      <c r="E25" s="49">
        <f>VLOOKUP($A25,'Data shares'!$C:$FA,128)*100</f>
        <v>10.61</v>
      </c>
      <c r="F25" s="49">
        <f>VLOOKUP($A25,'Data shares'!$C:$FA,129)</f>
        <v>276300</v>
      </c>
      <c r="G25" s="17"/>
    </row>
    <row r="26" spans="1:7" x14ac:dyDescent="0.25">
      <c r="A26" s="101" t="s">
        <v>267</v>
      </c>
      <c r="B26" s="17">
        <v>229794455</v>
      </c>
      <c r="C26" s="17">
        <v>133289800</v>
      </c>
      <c r="D26" s="17">
        <f t="shared" si="0"/>
        <v>133289800</v>
      </c>
      <c r="E26" s="49">
        <f>VLOOKUP($A26,'Data shares'!$C:$FA,128)*100</f>
        <v>5.4399999999999995</v>
      </c>
      <c r="F26" s="49">
        <f>VLOOKUP($A26,'Data shares'!$C:$FA,129)</f>
        <v>16402500</v>
      </c>
      <c r="G26" s="17"/>
    </row>
    <row r="27" spans="1:7" x14ac:dyDescent="0.25">
      <c r="A27" s="101" t="s">
        <v>533</v>
      </c>
      <c r="B27" s="17">
        <v>61337685</v>
      </c>
      <c r="C27" s="17">
        <v>24741600</v>
      </c>
      <c r="D27" s="17">
        <f t="shared" si="0"/>
        <v>24741600</v>
      </c>
      <c r="E27" s="49">
        <f>VLOOKUP($A27,'Data shares'!$C:$FA,128)*100</f>
        <v>6.419999999999999</v>
      </c>
      <c r="F27" s="49">
        <f>VLOOKUP($A27,'Data shares'!$C:$FA,129)</f>
        <v>856375</v>
      </c>
      <c r="G27" s="17"/>
    </row>
    <row r="28" spans="1:7" x14ac:dyDescent="0.25">
      <c r="A28" s="101" t="s">
        <v>502</v>
      </c>
      <c r="B28" s="17">
        <v>5165920</v>
      </c>
      <c r="C28" s="17">
        <v>1179400</v>
      </c>
      <c r="D28" s="17">
        <f t="shared" si="0"/>
        <v>1179400</v>
      </c>
      <c r="E28" s="49">
        <f>VLOOKUP($A28,'Data shares'!$C:$FA,128)*100</f>
        <v>11.450000000000001</v>
      </c>
      <c r="F28" s="49">
        <f>VLOOKUP($A28,'Data shares'!$C:$FA,129)</f>
        <v>320000</v>
      </c>
      <c r="G28" s="17"/>
    </row>
    <row r="29" spans="1:7" x14ac:dyDescent="0.25">
      <c r="A29" s="101" t="s">
        <v>474</v>
      </c>
      <c r="B29" s="17">
        <v>7339737</v>
      </c>
      <c r="C29" s="17">
        <v>979625</v>
      </c>
      <c r="D29" s="17">
        <f t="shared" si="0"/>
        <v>979625</v>
      </c>
      <c r="E29" s="49">
        <f>VLOOKUP($A29,'Data shares'!$C:$FA,128)*100</f>
        <v>9.5299999999999994</v>
      </c>
      <c r="F29" s="49">
        <f>VLOOKUP($A29,'Data shares'!$C:$FA,129)</f>
        <v>340850</v>
      </c>
      <c r="G29" s="17"/>
    </row>
    <row r="30" spans="1:7" x14ac:dyDescent="0.25">
      <c r="A30" s="101" t="s">
        <v>158</v>
      </c>
      <c r="B30" s="17">
        <v>17078428</v>
      </c>
      <c r="C30" s="17">
        <v>3648750</v>
      </c>
      <c r="D30" s="17">
        <f t="shared" si="0"/>
        <v>3648750</v>
      </c>
      <c r="E30" s="49">
        <f>VLOOKUP($A30,'Data shares'!$C:$FA,128)*100</f>
        <v>4.3900000000000006</v>
      </c>
      <c r="F30" s="49">
        <f>VLOOKUP($A30,'Data shares'!$C:$FA,129)</f>
        <v>3047300</v>
      </c>
      <c r="G30" s="17"/>
    </row>
    <row r="31" spans="1:7" x14ac:dyDescent="0.25">
      <c r="A31" s="101" t="s">
        <v>268</v>
      </c>
      <c r="B31" s="17">
        <v>948263976</v>
      </c>
      <c r="C31" s="17">
        <v>170042400</v>
      </c>
      <c r="D31" s="17">
        <f t="shared" si="0"/>
        <v>170042400</v>
      </c>
      <c r="E31" s="49">
        <f>VLOOKUP($A31,'Data shares'!$C:$FA,128)*100</f>
        <v>11.68</v>
      </c>
      <c r="F31" s="49">
        <f>VLOOKUP($A31,'Data shares'!$C:$FA,129)</f>
        <v>8007000</v>
      </c>
      <c r="G31" s="17"/>
    </row>
    <row r="32" spans="1:7" x14ac:dyDescent="0.25">
      <c r="A32" s="101" t="s">
        <v>557</v>
      </c>
      <c r="B32" s="17">
        <v>51441633</v>
      </c>
      <c r="C32" s="17">
        <v>26329600</v>
      </c>
      <c r="D32" s="17">
        <f t="shared" si="0"/>
        <v>26329600</v>
      </c>
      <c r="E32" s="49">
        <f>VLOOKUP($A32,'Data shares'!$C:$FA,128)*100</f>
        <v>7.3599999999999994</v>
      </c>
      <c r="F32" s="49">
        <f>VLOOKUP($A32,'Data shares'!$C:$FA,129)</f>
        <v>741600</v>
      </c>
      <c r="G32" s="17"/>
    </row>
    <row r="33" spans="1:7" x14ac:dyDescent="0.25">
      <c r="A33" s="101" t="s">
        <v>549</v>
      </c>
      <c r="B33" s="17">
        <v>319287188</v>
      </c>
      <c r="C33" s="17">
        <v>149780000</v>
      </c>
      <c r="D33" s="17">
        <f t="shared" si="0"/>
        <v>149780000</v>
      </c>
      <c r="E33" s="49">
        <f>VLOOKUP($A33,'Data shares'!$C:$FA,128)*100</f>
        <v>14.580000000000002</v>
      </c>
      <c r="F33" s="49">
        <f>VLOOKUP($A33,'Data shares'!$C:$FA,129)</f>
        <v>956621400</v>
      </c>
      <c r="G33" s="17"/>
    </row>
    <row r="34" spans="1:7" x14ac:dyDescent="0.25">
      <c r="A34" s="101" t="s">
        <v>536</v>
      </c>
      <c r="B34" s="17">
        <v>57585215</v>
      </c>
      <c r="C34" s="17">
        <v>5314000</v>
      </c>
      <c r="D34" s="17">
        <f t="shared" si="0"/>
        <v>5314000</v>
      </c>
      <c r="E34" s="49">
        <f>VLOOKUP($A34,'Data shares'!$C:$FA,128)*100</f>
        <v>8.67</v>
      </c>
      <c r="F34" s="49">
        <f>VLOOKUP($A34,'Data shares'!$C:$FA,129)</f>
        <v>1412000</v>
      </c>
      <c r="G34" s="17"/>
    </row>
    <row r="35" spans="1:7" x14ac:dyDescent="0.25">
      <c r="A35" s="101" t="s">
        <v>270</v>
      </c>
      <c r="B35" s="17">
        <v>1178038</v>
      </c>
      <c r="C35" s="17">
        <v>100890</v>
      </c>
      <c r="D35" s="17">
        <f t="shared" si="0"/>
        <v>100890</v>
      </c>
      <c r="E35" s="49">
        <f>VLOOKUP($A35,'Data shares'!$C:$FA,128)*100</f>
        <v>8.0500000000000007</v>
      </c>
      <c r="F35" s="49">
        <f>VLOOKUP($A35,'Data shares'!$C:$FA,129)</f>
        <v>18510</v>
      </c>
      <c r="G35" s="17"/>
    </row>
    <row r="36" spans="1:7" x14ac:dyDescent="0.25">
      <c r="A36" s="101" t="s">
        <v>258</v>
      </c>
      <c r="B36" s="17">
        <v>13335005</v>
      </c>
      <c r="C36" s="17">
        <v>5970600</v>
      </c>
      <c r="D36" s="17">
        <f t="shared" si="0"/>
        <v>5970600</v>
      </c>
      <c r="E36" s="49">
        <f>VLOOKUP($A36,'Data shares'!$C:$FA,128)*100</f>
        <v>2.5499999999999998</v>
      </c>
      <c r="F36" s="49">
        <f>VLOOKUP($A36,'Data shares'!$C:$FA,129)</f>
        <v>149200</v>
      </c>
      <c r="G36" s="17"/>
    </row>
    <row r="37" spans="1:7" x14ac:dyDescent="0.25">
      <c r="A37" s="101" t="s">
        <v>301</v>
      </c>
      <c r="B37" s="17">
        <v>14428803</v>
      </c>
      <c r="C37" s="17">
        <v>2171400</v>
      </c>
      <c r="D37" s="17">
        <f t="shared" si="0"/>
        <v>2171400</v>
      </c>
      <c r="E37" s="49">
        <f>VLOOKUP($A37,'Data shares'!$C:$FA,128)*100</f>
        <v>2.34</v>
      </c>
      <c r="F37" s="49">
        <f>VLOOKUP($A37,'Data shares'!$C:$FA,129)</f>
        <v>140175</v>
      </c>
      <c r="G37" s="17"/>
    </row>
    <row r="38" spans="1:7" x14ac:dyDescent="0.25">
      <c r="A38" s="101" t="s">
        <v>283</v>
      </c>
      <c r="B38" s="17">
        <v>747713393</v>
      </c>
      <c r="C38" s="17">
        <v>158166000</v>
      </c>
      <c r="D38" s="17">
        <f t="shared" si="0"/>
        <v>158166000</v>
      </c>
      <c r="E38" s="49">
        <f>VLOOKUP($A38,'Data shares'!$C:$FA,128)*100</f>
        <v>22.46</v>
      </c>
      <c r="F38" s="49">
        <f>VLOOKUP($A38,'Data shares'!$C:$FA,129)</f>
        <v>13656000</v>
      </c>
      <c r="G38" s="17"/>
    </row>
    <row r="39" spans="1:7" x14ac:dyDescent="0.25">
      <c r="A39" s="101" t="s">
        <v>281</v>
      </c>
      <c r="B39" s="17">
        <v>648405756</v>
      </c>
      <c r="C39" s="17">
        <v>61815500</v>
      </c>
      <c r="D39" s="17">
        <f t="shared" si="0"/>
        <v>61815500</v>
      </c>
      <c r="E39" s="49">
        <f>VLOOKUP($A39,'Data shares'!$C:$FA,128)*100</f>
        <v>16.470000000000002</v>
      </c>
      <c r="F39" s="49">
        <f>VLOOKUP($A39,'Data shares'!$C:$FA,129)</f>
        <v>11576000</v>
      </c>
      <c r="G39" s="17"/>
    </row>
    <row r="40" spans="1:7" x14ac:dyDescent="0.25">
      <c r="A40" s="101" t="s">
        <v>198</v>
      </c>
      <c r="B40" s="17">
        <v>79546680</v>
      </c>
      <c r="C40" s="17">
        <v>13283750</v>
      </c>
      <c r="D40" s="17">
        <f t="shared" si="0"/>
        <v>13283750</v>
      </c>
      <c r="E40" s="49">
        <f>VLOOKUP($A40,'Data shares'!$C:$FA,128)*100</f>
        <v>6.2799999999999994</v>
      </c>
      <c r="F40" s="49">
        <f>VLOOKUP($A40,'Data shares'!$C:$FA,129)</f>
        <v>831250</v>
      </c>
      <c r="G40" s="17"/>
    </row>
    <row r="41" spans="1:7" x14ac:dyDescent="0.25">
      <c r="A41" s="101" t="s">
        <v>299</v>
      </c>
      <c r="B41" s="17">
        <v>44634693</v>
      </c>
      <c r="C41" s="17">
        <v>3805500</v>
      </c>
      <c r="D41" s="17">
        <f t="shared" si="0"/>
        <v>3805500</v>
      </c>
      <c r="E41" s="49">
        <f>VLOOKUP($A41,'Data shares'!$C:$FA,128)*100</f>
        <v>18.32</v>
      </c>
      <c r="F41" s="49">
        <f>VLOOKUP($A41,'Data shares'!$C:$FA,129)</f>
        <v>325125</v>
      </c>
      <c r="G41" s="17"/>
    </row>
    <row r="42" spans="1:7" x14ac:dyDescent="0.25">
      <c r="A42" s="101" t="s">
        <v>273</v>
      </c>
      <c r="B42" s="17">
        <v>232357926</v>
      </c>
      <c r="C42" s="17">
        <v>67053000</v>
      </c>
      <c r="D42" s="17">
        <f t="shared" si="0"/>
        <v>67053000</v>
      </c>
      <c r="E42" s="49">
        <f>VLOOKUP($A42,'Data shares'!$C:$FA,128)*100</f>
        <v>13.889999999999999</v>
      </c>
      <c r="F42" s="49">
        <f>VLOOKUP($A42,'Data shares'!$C:$FA,129)</f>
        <v>10481900</v>
      </c>
      <c r="G42" s="17"/>
    </row>
    <row r="43" spans="1:7" x14ac:dyDescent="0.25">
      <c r="A43" s="101" t="s">
        <v>207</v>
      </c>
      <c r="B43" s="17">
        <v>124016568</v>
      </c>
      <c r="C43" s="17">
        <v>57530550</v>
      </c>
      <c r="D43" s="17">
        <f t="shared" si="0"/>
        <v>57530550</v>
      </c>
      <c r="E43" s="49">
        <f>VLOOKUP($A43,'Data shares'!$C:$FA,128)*100</f>
        <v>6.88</v>
      </c>
      <c r="F43" s="49">
        <f>VLOOKUP($A43,'Data shares'!$C:$FA,129)</f>
        <v>2990625</v>
      </c>
      <c r="G43" s="17"/>
    </row>
    <row r="44" spans="1:7" x14ac:dyDescent="0.25">
      <c r="A44" s="101" t="s">
        <v>191</v>
      </c>
      <c r="B44" s="17">
        <v>92946457</v>
      </c>
      <c r="C44" s="17">
        <v>36478000</v>
      </c>
      <c r="D44" s="17">
        <f t="shared" si="0"/>
        <v>36478000</v>
      </c>
      <c r="E44" s="49">
        <f>VLOOKUP($A44,'Data shares'!$C:$FA,128)*100</f>
        <v>6.79</v>
      </c>
      <c r="F44" s="49">
        <f>VLOOKUP($A44,'Data shares'!$C:$FA,129)</f>
        <v>2472500</v>
      </c>
      <c r="G44" s="17"/>
    </row>
    <row r="45" spans="1:7" x14ac:dyDescent="0.25">
      <c r="A45" s="101" t="s">
        <v>288</v>
      </c>
      <c r="B45" s="17">
        <v>218440087</v>
      </c>
      <c r="C45" s="17">
        <v>44080400</v>
      </c>
      <c r="D45" s="17">
        <f t="shared" si="0"/>
        <v>44080400</v>
      </c>
      <c r="E45" s="49">
        <f>VLOOKUP($A45,'Data shares'!$C:$FA,128)*100</f>
        <v>18.77</v>
      </c>
      <c r="F45" s="49">
        <f>VLOOKUP($A45,'Data shares'!$C:$FA,129)</f>
        <v>1960000</v>
      </c>
      <c r="G45" s="17"/>
    </row>
    <row r="46" spans="1:7" x14ac:dyDescent="0.25">
      <c r="A46" s="101" t="s">
        <v>275</v>
      </c>
      <c r="B46" s="17">
        <v>591377974</v>
      </c>
      <c r="C46" s="17">
        <v>493488000</v>
      </c>
      <c r="D46" s="17">
        <f t="shared" si="0"/>
        <v>493488000</v>
      </c>
      <c r="E46" s="49">
        <f>VLOOKUP($A46,'Data shares'!$C:$FA,128)*100</f>
        <v>15.1</v>
      </c>
      <c r="F46" s="49">
        <f>VLOOKUP($A46,'Data shares'!$C:$FA,129)</f>
        <v>34528000</v>
      </c>
      <c r="G46" s="17"/>
    </row>
    <row r="47" spans="1:7" x14ac:dyDescent="0.25">
      <c r="A47" s="101" t="s">
        <v>277</v>
      </c>
      <c r="B47" s="17">
        <v>10116165</v>
      </c>
      <c r="C47" s="17">
        <v>7378910</v>
      </c>
      <c r="D47" s="17">
        <f t="shared" si="0"/>
        <v>7378910</v>
      </c>
      <c r="E47" s="49">
        <f>VLOOKUP($A47,'Data shares'!$C:$FA,128)*100</f>
        <v>4.74</v>
      </c>
      <c r="F47" s="49">
        <f>VLOOKUP($A47,'Data shares'!$C:$FA,129)</f>
        <v>99450</v>
      </c>
      <c r="G47" s="17"/>
    </row>
    <row r="48" spans="1:7" x14ac:dyDescent="0.25">
      <c r="A48" s="101" t="s">
        <v>196</v>
      </c>
      <c r="B48" s="17">
        <v>134484114</v>
      </c>
      <c r="C48" s="17">
        <v>73278000</v>
      </c>
      <c r="D48" s="17">
        <f t="shared" si="0"/>
        <v>73278000</v>
      </c>
      <c r="E48" s="49">
        <f>VLOOKUP($A48,'Data shares'!$C:$FA,128)*100</f>
        <v>16.93</v>
      </c>
      <c r="F48" s="49">
        <f>VLOOKUP($A48,'Data shares'!$C:$FA,129)</f>
        <v>22889250</v>
      </c>
      <c r="G48" s="17"/>
    </row>
    <row r="49" spans="1:7" x14ac:dyDescent="0.25">
      <c r="A49" s="101" t="s">
        <v>287</v>
      </c>
      <c r="B49" s="17">
        <v>40005132</v>
      </c>
      <c r="C49" s="17">
        <v>6264400</v>
      </c>
      <c r="D49" s="17">
        <f t="shared" si="0"/>
        <v>6264400</v>
      </c>
      <c r="E49" s="49">
        <f>VLOOKUP($A49,'Data shares'!$C:$FA,128)*100</f>
        <v>5.2299999999999995</v>
      </c>
      <c r="F49" s="49">
        <f>VLOOKUP($A49,'Data shares'!$C:$FA,129)</f>
        <v>150000</v>
      </c>
      <c r="G49" s="17"/>
    </row>
    <row r="50" spans="1:7" x14ac:dyDescent="0.25">
      <c r="A50" s="101" t="s">
        <v>553</v>
      </c>
      <c r="B50" s="17">
        <v>10595418</v>
      </c>
      <c r="C50" s="17">
        <v>250250</v>
      </c>
      <c r="D50" s="17">
        <f t="shared" si="0"/>
        <v>250250</v>
      </c>
      <c r="E50" s="49">
        <f>VLOOKUP($A50,'Data shares'!$C:$FA,128)*100</f>
        <v>12.29</v>
      </c>
      <c r="F50" s="49">
        <f>VLOOKUP($A50,'Data shares'!$C:$FA,129)</f>
        <v>284250</v>
      </c>
      <c r="G50" s="17"/>
    </row>
    <row r="51" spans="1:7" x14ac:dyDescent="0.25">
      <c r="A51" s="101" t="s">
        <v>519</v>
      </c>
      <c r="B51" s="17">
        <v>9516271</v>
      </c>
      <c r="C51" s="17">
        <v>1000800</v>
      </c>
      <c r="D51" s="17">
        <f t="shared" si="0"/>
        <v>1000800</v>
      </c>
      <c r="E51" s="49">
        <f>VLOOKUP($A51,'Data shares'!$C:$FA,128)*100</f>
        <v>8.9700000000000006</v>
      </c>
      <c r="F51" s="49">
        <f>VLOOKUP($A51,'Data shares'!$C:$FA,129)</f>
        <v>163750</v>
      </c>
      <c r="G51" s="17"/>
    </row>
    <row r="52" spans="1:7" x14ac:dyDescent="0.25">
      <c r="A52" s="101" t="s">
        <v>550</v>
      </c>
      <c r="B52" s="17">
        <v>137684181</v>
      </c>
      <c r="C52" s="17">
        <v>42696000</v>
      </c>
      <c r="D52" s="17">
        <f t="shared" si="0"/>
        <v>42696000</v>
      </c>
      <c r="E52" s="49">
        <f>VLOOKUP($A52,'Data shares'!$C:$FA,128)*100</f>
        <v>7.7</v>
      </c>
      <c r="F52" s="49">
        <f>VLOOKUP($A52,'Data shares'!$C:$FA,129)</f>
        <v>5531500</v>
      </c>
      <c r="G52" s="17"/>
    </row>
    <row r="53" spans="1:7" x14ac:dyDescent="0.25">
      <c r="A53" s="101" t="s">
        <v>284</v>
      </c>
      <c r="B53" s="17">
        <v>2702190</v>
      </c>
      <c r="C53" s="17">
        <v>250575</v>
      </c>
      <c r="D53" s="17">
        <f t="shared" si="0"/>
        <v>250575</v>
      </c>
      <c r="E53" s="49">
        <f>VLOOKUP($A53,'Data shares'!$C:$FA,128)*100</f>
        <v>11.58</v>
      </c>
      <c r="F53" s="49">
        <f>VLOOKUP($A53,'Data shares'!$C:$FA,129)</f>
        <v>34100</v>
      </c>
      <c r="G53" s="17"/>
    </row>
    <row r="54" spans="1:7" x14ac:dyDescent="0.25">
      <c r="A54" s="101" t="s">
        <v>488</v>
      </c>
      <c r="B54" s="17">
        <v>5499709</v>
      </c>
      <c r="C54" s="17">
        <v>1097600</v>
      </c>
      <c r="D54" s="17">
        <f t="shared" si="0"/>
        <v>1097600</v>
      </c>
      <c r="E54" s="49">
        <f>VLOOKUP($A54,'Data shares'!$C:$FA,128)*100</f>
        <v>10.14</v>
      </c>
      <c r="F54" s="49">
        <f>VLOOKUP($A54,'Data shares'!$C:$FA,129)</f>
        <v>192150</v>
      </c>
      <c r="G54" s="17"/>
    </row>
    <row r="55" spans="1:7" x14ac:dyDescent="0.25">
      <c r="A55" s="101" t="s">
        <v>523</v>
      </c>
      <c r="B55" s="17">
        <v>118085392</v>
      </c>
      <c r="C55" s="17">
        <v>6549400</v>
      </c>
      <c r="D55" s="17">
        <f t="shared" si="0"/>
        <v>6549400</v>
      </c>
      <c r="E55" s="49">
        <f>VLOOKUP($A55,'Data shares'!$C:$FA,128)*100</f>
        <v>9.81</v>
      </c>
      <c r="F55" s="49">
        <f>VLOOKUP($A55,'Data shares'!$C:$FA,129)</f>
        <v>4332600</v>
      </c>
      <c r="G55" s="17"/>
    </row>
    <row r="56" spans="1:7" x14ac:dyDescent="0.25">
      <c r="A56" s="101" t="s">
        <v>485</v>
      </c>
      <c r="B56" s="17">
        <v>6917069</v>
      </c>
      <c r="C56" s="17">
        <v>762075</v>
      </c>
      <c r="D56" s="17">
        <f t="shared" si="0"/>
        <v>762075</v>
      </c>
      <c r="E56" s="49">
        <f>VLOOKUP($A56,'Data shares'!$C:$FA,128)*100</f>
        <v>7.84</v>
      </c>
      <c r="F56" s="49">
        <f>VLOOKUP($A56,'Data shares'!$C:$FA,129)</f>
        <v>607500</v>
      </c>
      <c r="G56" s="17"/>
    </row>
    <row r="57" spans="1:7" x14ac:dyDescent="0.25">
      <c r="A57" s="101" t="s">
        <v>178</v>
      </c>
      <c r="B57" s="17">
        <v>16125398</v>
      </c>
      <c r="C57" s="17">
        <v>1552600</v>
      </c>
      <c r="D57" s="17">
        <f t="shared" si="0"/>
        <v>1552600</v>
      </c>
      <c r="E57" s="49">
        <f>VLOOKUP($A57,'Data shares'!$C:$FA,128)*100</f>
        <v>15.959999999999999</v>
      </c>
      <c r="F57" s="49">
        <f>VLOOKUP($A57,'Data shares'!$C:$FA,129)</f>
        <v>10866750</v>
      </c>
      <c r="G57" s="17"/>
    </row>
    <row r="58" spans="1:7" x14ac:dyDescent="0.25">
      <c r="A58" s="101" t="s">
        <v>240</v>
      </c>
      <c r="B58" s="17">
        <v>727896180</v>
      </c>
      <c r="C58" s="17">
        <v>46526100</v>
      </c>
      <c r="D58" s="17">
        <f t="shared" si="0"/>
        <v>46526100</v>
      </c>
      <c r="E58" s="49">
        <f>VLOOKUP($A58,'Data shares'!$C:$FA,128)*100</f>
        <v>20.810000000000002</v>
      </c>
      <c r="F58" s="49">
        <f>VLOOKUP($A58,'Data shares'!$C:$FA,129)</f>
        <v>11006000</v>
      </c>
      <c r="G58" s="17"/>
    </row>
    <row r="59" spans="1:7" x14ac:dyDescent="0.25">
      <c r="A59" s="101" t="s">
        <v>202</v>
      </c>
      <c r="B59" s="17">
        <v>55081874</v>
      </c>
      <c r="C59" s="17">
        <v>10856000</v>
      </c>
      <c r="D59" s="17">
        <f t="shared" si="0"/>
        <v>10856000</v>
      </c>
      <c r="E59" s="49">
        <f>VLOOKUP($A59,'Data shares'!$C:$FA,128)*100</f>
        <v>9.5399999999999991</v>
      </c>
      <c r="F59" s="49">
        <f>VLOOKUP($A59,'Data shares'!$C:$FA,129)</f>
        <v>3537500</v>
      </c>
      <c r="G59" s="17"/>
    </row>
    <row r="60" spans="1:7" x14ac:dyDescent="0.25">
      <c r="A60" s="101" t="s">
        <v>245</v>
      </c>
      <c r="B60" s="17">
        <v>15273675</v>
      </c>
      <c r="C60" s="17">
        <v>5077125</v>
      </c>
      <c r="D60" s="17">
        <f t="shared" si="0"/>
        <v>5077125</v>
      </c>
      <c r="E60" s="49">
        <f>VLOOKUP($A60,'Data shares'!$C:$FA,128)*100</f>
        <v>11.92</v>
      </c>
      <c r="F60" s="49">
        <f>VLOOKUP($A60,'Data shares'!$C:$FA,129)</f>
        <v>2487500</v>
      </c>
      <c r="G60" s="17"/>
    </row>
    <row r="61" spans="1:7" x14ac:dyDescent="0.25">
      <c r="A61" s="101" t="s">
        <v>173</v>
      </c>
      <c r="B61" s="17">
        <v>541823383</v>
      </c>
      <c r="C61" s="17">
        <v>95378400</v>
      </c>
      <c r="D61" s="17">
        <f t="shared" si="0"/>
        <v>95378400</v>
      </c>
      <c r="E61" s="49">
        <f>VLOOKUP($A61,'Data shares'!$C:$FA,128)*100</f>
        <v>15.049999999999999</v>
      </c>
      <c r="F61" s="49">
        <f>VLOOKUP($A61,'Data shares'!$C:$FA,129)</f>
        <v>9198125</v>
      </c>
      <c r="G61" s="17"/>
    </row>
    <row r="62" spans="1:7" x14ac:dyDescent="0.25">
      <c r="A62" s="101" t="s">
        <v>234</v>
      </c>
      <c r="B62" s="17">
        <v>1606294231</v>
      </c>
      <c r="C62" s="17">
        <v>1302000000</v>
      </c>
      <c r="D62" s="17">
        <f t="shared" si="0"/>
        <v>1302000000</v>
      </c>
      <c r="E62" s="49">
        <f>VLOOKUP($A62,'Data shares'!$C:$FA,128)*100</f>
        <v>14.580000000000002</v>
      </c>
      <c r="F62" s="49">
        <f>VLOOKUP($A62,'Data shares'!$C:$FA,129)</f>
        <v>956621400</v>
      </c>
      <c r="G62" s="17"/>
    </row>
    <row r="63" spans="1:7" x14ac:dyDescent="0.25">
      <c r="A63" s="101" t="s">
        <v>235</v>
      </c>
      <c r="B63" s="17">
        <v>789260827</v>
      </c>
      <c r="C63" s="17">
        <v>462303900</v>
      </c>
      <c r="D63" s="17">
        <f t="shared" si="0"/>
        <v>462303900</v>
      </c>
      <c r="E63" s="49">
        <f>VLOOKUP($A63,'Data shares'!$C:$FA,128)*100</f>
        <v>15.97</v>
      </c>
      <c r="F63" s="49">
        <f>VLOOKUP($A63,'Data shares'!$C:$FA,129)</f>
        <v>50372525</v>
      </c>
      <c r="G63" s="17"/>
    </row>
    <row r="64" spans="1:7" x14ac:dyDescent="0.25">
      <c r="A64" s="101" t="s">
        <v>482</v>
      </c>
      <c r="B64" s="17">
        <v>44785930</v>
      </c>
      <c r="C64" s="17">
        <v>4025925</v>
      </c>
      <c r="D64" s="17">
        <f t="shared" si="0"/>
        <v>4025925</v>
      </c>
      <c r="E64" s="49">
        <f>VLOOKUP($A64,'Data shares'!$C:$FA,128)*100</f>
        <v>12.31</v>
      </c>
      <c r="F64" s="49">
        <f>VLOOKUP($A64,'Data shares'!$C:$FA,129)</f>
        <v>963800</v>
      </c>
      <c r="G64" s="17"/>
    </row>
    <row r="65" spans="1:7" x14ac:dyDescent="0.25">
      <c r="A65" s="101" t="s">
        <v>475</v>
      </c>
      <c r="B65" s="17">
        <v>13287700</v>
      </c>
      <c r="C65" s="17">
        <v>3968400</v>
      </c>
      <c r="D65" s="17">
        <f t="shared" si="0"/>
        <v>3968400</v>
      </c>
      <c r="E65" s="49">
        <f>VLOOKUP($A65,'Data shares'!$C:$FA,128)*100</f>
        <v>13.450000000000001</v>
      </c>
      <c r="F65" s="49">
        <f>VLOOKUP($A65,'Data shares'!$C:$FA,129)</f>
        <v>574800</v>
      </c>
      <c r="G65" s="17"/>
    </row>
    <row r="66" spans="1:7" x14ac:dyDescent="0.25">
      <c r="A66" s="101" t="s">
        <v>306</v>
      </c>
      <c r="B66" s="17">
        <v>292716179</v>
      </c>
      <c r="C66" s="17">
        <v>57797600</v>
      </c>
      <c r="D66" s="17">
        <f t="shared" si="0"/>
        <v>57797600</v>
      </c>
      <c r="E66" s="49">
        <f>VLOOKUP($A66,'Data shares'!$C:$FA,128)*100</f>
        <v>8.2799999999999994</v>
      </c>
      <c r="F66" s="49">
        <f>VLOOKUP($A66,'Data shares'!$C:$FA,129)</f>
        <v>7542000</v>
      </c>
      <c r="G66" s="17"/>
    </row>
    <row r="67" spans="1:7" x14ac:dyDescent="0.25">
      <c r="A67" s="101" t="s">
        <v>262</v>
      </c>
      <c r="B67" s="17">
        <v>21376133</v>
      </c>
      <c r="C67" s="17">
        <v>5958375</v>
      </c>
      <c r="D67" s="17">
        <f t="shared" si="0"/>
        <v>5958375</v>
      </c>
      <c r="E67" s="49">
        <f>VLOOKUP($A67,'Data shares'!$C:$FA,128)*100</f>
        <v>13.94</v>
      </c>
      <c r="F67" s="49">
        <f>VLOOKUP($A67,'Data shares'!$C:$FA,129)</f>
        <v>372350</v>
      </c>
      <c r="G67" s="17"/>
    </row>
    <row r="68" spans="1:7" x14ac:dyDescent="0.25">
      <c r="A68" s="101" t="s">
        <v>174</v>
      </c>
      <c r="B68" s="17">
        <v>26775498</v>
      </c>
      <c r="C68" s="17">
        <v>3494750</v>
      </c>
      <c r="D68" s="17">
        <f t="shared" si="0"/>
        <v>3494750</v>
      </c>
      <c r="E68" s="49">
        <f>VLOOKUP($A68,'Data shares'!$C:$FA,128)*100</f>
        <v>10.61</v>
      </c>
      <c r="F68" s="49">
        <f>VLOOKUP($A68,'Data shares'!$C:$FA,129)</f>
        <v>296100</v>
      </c>
      <c r="G68" s="17"/>
    </row>
    <row r="69" spans="1:7" x14ac:dyDescent="0.25">
      <c r="A69" s="101" t="s">
        <v>286</v>
      </c>
      <c r="B69" s="17">
        <v>29168705</v>
      </c>
      <c r="C69" s="17">
        <v>6373125</v>
      </c>
      <c r="D69" s="17">
        <f t="shared" si="0"/>
        <v>6373125</v>
      </c>
      <c r="E69" s="49">
        <f>VLOOKUP($A69,'Data shares'!$C:$FA,128)*100</f>
        <v>5.2299999999999995</v>
      </c>
      <c r="F69" s="49">
        <f>VLOOKUP($A69,'Data shares'!$C:$FA,129)</f>
        <v>150000</v>
      </c>
      <c r="G69" s="17"/>
    </row>
    <row r="70" spans="1:7" x14ac:dyDescent="0.25">
      <c r="A70" s="101" t="s">
        <v>297</v>
      </c>
      <c r="B70" s="17">
        <v>83636848</v>
      </c>
      <c r="C70" s="17">
        <v>13455750</v>
      </c>
      <c r="D70" s="17">
        <f t="shared" si="0"/>
        <v>13455750</v>
      </c>
      <c r="E70" s="49">
        <f>VLOOKUP($A70,'Data shares'!$C:$FA,128)*100</f>
        <v>17.32</v>
      </c>
      <c r="F70" s="49">
        <f>VLOOKUP($A70,'Data shares'!$C:$FA,129)</f>
        <v>1161300</v>
      </c>
      <c r="G70" s="17"/>
    </row>
    <row r="71" spans="1:7" x14ac:dyDescent="0.25">
      <c r="A71" s="101" t="s">
        <v>302</v>
      </c>
      <c r="B71" s="17">
        <v>23058222</v>
      </c>
      <c r="C71" s="17">
        <v>3980500</v>
      </c>
      <c r="D71" s="17">
        <f t="shared" ref="D71:D134" si="1">C71</f>
        <v>3980500</v>
      </c>
      <c r="E71" s="49">
        <f>VLOOKUP($A71,'Data shares'!$C:$FA,128)*100</f>
        <v>20.25</v>
      </c>
      <c r="F71" s="49">
        <f>VLOOKUP($A71,'Data shares'!$C:$FA,129)</f>
        <v>262750</v>
      </c>
      <c r="G71" s="17"/>
    </row>
    <row r="72" spans="1:7" x14ac:dyDescent="0.25">
      <c r="A72" s="101" t="s">
        <v>307</v>
      </c>
      <c r="B72" s="17">
        <v>184439886</v>
      </c>
      <c r="C72" s="17">
        <v>122460000</v>
      </c>
      <c r="D72" s="17">
        <f t="shared" si="1"/>
        <v>122460000</v>
      </c>
      <c r="E72" s="49">
        <f>VLOOKUP($A72,'Data shares'!$C:$FA,128)*100</f>
        <v>13.98</v>
      </c>
      <c r="F72" s="49">
        <f>VLOOKUP($A72,'Data shares'!$C:$FA,129)</f>
        <v>149466600</v>
      </c>
      <c r="G72" s="17"/>
    </row>
    <row r="73" spans="1:7" x14ac:dyDescent="0.25">
      <c r="A73" s="101" t="s">
        <v>177</v>
      </c>
      <c r="B73" s="17">
        <v>52956314</v>
      </c>
      <c r="C73" s="17">
        <v>7784625</v>
      </c>
      <c r="D73" s="17">
        <f t="shared" si="1"/>
        <v>7784625</v>
      </c>
      <c r="E73" s="49">
        <f>VLOOKUP($A73,'Data shares'!$C:$FA,128)*100</f>
        <v>15.959999999999999</v>
      </c>
      <c r="F73" s="49">
        <f>VLOOKUP($A73,'Data shares'!$C:$FA,129)</f>
        <v>10866750</v>
      </c>
      <c r="G73" s="17"/>
    </row>
    <row r="74" spans="1:7" x14ac:dyDescent="0.25">
      <c r="A74" s="101" t="s">
        <v>545</v>
      </c>
      <c r="B74" s="17">
        <v>23498849</v>
      </c>
      <c r="C74" s="17">
        <v>15745600</v>
      </c>
      <c r="D74" s="17">
        <f t="shared" si="1"/>
        <v>15745600</v>
      </c>
      <c r="E74" s="49">
        <f>VLOOKUP($A74,'Data shares'!$C:$FA,128)*100</f>
        <v>15.959999999999999</v>
      </c>
      <c r="F74" s="49">
        <f>VLOOKUP($A74,'Data shares'!$C:$FA,129)</f>
        <v>10866750</v>
      </c>
      <c r="G74" s="17"/>
    </row>
    <row r="75" spans="1:7" x14ac:dyDescent="0.25">
      <c r="A75" s="101" t="s">
        <v>185</v>
      </c>
      <c r="B75" s="17">
        <v>238123793</v>
      </c>
      <c r="C75" s="17">
        <v>59926000</v>
      </c>
      <c r="D75" s="17">
        <f t="shared" si="1"/>
        <v>59926000</v>
      </c>
      <c r="E75" s="49">
        <f>VLOOKUP($A75,'Data shares'!$C:$FA,128)*100</f>
        <v>19.3</v>
      </c>
      <c r="F75" s="49">
        <f>VLOOKUP($A75,'Data shares'!$C:$FA,129)</f>
        <v>19492575</v>
      </c>
      <c r="G75" s="17"/>
    </row>
    <row r="76" spans="1:7" x14ac:dyDescent="0.25">
      <c r="A76" s="101" t="s">
        <v>219</v>
      </c>
      <c r="B76" s="17">
        <v>75317259</v>
      </c>
      <c r="C76" s="17">
        <v>12188500</v>
      </c>
      <c r="D76" s="17">
        <f t="shared" si="1"/>
        <v>12188500</v>
      </c>
      <c r="E76" s="49">
        <f>VLOOKUP($A76,'Data shares'!$C:$FA,128)*100</f>
        <v>8.25</v>
      </c>
      <c r="F76" s="49">
        <f>VLOOKUP($A76,'Data shares'!$C:$FA,129)</f>
        <v>1186000</v>
      </c>
      <c r="G76" s="17"/>
    </row>
    <row r="77" spans="1:7" x14ac:dyDescent="0.25">
      <c r="A77" s="101" t="s">
        <v>534</v>
      </c>
      <c r="B77" s="17">
        <v>70381221</v>
      </c>
      <c r="C77" s="17">
        <v>3354100</v>
      </c>
      <c r="D77" s="17">
        <f t="shared" si="1"/>
        <v>3354100</v>
      </c>
      <c r="E77" s="49">
        <f>VLOOKUP($A77,'Data shares'!$C:$FA,128)*100</f>
        <v>8.25</v>
      </c>
      <c r="F77" s="49">
        <f>VLOOKUP($A77,'Data shares'!$C:$FA,129)</f>
        <v>1186000</v>
      </c>
      <c r="G77" s="17"/>
    </row>
    <row r="78" spans="1:7" x14ac:dyDescent="0.25">
      <c r="A78" s="101" t="s">
        <v>516</v>
      </c>
      <c r="B78" s="17">
        <v>27254349</v>
      </c>
      <c r="C78" s="17">
        <v>1133550</v>
      </c>
      <c r="D78" s="17">
        <f t="shared" si="1"/>
        <v>1133550</v>
      </c>
      <c r="E78" s="49">
        <f>VLOOKUP($A78,'Data shares'!$C:$FA,128)*100</f>
        <v>7.55</v>
      </c>
      <c r="F78" s="49">
        <f>VLOOKUP($A78,'Data shares'!$C:$FA,129)</f>
        <v>5850000</v>
      </c>
      <c r="G78" s="17"/>
    </row>
    <row r="79" spans="1:7" x14ac:dyDescent="0.25">
      <c r="A79" s="101" t="s">
        <v>271</v>
      </c>
      <c r="B79" s="17">
        <v>26746179</v>
      </c>
      <c r="C79" s="17">
        <v>5445825</v>
      </c>
      <c r="D79" s="17">
        <f t="shared" si="1"/>
        <v>5445825</v>
      </c>
      <c r="E79" s="49">
        <f>VLOOKUP($A79,'Data shares'!$C:$FA,128)*100</f>
        <v>6.5299999999999994</v>
      </c>
      <c r="F79" s="49">
        <f>VLOOKUP($A79,'Data shares'!$C:$FA,129)</f>
        <v>1038925</v>
      </c>
      <c r="G79" s="17"/>
    </row>
    <row r="80" spans="1:7" x14ac:dyDescent="0.25">
      <c r="A80" s="101" t="s">
        <v>264</v>
      </c>
      <c r="B80" s="17">
        <v>15844192</v>
      </c>
      <c r="C80" s="17">
        <v>2354125</v>
      </c>
      <c r="D80" s="17">
        <f t="shared" si="1"/>
        <v>2354125</v>
      </c>
      <c r="E80" s="49">
        <f>VLOOKUP($A80,'Data shares'!$C:$FA,128)*100</f>
        <v>7.84</v>
      </c>
      <c r="F80" s="49">
        <f>VLOOKUP($A80,'Data shares'!$C:$FA,129)</f>
        <v>607500</v>
      </c>
      <c r="G80" s="17"/>
    </row>
    <row r="81" spans="1:7" x14ac:dyDescent="0.25">
      <c r="A81" s="101" t="s">
        <v>208</v>
      </c>
      <c r="B81" s="17">
        <v>24296838</v>
      </c>
      <c r="C81" s="17">
        <v>5125750</v>
      </c>
      <c r="D81" s="17">
        <f t="shared" si="1"/>
        <v>5125750</v>
      </c>
      <c r="E81" s="49">
        <f>VLOOKUP($A81,'Data shares'!$C:$FA,128)*100</f>
        <v>10.01</v>
      </c>
      <c r="F81" s="49">
        <f>VLOOKUP($A81,'Data shares'!$C:$FA,129)</f>
        <v>1108125</v>
      </c>
      <c r="G81" s="17"/>
    </row>
    <row r="82" spans="1:7" x14ac:dyDescent="0.25">
      <c r="A82" s="101" t="s">
        <v>552</v>
      </c>
      <c r="B82" s="17">
        <v>23447901</v>
      </c>
      <c r="C82" s="17">
        <v>3785600</v>
      </c>
      <c r="D82" s="17">
        <f t="shared" si="1"/>
        <v>3785600</v>
      </c>
      <c r="E82" s="49">
        <f>VLOOKUP($A82,'Data shares'!$C:$FA,128)*100</f>
        <v>3.54</v>
      </c>
      <c r="F82" s="49">
        <f>VLOOKUP($A82,'Data shares'!$C:$FA,129)</f>
        <v>272000</v>
      </c>
      <c r="G82" s="17"/>
    </row>
    <row r="83" spans="1:7" x14ac:dyDescent="0.25">
      <c r="A83" s="101" t="s">
        <v>204</v>
      </c>
      <c r="B83" s="17">
        <v>115362060</v>
      </c>
      <c r="C83" s="17">
        <v>19043750</v>
      </c>
      <c r="D83" s="17">
        <f t="shared" si="1"/>
        <v>19043750</v>
      </c>
      <c r="E83" s="49">
        <f>VLOOKUP($A83,'Data shares'!$C:$FA,128)*100</f>
        <v>8.16</v>
      </c>
      <c r="F83" s="49">
        <f>VLOOKUP($A83,'Data shares'!$C:$FA,129)</f>
        <v>1213750</v>
      </c>
      <c r="G83" s="17"/>
    </row>
    <row r="84" spans="1:7" x14ac:dyDescent="0.25">
      <c r="A84" s="101" t="s">
        <v>528</v>
      </c>
      <c r="B84" s="17">
        <v>23485458</v>
      </c>
      <c r="C84" s="17">
        <v>4272800</v>
      </c>
      <c r="D84" s="17">
        <f t="shared" si="1"/>
        <v>4272800</v>
      </c>
      <c r="E84" s="49">
        <f>VLOOKUP($A84,'Data shares'!$C:$FA,128)*100</f>
        <v>7.62</v>
      </c>
      <c r="F84" s="49">
        <f>VLOOKUP($A84,'Data shares'!$C:$FA,129)</f>
        <v>287700</v>
      </c>
      <c r="G84" s="17"/>
    </row>
    <row r="85" spans="1:7" x14ac:dyDescent="0.25">
      <c r="A85" s="101" t="s">
        <v>551</v>
      </c>
      <c r="B85" s="17">
        <v>39593365</v>
      </c>
      <c r="C85" s="17">
        <v>12215000</v>
      </c>
      <c r="D85" s="17">
        <f t="shared" si="1"/>
        <v>12215000</v>
      </c>
      <c r="E85" s="49">
        <f>VLOOKUP($A85,'Data shares'!$C:$FA,128)*100</f>
        <v>4.74</v>
      </c>
      <c r="F85" s="49">
        <f>VLOOKUP($A85,'Data shares'!$C:$FA,129)</f>
        <v>99450</v>
      </c>
      <c r="G85" s="17"/>
    </row>
    <row r="86" spans="1:7" x14ac:dyDescent="0.25">
      <c r="A86" s="101" t="s">
        <v>292</v>
      </c>
      <c r="B86" s="17">
        <v>355933451</v>
      </c>
      <c r="C86" s="17">
        <v>204117000</v>
      </c>
      <c r="D86" s="17">
        <f t="shared" si="1"/>
        <v>204117000</v>
      </c>
      <c r="E86" s="49">
        <f>VLOOKUP($A86,'Data shares'!$C:$FA,128)*100</f>
        <v>9.0399999999999991</v>
      </c>
      <c r="F86" s="49">
        <f>VLOOKUP($A86,'Data shares'!$C:$FA,129)</f>
        <v>170000</v>
      </c>
      <c r="G86" s="17"/>
    </row>
    <row r="87" spans="1:7" x14ac:dyDescent="0.25">
      <c r="A87" s="101" t="s">
        <v>239</v>
      </c>
      <c r="B87" s="17">
        <v>117569462</v>
      </c>
      <c r="C87" s="17">
        <v>39785400</v>
      </c>
      <c r="D87" s="17">
        <f t="shared" si="1"/>
        <v>39785400</v>
      </c>
      <c r="E87" s="49">
        <f>VLOOKUP($A87,'Data shares'!$C:$FA,128)*100</f>
        <v>10.57</v>
      </c>
      <c r="F87" s="49">
        <f>VLOOKUP($A87,'Data shares'!$C:$FA,129)</f>
        <v>4660600</v>
      </c>
      <c r="G87" s="17"/>
    </row>
    <row r="88" spans="1:7" x14ac:dyDescent="0.25">
      <c r="A88" s="101" t="s">
        <v>513</v>
      </c>
      <c r="B88" s="17">
        <v>16619018</v>
      </c>
      <c r="C88" s="17">
        <v>3155425</v>
      </c>
      <c r="D88" s="17">
        <f t="shared" si="1"/>
        <v>3155425</v>
      </c>
      <c r="E88" s="49">
        <f>VLOOKUP($A88,'Data shares'!$C:$FA,128)*100</f>
        <v>12.58</v>
      </c>
      <c r="F88" s="49">
        <f>VLOOKUP($A88,'Data shares'!$C:$FA,129)</f>
        <v>1209300</v>
      </c>
      <c r="G88" s="17"/>
    </row>
    <row r="89" spans="1:7" x14ac:dyDescent="0.25">
      <c r="A89" s="101" t="s">
        <v>224</v>
      </c>
      <c r="B89" s="17">
        <v>669931623</v>
      </c>
      <c r="C89" s="17">
        <v>82663350</v>
      </c>
      <c r="D89" s="17">
        <f t="shared" si="1"/>
        <v>82663350</v>
      </c>
      <c r="E89" s="49">
        <f>VLOOKUP($A89,'Data shares'!$C:$FA,128)*100</f>
        <v>22</v>
      </c>
      <c r="F89" s="49">
        <f>VLOOKUP($A89,'Data shares'!$C:$FA,129)</f>
        <v>36628350</v>
      </c>
      <c r="G89" s="17"/>
    </row>
    <row r="90" spans="1:7" x14ac:dyDescent="0.25">
      <c r="A90" s="101" t="s">
        <v>232</v>
      </c>
      <c r="B90" s="17">
        <v>1110506052</v>
      </c>
      <c r="C90" s="17">
        <v>174065375</v>
      </c>
      <c r="D90" s="17">
        <f t="shared" si="1"/>
        <v>174065375</v>
      </c>
      <c r="E90" s="49">
        <f>VLOOKUP($A90,'Data shares'!$C:$FA,128)*100</f>
        <v>23.599999999999998</v>
      </c>
      <c r="F90" s="49">
        <f>VLOOKUP($A90,'Data shares'!$C:$FA,129)</f>
        <v>19313700</v>
      </c>
      <c r="G90" s="17"/>
    </row>
    <row r="91" spans="1:7" x14ac:dyDescent="0.25">
      <c r="A91" s="101" t="s">
        <v>223</v>
      </c>
      <c r="B91" s="17">
        <v>362202362</v>
      </c>
      <c r="C91" s="17">
        <v>34249800</v>
      </c>
      <c r="D91" s="17">
        <f t="shared" si="1"/>
        <v>34249800</v>
      </c>
      <c r="E91" s="49">
        <f>VLOOKUP($A91,'Data shares'!$C:$FA,128)*100</f>
        <v>8.44</v>
      </c>
      <c r="F91" s="49">
        <f>VLOOKUP($A91,'Data shares'!$C:$FA,129)</f>
        <v>1189650</v>
      </c>
      <c r="G91" s="17"/>
    </row>
    <row r="92" spans="1:7" x14ac:dyDescent="0.25">
      <c r="A92" s="101" t="s">
        <v>218</v>
      </c>
      <c r="B92" s="17">
        <v>23110810</v>
      </c>
      <c r="C92" s="17">
        <v>6940375</v>
      </c>
      <c r="D92" s="17">
        <f t="shared" si="1"/>
        <v>6940375</v>
      </c>
      <c r="E92" s="49">
        <f>VLOOKUP($A92,'Data shares'!$C:$FA,128)*100</f>
        <v>9.77</v>
      </c>
      <c r="F92" s="49">
        <f>VLOOKUP($A92,'Data shares'!$C:$FA,129)</f>
        <v>783475</v>
      </c>
      <c r="G92" s="17"/>
    </row>
    <row r="93" spans="1:7" x14ac:dyDescent="0.25">
      <c r="A93" s="101" t="s">
        <v>236</v>
      </c>
      <c r="B93" s="17">
        <v>77000080</v>
      </c>
      <c r="C93" s="17">
        <v>25785375</v>
      </c>
      <c r="D93" s="17">
        <f t="shared" si="1"/>
        <v>25785375</v>
      </c>
      <c r="E93" s="49">
        <f>VLOOKUP($A93,'Data shares'!$C:$FA,128)*100</f>
        <v>12.44</v>
      </c>
      <c r="F93" s="49">
        <f>VLOOKUP($A93,'Data shares'!$C:$FA,129)</f>
        <v>5958750</v>
      </c>
      <c r="G93" s="17"/>
    </row>
    <row r="94" spans="1:7" x14ac:dyDescent="0.25">
      <c r="A94" s="101" t="s">
        <v>246</v>
      </c>
      <c r="B94" s="17">
        <v>293666614</v>
      </c>
      <c r="C94" s="17">
        <v>30730800</v>
      </c>
      <c r="D94" s="17">
        <f t="shared" si="1"/>
        <v>30730800</v>
      </c>
      <c r="E94" s="49">
        <f>VLOOKUP($A94,'Data shares'!$C:$FA,128)*100</f>
        <v>18.279999999999998</v>
      </c>
      <c r="F94" s="49">
        <f>VLOOKUP($A94,'Data shares'!$C:$FA,129)</f>
        <v>5671200</v>
      </c>
      <c r="G94" s="17"/>
    </row>
    <row r="95" spans="1:7" x14ac:dyDescent="0.25">
      <c r="A95" s="101" t="s">
        <v>532</v>
      </c>
      <c r="B95" s="17">
        <v>32892110</v>
      </c>
      <c r="C95" s="17">
        <v>6216000</v>
      </c>
      <c r="D95" s="17">
        <f t="shared" si="1"/>
        <v>6216000</v>
      </c>
      <c r="E95" s="49">
        <f>VLOOKUP($A95,'Data shares'!$C:$FA,128)*100</f>
        <v>9.0300000000000011</v>
      </c>
      <c r="F95" s="49">
        <f>VLOOKUP($A95,'Data shares'!$C:$FA,129)</f>
        <v>1153450</v>
      </c>
      <c r="G95" s="17"/>
    </row>
    <row r="96" spans="1:7" x14ac:dyDescent="0.25">
      <c r="A96" s="101" t="s">
        <v>242</v>
      </c>
      <c r="B96" s="17">
        <v>2461627231</v>
      </c>
      <c r="C96" s="17">
        <v>322832000</v>
      </c>
      <c r="D96" s="17">
        <f t="shared" si="1"/>
        <v>322832000</v>
      </c>
      <c r="E96" s="49">
        <f>VLOOKUP($A96,'Data shares'!$C:$FA,128)*100</f>
        <v>14.499999999999998</v>
      </c>
      <c r="F96" s="49">
        <f>VLOOKUP($A96,'Data shares'!$C:$FA,129)</f>
        <v>18782400</v>
      </c>
      <c r="G96" s="17"/>
    </row>
    <row r="97" spans="1:7" x14ac:dyDescent="0.25">
      <c r="A97" s="101" t="s">
        <v>165</v>
      </c>
      <c r="B97" s="17">
        <v>20321931</v>
      </c>
      <c r="C97" s="17">
        <v>3675125</v>
      </c>
      <c r="D97" s="17">
        <f t="shared" si="1"/>
        <v>3675125</v>
      </c>
      <c r="E97" s="49">
        <f>VLOOKUP($A97,'Data shares'!$C:$FA,128)*100</f>
        <v>13.29</v>
      </c>
      <c r="F97" s="49">
        <f>VLOOKUP($A97,'Data shares'!$C:$FA,129)</f>
        <v>246000</v>
      </c>
      <c r="G97" s="17"/>
    </row>
    <row r="98" spans="1:7" x14ac:dyDescent="0.25">
      <c r="A98" s="101" t="s">
        <v>503</v>
      </c>
      <c r="B98" s="17">
        <v>17788750</v>
      </c>
      <c r="C98" s="17">
        <v>925925</v>
      </c>
      <c r="D98" s="17">
        <f t="shared" si="1"/>
        <v>925925</v>
      </c>
      <c r="E98" s="49">
        <f>VLOOKUP($A98,'Data shares'!$C:$FA,128)*100</f>
        <v>9.8000000000000007</v>
      </c>
      <c r="F98" s="49">
        <f>VLOOKUP($A98,'Data shares'!$C:$FA,129)</f>
        <v>712300</v>
      </c>
      <c r="G98" s="17"/>
    </row>
    <row r="99" spans="1:7" x14ac:dyDescent="0.25">
      <c r="A99" s="101" t="s">
        <v>192</v>
      </c>
      <c r="B99" s="17">
        <v>1737683</v>
      </c>
      <c r="C99" s="17">
        <v>235900</v>
      </c>
      <c r="D99" s="17">
        <f t="shared" si="1"/>
        <v>235900</v>
      </c>
      <c r="E99" s="49">
        <f>VLOOKUP($A99,'Data shares'!$C:$FA,128)*100</f>
        <v>5.89</v>
      </c>
      <c r="F99" s="49">
        <f>VLOOKUP($A99,'Data shares'!$C:$FA,129)</f>
        <v>10725</v>
      </c>
      <c r="G99" s="17"/>
    </row>
    <row r="100" spans="1:7" x14ac:dyDescent="0.25">
      <c r="A100" s="101" t="s">
        <v>531</v>
      </c>
      <c r="B100" s="17">
        <v>33015657</v>
      </c>
      <c r="C100" s="17">
        <v>9033700</v>
      </c>
      <c r="D100" s="17">
        <f t="shared" si="1"/>
        <v>9033700</v>
      </c>
      <c r="E100" s="49">
        <f>VLOOKUP($A100,'Data shares'!$C:$FA,128)*100</f>
        <v>15.89</v>
      </c>
      <c r="F100" s="49">
        <f>VLOOKUP($A100,'Data shares'!$C:$FA,129)</f>
        <v>1517625</v>
      </c>
      <c r="G100" s="17"/>
    </row>
    <row r="101" spans="1:7" x14ac:dyDescent="0.25">
      <c r="A101" s="101" t="s">
        <v>494</v>
      </c>
      <c r="B101" s="17">
        <v>147873568</v>
      </c>
      <c r="C101" s="17">
        <v>20386400</v>
      </c>
      <c r="D101" s="17">
        <f t="shared" si="1"/>
        <v>20386400</v>
      </c>
      <c r="E101" s="49">
        <f>VLOOKUP($A101,'Data shares'!$C:$FA,128)*100</f>
        <v>9.81</v>
      </c>
      <c r="F101" s="49">
        <f>VLOOKUP($A101,'Data shares'!$C:$FA,129)</f>
        <v>4332600</v>
      </c>
      <c r="G101" s="17"/>
    </row>
    <row r="102" spans="1:7" x14ac:dyDescent="0.25">
      <c r="A102" s="101" t="s">
        <v>473</v>
      </c>
      <c r="B102" s="17">
        <v>162372116</v>
      </c>
      <c r="C102" s="17">
        <v>43206800</v>
      </c>
      <c r="D102" s="17">
        <f t="shared" si="1"/>
        <v>43206800</v>
      </c>
      <c r="E102" s="49">
        <f>VLOOKUP($A102,'Data shares'!$C:$FA,128)*100</f>
        <v>4.22</v>
      </c>
      <c r="F102" s="49">
        <f>VLOOKUP($A102,'Data shares'!$C:$FA,129)</f>
        <v>2867900</v>
      </c>
      <c r="G102" s="17"/>
    </row>
    <row r="103" spans="1:7" x14ac:dyDescent="0.25">
      <c r="A103" s="101" t="s">
        <v>225</v>
      </c>
      <c r="B103" s="17">
        <v>187118353</v>
      </c>
      <c r="C103" s="17">
        <v>49800300</v>
      </c>
      <c r="D103" s="17">
        <f t="shared" si="1"/>
        <v>49800300</v>
      </c>
      <c r="E103" s="49">
        <f>VLOOKUP($A103,'Data shares'!$C:$FA,128)*100</f>
        <v>9.44</v>
      </c>
      <c r="F103" s="49">
        <f>VLOOKUP($A103,'Data shares'!$C:$FA,129)</f>
        <v>2553100</v>
      </c>
      <c r="G103" s="17"/>
    </row>
    <row r="104" spans="1:7" x14ac:dyDescent="0.25">
      <c r="A104" s="101" t="s">
        <v>504</v>
      </c>
      <c r="B104" s="17">
        <v>12641694</v>
      </c>
      <c r="C104" s="17">
        <v>6728400</v>
      </c>
      <c r="D104" s="17">
        <f t="shared" si="1"/>
        <v>6728400</v>
      </c>
      <c r="E104" s="49">
        <f>VLOOKUP($A104,'Data shares'!$C:$FA,128)*100</f>
        <v>5.2299999999999995</v>
      </c>
      <c r="F104" s="49">
        <f>VLOOKUP($A104,'Data shares'!$C:$FA,129)</f>
        <v>150000</v>
      </c>
      <c r="G104" s="17"/>
    </row>
    <row r="105" spans="1:7" x14ac:dyDescent="0.25">
      <c r="A105" s="101" t="s">
        <v>537</v>
      </c>
      <c r="B105" s="17">
        <v>6343591</v>
      </c>
      <c r="C105" s="17">
        <v>1262250</v>
      </c>
      <c r="D105" s="17">
        <f t="shared" si="1"/>
        <v>1262250</v>
      </c>
      <c r="E105" s="49">
        <f>VLOOKUP($A105,'Data shares'!$C:$FA,128)*100</f>
        <v>20.53</v>
      </c>
      <c r="F105" s="49">
        <f>VLOOKUP($A105,'Data shares'!$C:$FA,129)</f>
        <v>1641750</v>
      </c>
      <c r="G105" s="17"/>
    </row>
    <row r="106" spans="1:7" x14ac:dyDescent="0.25">
      <c r="A106" s="101" t="s">
        <v>256</v>
      </c>
      <c r="B106" s="17">
        <v>62880735</v>
      </c>
      <c r="C106" s="17">
        <v>20391250</v>
      </c>
      <c r="D106" s="17">
        <f t="shared" si="1"/>
        <v>20391250</v>
      </c>
      <c r="E106" s="49">
        <f>VLOOKUP($A106,'Data shares'!$C:$FA,128)*100</f>
        <v>11.28</v>
      </c>
      <c r="F106" s="49">
        <f>VLOOKUP($A106,'Data shares'!$C:$FA,129)</f>
        <v>500400</v>
      </c>
      <c r="G106" s="17"/>
    </row>
    <row r="107" spans="1:7" x14ac:dyDescent="0.25">
      <c r="A107" s="101" t="s">
        <v>514</v>
      </c>
      <c r="B107" s="17">
        <v>179174844</v>
      </c>
      <c r="C107" s="17">
        <v>67477500</v>
      </c>
      <c r="D107" s="17">
        <f t="shared" si="1"/>
        <v>67477500</v>
      </c>
      <c r="E107" s="49">
        <f>VLOOKUP($A107,'Data shares'!$C:$FA,128)*100</f>
        <v>12.44</v>
      </c>
      <c r="F107" s="49">
        <f>VLOOKUP($A107,'Data shares'!$C:$FA,129)</f>
        <v>5958750</v>
      </c>
      <c r="G107" s="17"/>
    </row>
    <row r="108" spans="1:7" x14ac:dyDescent="0.25">
      <c r="A108" s="101" t="s">
        <v>272</v>
      </c>
      <c r="B108" s="17">
        <v>150000017</v>
      </c>
      <c r="C108" s="17">
        <v>35217000</v>
      </c>
      <c r="D108" s="17">
        <f t="shared" si="1"/>
        <v>35217000</v>
      </c>
      <c r="E108" s="49">
        <f>VLOOKUP($A108,'Data shares'!$C:$FA,128)*100</f>
        <v>8.9</v>
      </c>
      <c r="F108" s="49">
        <f>VLOOKUP($A108,'Data shares'!$C:$FA,129)</f>
        <v>3640400</v>
      </c>
      <c r="G108" s="17"/>
    </row>
    <row r="109" spans="1:7" x14ac:dyDescent="0.25">
      <c r="A109" s="101" t="s">
        <v>470</v>
      </c>
      <c r="B109" s="17">
        <v>6091932</v>
      </c>
      <c r="C109" s="17">
        <v>1893300</v>
      </c>
      <c r="D109" s="17">
        <f t="shared" si="1"/>
        <v>1893300</v>
      </c>
      <c r="E109" s="49">
        <f>VLOOKUP($A109,'Data shares'!$C:$FA,128)*100</f>
        <v>5.8999999999999995</v>
      </c>
      <c r="F109" s="49">
        <f>VLOOKUP($A109,'Data shares'!$C:$FA,129)</f>
        <v>700125</v>
      </c>
      <c r="G109" s="17"/>
    </row>
    <row r="110" spans="1:7" x14ac:dyDescent="0.25">
      <c r="A110" s="101" t="s">
        <v>176</v>
      </c>
      <c r="B110" s="17">
        <v>12437219</v>
      </c>
      <c r="C110" s="17">
        <v>1155950</v>
      </c>
      <c r="D110" s="17">
        <f t="shared" si="1"/>
        <v>1155950</v>
      </c>
      <c r="E110" s="49">
        <f>VLOOKUP($A110,'Data shares'!$C:$FA,128)*100</f>
        <v>17.690000000000001</v>
      </c>
      <c r="F110" s="49">
        <f>VLOOKUP($A110,'Data shares'!$C:$FA,129)</f>
        <v>2654500</v>
      </c>
      <c r="G110" s="17"/>
    </row>
    <row r="111" spans="1:7" x14ac:dyDescent="0.25">
      <c r="A111" s="101" t="s">
        <v>524</v>
      </c>
      <c r="B111" s="17">
        <v>16479425</v>
      </c>
      <c r="C111" s="17">
        <v>1670750</v>
      </c>
      <c r="D111" s="17">
        <f t="shared" si="1"/>
        <v>1670750</v>
      </c>
      <c r="E111" s="49">
        <f>VLOOKUP($A111,'Data shares'!$C:$FA,128)*100</f>
        <v>12.76</v>
      </c>
      <c r="F111" s="49">
        <f>VLOOKUP($A111,'Data shares'!$C:$FA,129)</f>
        <v>236275</v>
      </c>
      <c r="G111" s="17"/>
    </row>
    <row r="112" spans="1:7" x14ac:dyDescent="0.25">
      <c r="A112" s="101" t="s">
        <v>487</v>
      </c>
      <c r="B112" s="17">
        <v>16533935</v>
      </c>
      <c r="C112" s="17">
        <v>1807050</v>
      </c>
      <c r="D112" s="17">
        <f t="shared" si="1"/>
        <v>1807050</v>
      </c>
      <c r="E112" s="49">
        <f>VLOOKUP($A112,'Data shares'!$C:$FA,128)*100</f>
        <v>2.88</v>
      </c>
      <c r="F112" s="49">
        <f>VLOOKUP($A112,'Data shares'!$C:$FA,129)</f>
        <v>142175</v>
      </c>
      <c r="G112" s="17"/>
    </row>
    <row r="113" spans="1:7" x14ac:dyDescent="0.25">
      <c r="A113" s="101" t="s">
        <v>305</v>
      </c>
      <c r="B113" s="17">
        <v>46126252</v>
      </c>
      <c r="C113" s="17">
        <v>7513500</v>
      </c>
      <c r="D113" s="17">
        <f t="shared" si="1"/>
        <v>7513500</v>
      </c>
      <c r="E113" s="49">
        <f>VLOOKUP($A113,'Data shares'!$C:$FA,128)*100</f>
        <v>20.53</v>
      </c>
      <c r="F113" s="49">
        <f>VLOOKUP($A113,'Data shares'!$C:$FA,129)</f>
        <v>1641750</v>
      </c>
      <c r="G113" s="17"/>
    </row>
    <row r="114" spans="1:7" x14ac:dyDescent="0.25">
      <c r="A114" s="101" t="s">
        <v>238</v>
      </c>
      <c r="B114" s="17">
        <v>19428657</v>
      </c>
      <c r="C114" s="17">
        <v>5637750</v>
      </c>
      <c r="D114" s="17">
        <f t="shared" si="1"/>
        <v>5637750</v>
      </c>
      <c r="E114" s="49">
        <f>VLOOKUP($A114,'Data shares'!$C:$FA,128)*100</f>
        <v>13.320000000000002</v>
      </c>
      <c r="F114" s="49">
        <f>VLOOKUP($A114,'Data shares'!$C:$FA,129)</f>
        <v>1346700</v>
      </c>
      <c r="G114" s="17"/>
    </row>
    <row r="115" spans="1:7" x14ac:dyDescent="0.25">
      <c r="A115" s="101" t="s">
        <v>527</v>
      </c>
      <c r="B115" s="17">
        <v>7494363</v>
      </c>
      <c r="C115" s="17">
        <v>739375</v>
      </c>
      <c r="D115" s="17">
        <f t="shared" si="1"/>
        <v>739375</v>
      </c>
      <c r="E115" s="49">
        <f>VLOOKUP($A115,'Data shares'!$C:$FA,128)*100</f>
        <v>17.440000000000001</v>
      </c>
      <c r="F115" s="49">
        <f>VLOOKUP($A115,'Data shares'!$C:$FA,129)</f>
        <v>23716200</v>
      </c>
      <c r="G115" s="17"/>
    </row>
    <row r="116" spans="1:7" x14ac:dyDescent="0.25">
      <c r="A116" s="101" t="s">
        <v>489</v>
      </c>
      <c r="B116" s="17">
        <v>9087752</v>
      </c>
      <c r="C116" s="17">
        <v>1575750</v>
      </c>
      <c r="D116" s="17">
        <f t="shared" si="1"/>
        <v>1575750</v>
      </c>
      <c r="E116" s="49">
        <f>VLOOKUP($A116,'Data shares'!$C:$FA,128)*100</f>
        <v>5.52</v>
      </c>
      <c r="F116" s="49">
        <f>VLOOKUP($A116,'Data shares'!$C:$FA,129)</f>
        <v>2259000</v>
      </c>
      <c r="G116" s="17"/>
    </row>
    <row r="117" spans="1:7" x14ac:dyDescent="0.25">
      <c r="A117" s="101" t="s">
        <v>484</v>
      </c>
      <c r="B117" s="17">
        <v>3300938</v>
      </c>
      <c r="C117" s="17">
        <v>190125</v>
      </c>
      <c r="D117" s="17">
        <f t="shared" si="1"/>
        <v>190125</v>
      </c>
      <c r="E117" s="49">
        <f>VLOOKUP($A117,'Data shares'!$C:$FA,128)*100</f>
        <v>13.889999999999999</v>
      </c>
      <c r="F117" s="49">
        <f>VLOOKUP($A117,'Data shares'!$C:$FA,129)</f>
        <v>10481900</v>
      </c>
      <c r="G117" s="17"/>
    </row>
    <row r="118" spans="1:7" x14ac:dyDescent="0.25">
      <c r="A118" s="101" t="s">
        <v>285</v>
      </c>
      <c r="B118" s="17">
        <v>17806068</v>
      </c>
      <c r="C118" s="17">
        <v>1857900</v>
      </c>
      <c r="D118" s="17">
        <f t="shared" si="1"/>
        <v>1857900</v>
      </c>
      <c r="E118" s="49">
        <f>VLOOKUP($A118,'Data shares'!$C:$FA,128)*100</f>
        <v>11.75</v>
      </c>
      <c r="F118" s="49">
        <f>VLOOKUP($A118,'Data shares'!$C:$FA,129)</f>
        <v>345800</v>
      </c>
      <c r="G118" s="17"/>
    </row>
    <row r="119" spans="1:7" x14ac:dyDescent="0.25">
      <c r="A119" s="101" t="s">
        <v>554</v>
      </c>
      <c r="B119" s="17">
        <v>18562709</v>
      </c>
      <c r="C119" s="17">
        <v>2173500</v>
      </c>
      <c r="D119" s="17">
        <f t="shared" si="1"/>
        <v>2173500</v>
      </c>
      <c r="E119" s="49">
        <f>VLOOKUP($A119,'Data shares'!$C:$FA,128)*100</f>
        <v>7.7200000000000006</v>
      </c>
      <c r="F119" s="49">
        <f>VLOOKUP($A119,'Data shares'!$C:$FA,129)</f>
        <v>6485050</v>
      </c>
      <c r="G119" s="17"/>
    </row>
    <row r="120" spans="1:7" x14ac:dyDescent="0.25">
      <c r="A120" s="101" t="s">
        <v>293</v>
      </c>
      <c r="B120" s="17">
        <v>339616396</v>
      </c>
      <c r="C120" s="17">
        <v>214528500</v>
      </c>
      <c r="D120" s="17">
        <f t="shared" si="1"/>
        <v>214528500</v>
      </c>
      <c r="E120" s="49">
        <f>VLOOKUP($A120,'Data shares'!$C:$FA,128)*100</f>
        <v>11.14</v>
      </c>
      <c r="F120" s="49">
        <f>VLOOKUP($A120,'Data shares'!$C:$FA,129)</f>
        <v>5610050</v>
      </c>
      <c r="G120" s="17"/>
    </row>
    <row r="121" spans="1:7" x14ac:dyDescent="0.25">
      <c r="A121" s="101" t="s">
        <v>282</v>
      </c>
      <c r="B121" s="17">
        <v>289139949</v>
      </c>
      <c r="C121" s="17">
        <v>230878500</v>
      </c>
      <c r="D121" s="17">
        <f t="shared" si="1"/>
        <v>230878500</v>
      </c>
      <c r="E121" s="49">
        <f>VLOOKUP($A121,'Data shares'!$C:$FA,128)*100</f>
        <v>11.61</v>
      </c>
      <c r="F121" s="49">
        <f>VLOOKUP($A121,'Data shares'!$C:$FA,129)</f>
        <v>19241800</v>
      </c>
      <c r="G121" s="17"/>
    </row>
    <row r="122" spans="1:7" x14ac:dyDescent="0.25">
      <c r="A122" s="101" t="s">
        <v>248</v>
      </c>
      <c r="B122" s="17">
        <v>60244101</v>
      </c>
      <c r="C122" s="17">
        <v>36578000</v>
      </c>
      <c r="D122" s="17">
        <f t="shared" si="1"/>
        <v>36578000</v>
      </c>
      <c r="E122" s="49">
        <f>VLOOKUP($A122,'Data shares'!$C:$FA,128)*100</f>
        <v>9.59</v>
      </c>
      <c r="F122" s="49">
        <f>VLOOKUP($A122,'Data shares'!$C:$FA,129)</f>
        <v>2968000</v>
      </c>
      <c r="G122" s="17"/>
    </row>
    <row r="123" spans="1:7" x14ac:dyDescent="0.25">
      <c r="A123" s="101" t="s">
        <v>189</v>
      </c>
      <c r="B123" s="17">
        <v>510707358</v>
      </c>
      <c r="C123" s="17">
        <v>94385350</v>
      </c>
      <c r="D123" s="17">
        <f t="shared" si="1"/>
        <v>94385350</v>
      </c>
      <c r="E123" s="49">
        <f>VLOOKUP($A123,'Data shares'!$C:$FA,128)*100</f>
        <v>13.38</v>
      </c>
      <c r="F123" s="49">
        <f>VLOOKUP($A123,'Data shares'!$C:$FA,129)</f>
        <v>4878725</v>
      </c>
      <c r="G123" s="17"/>
    </row>
    <row r="124" spans="1:7" x14ac:dyDescent="0.25">
      <c r="A124" s="101" t="s">
        <v>213</v>
      </c>
      <c r="B124" s="17">
        <v>425164259</v>
      </c>
      <c r="C124" s="17">
        <v>85375600</v>
      </c>
      <c r="D124" s="17">
        <f t="shared" si="1"/>
        <v>85375600</v>
      </c>
      <c r="E124" s="49">
        <f>VLOOKUP($A124,'Data shares'!$C:$FA,128)*100</f>
        <v>11.28</v>
      </c>
      <c r="F124" s="49">
        <f>VLOOKUP($A124,'Data shares'!$C:$FA,129)</f>
        <v>10372950</v>
      </c>
      <c r="G124" s="17"/>
    </row>
    <row r="125" spans="1:7" x14ac:dyDescent="0.25">
      <c r="A125" s="101" t="s">
        <v>295</v>
      </c>
      <c r="B125" s="17">
        <v>205769415</v>
      </c>
      <c r="C125" s="17">
        <v>21452100</v>
      </c>
      <c r="D125" s="17">
        <f t="shared" si="1"/>
        <v>21452100</v>
      </c>
      <c r="E125" s="49">
        <f>VLOOKUP($A125,'Data shares'!$C:$FA,128)*100</f>
        <v>10.51</v>
      </c>
      <c r="F125" s="49">
        <f>VLOOKUP($A125,'Data shares'!$C:$FA,129)</f>
        <v>2430575</v>
      </c>
      <c r="G125" s="17"/>
    </row>
    <row r="126" spans="1:7" x14ac:dyDescent="0.25">
      <c r="A126" s="101" t="s">
        <v>490</v>
      </c>
      <c r="B126" s="17">
        <v>52165566</v>
      </c>
      <c r="C126" s="17">
        <v>22212750</v>
      </c>
      <c r="D126" s="17">
        <f t="shared" si="1"/>
        <v>22212750</v>
      </c>
      <c r="E126" s="49">
        <f>VLOOKUP($A126,'Data shares'!$C:$FA,128)*100</f>
        <v>12.709999999999999</v>
      </c>
      <c r="F126" s="49">
        <f>VLOOKUP($A126,'Data shares'!$C:$FA,129)</f>
        <v>2433375</v>
      </c>
      <c r="G126" s="17"/>
    </row>
    <row r="127" spans="1:7" x14ac:dyDescent="0.25">
      <c r="A127" s="101" t="s">
        <v>260</v>
      </c>
      <c r="B127" s="17">
        <v>241729538</v>
      </c>
      <c r="C127" s="17">
        <v>65383500</v>
      </c>
      <c r="D127" s="17">
        <f t="shared" si="1"/>
        <v>65383500</v>
      </c>
      <c r="E127" s="49">
        <f>VLOOKUP($A127,'Data shares'!$C:$FA,128)*100</f>
        <v>5.04</v>
      </c>
      <c r="F127" s="49">
        <f>VLOOKUP($A127,'Data shares'!$C:$FA,129)</f>
        <v>7472250</v>
      </c>
      <c r="G127" s="17"/>
    </row>
    <row r="128" spans="1:7" x14ac:dyDescent="0.25">
      <c r="A128" s="101" t="s">
        <v>171</v>
      </c>
      <c r="B128" s="17">
        <v>56444627</v>
      </c>
      <c r="C128" s="17">
        <v>23336250</v>
      </c>
      <c r="D128" s="17">
        <f t="shared" si="1"/>
        <v>23336250</v>
      </c>
      <c r="E128" s="49">
        <f>VLOOKUP($A128,'Data shares'!$C:$FA,128)*100</f>
        <v>4.2299999999999995</v>
      </c>
      <c r="F128" s="49">
        <f>VLOOKUP($A128,'Data shares'!$C:$FA,129)</f>
        <v>737550</v>
      </c>
      <c r="G128" s="17"/>
    </row>
    <row r="129" spans="1:7" x14ac:dyDescent="0.25">
      <c r="A129" s="101" t="s">
        <v>462</v>
      </c>
      <c r="B129" s="17">
        <v>88648462</v>
      </c>
      <c r="C129" s="17">
        <v>11150250</v>
      </c>
      <c r="D129" s="17">
        <f t="shared" si="1"/>
        <v>11150250</v>
      </c>
      <c r="E129" s="49">
        <f>VLOOKUP($A129,'Data shares'!$C:$FA,128)*100</f>
        <v>6.8500000000000005</v>
      </c>
      <c r="F129" s="49">
        <f>VLOOKUP($A129,'Data shares'!$C:$FA,129)</f>
        <v>430500</v>
      </c>
      <c r="G129" s="17"/>
    </row>
    <row r="130" spans="1:7" x14ac:dyDescent="0.25">
      <c r="A130" s="101" t="s">
        <v>274</v>
      </c>
      <c r="B130" s="17">
        <v>30511703</v>
      </c>
      <c r="C130" s="17">
        <v>3556000</v>
      </c>
      <c r="D130" s="17">
        <f t="shared" si="1"/>
        <v>3556000</v>
      </c>
      <c r="E130" s="49">
        <f>VLOOKUP($A130,'Data shares'!$C:$FA,128)*100</f>
        <v>13.780000000000001</v>
      </c>
      <c r="F130" s="49">
        <f>VLOOKUP($A130,'Data shares'!$C:$FA,129)</f>
        <v>767000</v>
      </c>
      <c r="G130" s="17"/>
    </row>
    <row r="131" spans="1:7" x14ac:dyDescent="0.25">
      <c r="A131" s="101" t="s">
        <v>279</v>
      </c>
      <c r="B131" s="17">
        <v>119890099</v>
      </c>
      <c r="C131" s="17">
        <v>77232800</v>
      </c>
      <c r="D131" s="17">
        <f t="shared" si="1"/>
        <v>77232800</v>
      </c>
      <c r="E131" s="49">
        <f>VLOOKUP($A131,'Data shares'!$C:$FA,128)*100</f>
        <v>4.04</v>
      </c>
      <c r="F131" s="49">
        <f>VLOOKUP($A131,'Data shares'!$C:$FA,129)</f>
        <v>2863850</v>
      </c>
      <c r="G131" s="17"/>
    </row>
    <row r="132" spans="1:7" x14ac:dyDescent="0.25">
      <c r="A132" s="101" t="s">
        <v>247</v>
      </c>
      <c r="B132" s="17">
        <v>180580821</v>
      </c>
      <c r="C132" s="17">
        <v>128041552</v>
      </c>
      <c r="D132" s="17">
        <f t="shared" si="1"/>
        <v>128041552</v>
      </c>
      <c r="E132" s="49">
        <f>VLOOKUP($A132,'Data shares'!$C:$FA,128)*100</f>
        <v>9.5299999999999994</v>
      </c>
      <c r="F132" s="49">
        <f>VLOOKUP($A132,'Data shares'!$C:$FA,129)</f>
        <v>340850</v>
      </c>
      <c r="G132" s="17"/>
    </row>
    <row r="133" spans="1:7" x14ac:dyDescent="0.25">
      <c r="A133" s="101" t="s">
        <v>291</v>
      </c>
      <c r="B133" s="17">
        <v>120211514</v>
      </c>
      <c r="C133" s="17">
        <v>18359325</v>
      </c>
      <c r="D133" s="17">
        <f t="shared" si="1"/>
        <v>18359325</v>
      </c>
      <c r="E133" s="49">
        <f>VLOOKUP($A133,'Data shares'!$C:$FA,128)*100</f>
        <v>12.17</v>
      </c>
      <c r="F133" s="49">
        <f>VLOOKUP($A133,'Data shares'!$C:$FA,129)</f>
        <v>1060950</v>
      </c>
      <c r="G133" s="17"/>
    </row>
    <row r="134" spans="1:7" x14ac:dyDescent="0.25">
      <c r="A134" s="101" t="s">
        <v>269</v>
      </c>
      <c r="B134" s="17">
        <v>996134149</v>
      </c>
      <c r="C134" s="17">
        <v>204565900</v>
      </c>
      <c r="D134" s="17">
        <f t="shared" si="1"/>
        <v>204565900</v>
      </c>
      <c r="E134" s="49">
        <f>VLOOKUP($A134,'Data shares'!$C:$FA,128)*100</f>
        <v>9.5699999999999985</v>
      </c>
      <c r="F134" s="49">
        <f>VLOOKUP($A134,'Data shares'!$C:$FA,129)</f>
        <v>7789500</v>
      </c>
      <c r="G134" s="17"/>
    </row>
    <row r="135" spans="1:7" x14ac:dyDescent="0.25">
      <c r="A135" s="101" t="s">
        <v>217</v>
      </c>
      <c r="B135" s="17">
        <v>75218562</v>
      </c>
      <c r="C135" s="17">
        <v>11613000</v>
      </c>
      <c r="D135" s="17">
        <f t="shared" ref="D135:D161" si="2">C135</f>
        <v>11613000</v>
      </c>
      <c r="E135" s="49">
        <f>VLOOKUP($A135,'Data shares'!$C:$FA,128)*100</f>
        <v>3.6999999999999997</v>
      </c>
      <c r="F135" s="49">
        <f>VLOOKUP($A135,'Data shares'!$C:$FA,129)</f>
        <v>228000</v>
      </c>
      <c r="G135" s="17"/>
    </row>
    <row r="136" spans="1:7" x14ac:dyDescent="0.25">
      <c r="A136" s="101" t="s">
        <v>495</v>
      </c>
      <c r="B136" s="17">
        <v>44974045</v>
      </c>
      <c r="C136" s="17">
        <v>4232500</v>
      </c>
      <c r="D136" s="17">
        <f t="shared" si="2"/>
        <v>4232500</v>
      </c>
      <c r="E136" s="49">
        <f>VLOOKUP($A136,'Data shares'!$C:$FA,128)*100</f>
        <v>16.100000000000001</v>
      </c>
      <c r="F136" s="49">
        <f>VLOOKUP($A136,'Data shares'!$C:$FA,129)</f>
        <v>2674000</v>
      </c>
      <c r="G136" s="17"/>
    </row>
    <row r="137" spans="1:7" x14ac:dyDescent="0.25">
      <c r="A137" s="101" t="s">
        <v>250</v>
      </c>
      <c r="B137" s="17">
        <v>48318354</v>
      </c>
      <c r="C137" s="17">
        <v>18007250</v>
      </c>
      <c r="D137" s="17">
        <f t="shared" si="2"/>
        <v>18007250</v>
      </c>
      <c r="E137" s="49">
        <f>VLOOKUP($A137,'Data shares'!$C:$FA,128)*100</f>
        <v>5.74</v>
      </c>
      <c r="F137" s="49">
        <f>VLOOKUP($A137,'Data shares'!$C:$FA,129)</f>
        <v>317050</v>
      </c>
      <c r="G137" s="17"/>
    </row>
    <row r="138" spans="1:7" x14ac:dyDescent="0.25">
      <c r="A138" s="101" t="s">
        <v>278</v>
      </c>
      <c r="B138" s="17">
        <v>27187764</v>
      </c>
      <c r="C138" s="17">
        <v>3521550</v>
      </c>
      <c r="D138" s="17">
        <f t="shared" si="2"/>
        <v>3521550</v>
      </c>
      <c r="E138" s="49">
        <f>VLOOKUP($A138,'Data shares'!$C:$FA,128)*100</f>
        <v>4.74</v>
      </c>
      <c r="F138" s="49">
        <f>VLOOKUP($A138,'Data shares'!$C:$FA,129)</f>
        <v>99450</v>
      </c>
      <c r="G138" s="17"/>
    </row>
    <row r="139" spans="1:7" x14ac:dyDescent="0.25">
      <c r="A139" s="101" t="s">
        <v>163</v>
      </c>
      <c r="B139" s="17">
        <v>24576009</v>
      </c>
      <c r="C139" s="17">
        <v>11979000</v>
      </c>
      <c r="D139" s="17">
        <f t="shared" si="2"/>
        <v>11979000</v>
      </c>
      <c r="E139" s="49">
        <f>VLOOKUP($A139,'Data shares'!$C:$FA,128)*100</f>
        <v>5.21</v>
      </c>
      <c r="F139" s="49">
        <f>VLOOKUP($A139,'Data shares'!$C:$FA,129)</f>
        <v>58125</v>
      </c>
      <c r="G139" s="17"/>
    </row>
    <row r="140" spans="1:7" x14ac:dyDescent="0.25">
      <c r="A140" s="101" t="s">
        <v>289</v>
      </c>
      <c r="B140" s="17">
        <v>19704232</v>
      </c>
      <c r="C140" s="17">
        <v>15520500</v>
      </c>
      <c r="D140" s="17">
        <f t="shared" si="2"/>
        <v>15520500</v>
      </c>
      <c r="E140" s="49">
        <f>VLOOKUP($A140,'Data shares'!$C:$FA,128)*100</f>
        <v>18.77</v>
      </c>
      <c r="F140" s="49">
        <f>VLOOKUP($A140,'Data shares'!$C:$FA,129)</f>
        <v>1960000</v>
      </c>
      <c r="G140" s="17"/>
    </row>
    <row r="141" spans="1:7" x14ac:dyDescent="0.25">
      <c r="A141" s="101" t="s">
        <v>529</v>
      </c>
      <c r="B141" s="17">
        <v>10012679</v>
      </c>
      <c r="C141" s="17">
        <v>530550</v>
      </c>
      <c r="D141" s="17">
        <f t="shared" si="2"/>
        <v>530550</v>
      </c>
      <c r="E141" s="49">
        <f>VLOOKUP($A141,'Data shares'!$C:$FA,128)*100</f>
        <v>6.36</v>
      </c>
      <c r="F141" s="49">
        <f>VLOOKUP($A141,'Data shares'!$C:$FA,129)</f>
        <v>116100</v>
      </c>
      <c r="G141" s="17"/>
    </row>
    <row r="142" spans="1:7" x14ac:dyDescent="0.25">
      <c r="A142" s="101" t="s">
        <v>265</v>
      </c>
      <c r="B142" s="17">
        <v>7180127</v>
      </c>
      <c r="C142" s="17">
        <v>429550</v>
      </c>
      <c r="D142" s="17">
        <f t="shared" si="2"/>
        <v>429550</v>
      </c>
      <c r="E142" s="49">
        <f>VLOOKUP($A142,'Data shares'!$C:$FA,128)*100</f>
        <v>13.88</v>
      </c>
      <c r="F142" s="49">
        <f>VLOOKUP($A142,'Data shares'!$C:$FA,129)</f>
        <v>1946500</v>
      </c>
      <c r="G142" s="17"/>
    </row>
    <row r="143" spans="1:7" x14ac:dyDescent="0.25">
      <c r="A143" s="101" t="s">
        <v>486</v>
      </c>
      <c r="B143" s="17">
        <v>32559242</v>
      </c>
      <c r="C143" s="17">
        <v>4156800</v>
      </c>
      <c r="D143" s="17">
        <f t="shared" si="2"/>
        <v>4156800</v>
      </c>
      <c r="E143" s="49">
        <f>VLOOKUP($A143,'Data shares'!$C:$FA,128)*100</f>
        <v>13.94</v>
      </c>
      <c r="F143" s="49">
        <f>VLOOKUP($A143,'Data shares'!$C:$FA,129)</f>
        <v>372350</v>
      </c>
      <c r="G143" s="17"/>
    </row>
    <row r="144" spans="1:7" x14ac:dyDescent="0.25">
      <c r="A144" s="101" t="s">
        <v>190</v>
      </c>
      <c r="B144" s="17">
        <v>256482590</v>
      </c>
      <c r="C144" s="17">
        <v>208761000</v>
      </c>
      <c r="D144" s="17">
        <f t="shared" si="2"/>
        <v>208761000</v>
      </c>
      <c r="E144" s="49">
        <f>VLOOKUP($A144,'Data shares'!$C:$FA,128)*100</f>
        <v>7.7799999999999994</v>
      </c>
      <c r="F144" s="49">
        <f>VLOOKUP($A144,'Data shares'!$C:$FA,129)</f>
        <v>4116000</v>
      </c>
      <c r="G144" s="17"/>
    </row>
    <row r="145" spans="1:7" x14ac:dyDescent="0.25">
      <c r="A145" s="101" t="s">
        <v>303</v>
      </c>
      <c r="B145" s="17">
        <v>109653438</v>
      </c>
      <c r="C145" s="17">
        <v>37709100</v>
      </c>
      <c r="D145" s="17">
        <f t="shared" si="2"/>
        <v>37709100</v>
      </c>
      <c r="E145" s="49">
        <f>VLOOKUP($A145,'Data shares'!$C:$FA,128)*100</f>
        <v>2.87</v>
      </c>
      <c r="F145" s="49">
        <f>VLOOKUP($A145,'Data shares'!$C:$FA,129)</f>
        <v>804870</v>
      </c>
      <c r="G145" s="17"/>
    </row>
    <row r="146" spans="1:7" x14ac:dyDescent="0.25">
      <c r="A146" s="101" t="s">
        <v>255</v>
      </c>
      <c r="B146" s="17">
        <v>26359259</v>
      </c>
      <c r="C146" s="17">
        <v>6916100</v>
      </c>
      <c r="D146" s="17">
        <f t="shared" si="2"/>
        <v>6916100</v>
      </c>
      <c r="E146" s="49">
        <f>VLOOKUP($A146,'Data shares'!$C:$FA,128)*100</f>
        <v>10.5</v>
      </c>
      <c r="F146" s="49">
        <f>VLOOKUP($A146,'Data shares'!$C:$FA,129)</f>
        <v>240300</v>
      </c>
      <c r="G146" s="17"/>
    </row>
    <row r="147" spans="1:7" x14ac:dyDescent="0.25">
      <c r="A147" s="101" t="s">
        <v>180</v>
      </c>
      <c r="B147" s="17">
        <v>372635498</v>
      </c>
      <c r="C147" s="17">
        <v>233426700</v>
      </c>
      <c r="D147" s="17">
        <f t="shared" si="2"/>
        <v>233426700</v>
      </c>
      <c r="E147" s="49">
        <f>VLOOKUP($A147,'Data shares'!$C:$FA,128)*100</f>
        <v>9.98</v>
      </c>
      <c r="F147" s="49">
        <f>VLOOKUP($A147,'Data shares'!$C:$FA,129)</f>
        <v>8151975</v>
      </c>
      <c r="G147" s="17"/>
    </row>
    <row r="148" spans="1:7" x14ac:dyDescent="0.25">
      <c r="A148" s="101" t="s">
        <v>179</v>
      </c>
      <c r="B148" s="17">
        <v>193321473</v>
      </c>
      <c r="C148" s="17">
        <v>47098800</v>
      </c>
      <c r="D148" s="17">
        <f t="shared" si="2"/>
        <v>47098800</v>
      </c>
      <c r="E148" s="49">
        <f>VLOOKUP($A148,'Data shares'!$C:$FA,128)*100</f>
        <v>6.2399999999999993</v>
      </c>
      <c r="F148" s="49">
        <f>VLOOKUP($A148,'Data shares'!$C:$FA,129)</f>
        <v>7074000</v>
      </c>
    </row>
    <row r="149" spans="1:7" x14ac:dyDescent="0.25">
      <c r="A149" s="101" t="s">
        <v>253</v>
      </c>
      <c r="B149" s="17">
        <v>109926618</v>
      </c>
      <c r="C149" s="17">
        <v>54285000</v>
      </c>
      <c r="D149" s="17">
        <f t="shared" si="2"/>
        <v>54285000</v>
      </c>
      <c r="E149" s="49">
        <f>VLOOKUP($A149,'Data shares'!$C:$FA,128)*100</f>
        <v>5.37</v>
      </c>
      <c r="F149" s="49">
        <f>VLOOKUP($A149,'Data shares'!$C:$FA,129)</f>
        <v>1890000</v>
      </c>
    </row>
    <row r="150" spans="1:7" x14ac:dyDescent="0.25">
      <c r="A150" s="101" t="s">
        <v>261</v>
      </c>
      <c r="B150" s="17">
        <v>611563</v>
      </c>
      <c r="C150" s="17">
        <v>120180</v>
      </c>
      <c r="D150" s="17">
        <f t="shared" si="2"/>
        <v>120180</v>
      </c>
      <c r="E150" s="49">
        <f>VLOOKUP($A150,'Data shares'!$C:$FA,128)*100</f>
        <v>2.88</v>
      </c>
      <c r="F150" s="49">
        <f>VLOOKUP($A150,'Data shares'!$C:$FA,129)</f>
        <v>142175</v>
      </c>
    </row>
    <row r="151" spans="1:7" x14ac:dyDescent="0.25">
      <c r="A151" s="101" t="s">
        <v>164</v>
      </c>
      <c r="B151" s="17">
        <v>145854205</v>
      </c>
      <c r="C151" s="17">
        <v>46824000</v>
      </c>
      <c r="D151" s="17">
        <f t="shared" si="2"/>
        <v>46824000</v>
      </c>
      <c r="E151" s="49">
        <f>VLOOKUP($A151,'Data shares'!$C:$FA,128)*100</f>
        <v>4.55</v>
      </c>
      <c r="F151" s="49">
        <f>VLOOKUP($A151,'Data shares'!$C:$FA,129)</f>
        <v>1716750</v>
      </c>
    </row>
    <row r="152" spans="1:7" x14ac:dyDescent="0.25">
      <c r="A152" s="101" t="s">
        <v>526</v>
      </c>
      <c r="B152" s="17">
        <v>44365911</v>
      </c>
      <c r="C152" s="17">
        <v>20668300</v>
      </c>
      <c r="D152" s="17">
        <f t="shared" si="2"/>
        <v>20668300</v>
      </c>
      <c r="E152" s="49">
        <f>VLOOKUP($A152,'Data shares'!$C:$FA,128)*100</f>
        <v>7.88</v>
      </c>
      <c r="F152" s="49">
        <f>VLOOKUP($A152,'Data shares'!$C:$FA,129)</f>
        <v>1867000</v>
      </c>
    </row>
    <row r="153" spans="1:7" x14ac:dyDescent="0.25">
      <c r="A153" s="101" t="s">
        <v>515</v>
      </c>
      <c r="B153" s="17">
        <v>3083179</v>
      </c>
      <c r="C153" s="17">
        <v>492075</v>
      </c>
      <c r="D153" s="17">
        <f t="shared" si="2"/>
        <v>492075</v>
      </c>
      <c r="E153" s="49">
        <f>VLOOKUP($A153,'Data shares'!$C:$FA,128)*100</f>
        <v>7.88</v>
      </c>
      <c r="F153" s="49">
        <f>VLOOKUP($A153,'Data shares'!$C:$FA,129)</f>
        <v>1867000</v>
      </c>
    </row>
    <row r="154" spans="1:7" x14ac:dyDescent="0.25">
      <c r="A154" s="101" t="s">
        <v>226</v>
      </c>
      <c r="B154" s="17">
        <v>26072630</v>
      </c>
      <c r="C154" s="17">
        <v>9897900</v>
      </c>
      <c r="D154" s="17">
        <f t="shared" si="2"/>
        <v>9897900</v>
      </c>
      <c r="E154" s="49">
        <f>VLOOKUP($A154,'Data shares'!$C:$FA,128)*100</f>
        <v>5.16</v>
      </c>
      <c r="F154" s="49">
        <f>VLOOKUP($A154,'Data shares'!$C:$FA,129)</f>
        <v>248400</v>
      </c>
    </row>
    <row r="155" spans="1:7" x14ac:dyDescent="0.25">
      <c r="A155" s="101" t="s">
        <v>544</v>
      </c>
      <c r="B155" s="17">
        <v>139989683</v>
      </c>
      <c r="C155" s="17">
        <v>28415200</v>
      </c>
      <c r="D155" s="17">
        <f t="shared" si="2"/>
        <v>28415200</v>
      </c>
      <c r="E155" s="49">
        <f>VLOOKUP($A155,'Data shares'!$C:$FA,128)*100</f>
        <v>4.3900000000000006</v>
      </c>
      <c r="F155" s="49">
        <f>VLOOKUP($A155,'Data shares'!$C:$FA,129)</f>
        <v>3047300</v>
      </c>
    </row>
    <row r="156" spans="1:7" x14ac:dyDescent="0.25">
      <c r="A156" s="101" t="s">
        <v>547</v>
      </c>
      <c r="B156" s="17">
        <v>65482129</v>
      </c>
      <c r="C156" s="17">
        <v>33944200</v>
      </c>
      <c r="D156" s="17">
        <f t="shared" si="2"/>
        <v>33944200</v>
      </c>
      <c r="E156" s="49">
        <f>VLOOKUP($A156,'Data shares'!$C:$FA,128)*100</f>
        <v>11.799999999999999</v>
      </c>
      <c r="F156" s="49">
        <f>VLOOKUP($A156,'Data shares'!$C:$FA,129)</f>
        <v>3266900</v>
      </c>
    </row>
    <row r="157" spans="1:7" x14ac:dyDescent="0.25">
      <c r="A157" s="101" t="s">
        <v>499</v>
      </c>
      <c r="B157" s="17">
        <v>66687240</v>
      </c>
      <c r="C157" s="17">
        <v>16125200</v>
      </c>
      <c r="D157" s="17">
        <f t="shared" si="2"/>
        <v>16125200</v>
      </c>
      <c r="E157" s="49">
        <f>VLOOKUP($A157,'Data shares'!$C:$FA,128)*100</f>
        <v>4.3900000000000006</v>
      </c>
      <c r="F157" s="49">
        <f>VLOOKUP($A157,'Data shares'!$C:$FA,129)</f>
        <v>3047300</v>
      </c>
    </row>
    <row r="158" spans="1:7" x14ac:dyDescent="0.25">
      <c r="A158" s="101" t="s">
        <v>483</v>
      </c>
      <c r="B158" s="17">
        <v>16146181</v>
      </c>
      <c r="C158" s="17">
        <v>1914250</v>
      </c>
      <c r="D158" s="17">
        <f t="shared" si="2"/>
        <v>1914250</v>
      </c>
      <c r="E158" s="49">
        <f>VLOOKUP($A158,'Data shares'!$C:$FA,128)*100</f>
        <v>11.25</v>
      </c>
      <c r="F158" s="49">
        <f>VLOOKUP($A158,'Data shares'!$C:$FA,129)</f>
        <v>294000</v>
      </c>
    </row>
    <row r="159" spans="1:7" x14ac:dyDescent="0.25">
      <c r="A159" s="101" t="s">
        <v>546</v>
      </c>
      <c r="B159" s="17">
        <v>18282414</v>
      </c>
      <c r="C159" s="17">
        <v>13742300</v>
      </c>
      <c r="D159" s="17">
        <f t="shared" si="2"/>
        <v>13742300</v>
      </c>
      <c r="E159" s="49">
        <f>VLOOKUP($A159,'Data shares'!$C:$FA,128)*100</f>
        <v>11.67</v>
      </c>
      <c r="F159" s="49">
        <f>VLOOKUP($A159,'Data shares'!$C:$FA,129)</f>
        <v>18476775</v>
      </c>
    </row>
    <row r="160" spans="1:7" x14ac:dyDescent="0.25">
      <c r="A160" s="101" t="s">
        <v>220</v>
      </c>
      <c r="B160" s="17">
        <v>50687734</v>
      </c>
      <c r="C160" s="17">
        <v>6783500</v>
      </c>
      <c r="D160" s="17">
        <f t="shared" si="2"/>
        <v>6783500</v>
      </c>
      <c r="E160" s="49">
        <f>VLOOKUP($A160,'Data shares'!$C:$FA,128)*100</f>
        <v>5.8999999999999995</v>
      </c>
      <c r="F160" s="49">
        <f>VLOOKUP($A160,'Data shares'!$C:$FA,129)</f>
        <v>498000</v>
      </c>
    </row>
    <row r="161" spans="1:6" x14ac:dyDescent="0.25">
      <c r="A161" s="101" t="s">
        <v>472</v>
      </c>
      <c r="B161" s="17">
        <v>50993734</v>
      </c>
      <c r="C161" s="17">
        <v>3803750</v>
      </c>
      <c r="D161" s="17">
        <f t="shared" si="2"/>
        <v>3803750</v>
      </c>
      <c r="E161" s="49">
        <f>VLOOKUP($A161,'Data shares'!$C:$FA,128)*100</f>
        <v>3.4099999999999997</v>
      </c>
      <c r="F161" s="49">
        <f>VLOOKUP($A161,'Data shares'!$C:$FA,129)</f>
        <v>130325</v>
      </c>
    </row>
    <row r="162" spans="1:6" x14ac:dyDescent="0.25">
      <c r="A162" t="s">
        <v>535</v>
      </c>
      <c r="B162">
        <v>78168147</v>
      </c>
      <c r="C162">
        <v>9571500</v>
      </c>
      <c r="D162" s="17">
        <f t="shared" ref="D162:D204" si="3">C162</f>
        <v>9571500</v>
      </c>
      <c r="E162" s="49">
        <f>VLOOKUP($A162,'Data shares'!$C:$FA,128)*100</f>
        <v>10.76</v>
      </c>
      <c r="F162" s="49">
        <f>VLOOKUP($A162,'Data shares'!$C:$FA,129)</f>
        <v>1456900</v>
      </c>
    </row>
    <row r="163" spans="1:6" x14ac:dyDescent="0.25">
      <c r="A163" t="s">
        <v>492</v>
      </c>
      <c r="B163">
        <v>28779078</v>
      </c>
      <c r="C163">
        <v>14404150</v>
      </c>
      <c r="D163" s="17">
        <f t="shared" si="3"/>
        <v>14404150</v>
      </c>
      <c r="E163" s="49">
        <f>VLOOKUP($A163,'Data shares'!$C:$FA,128)*100</f>
        <v>9.77</v>
      </c>
      <c r="F163" s="49">
        <f>VLOOKUP($A163,'Data shares'!$C:$FA,129)</f>
        <v>783475</v>
      </c>
    </row>
    <row r="164" spans="1:6" x14ac:dyDescent="0.25">
      <c r="A164" t="s">
        <v>298</v>
      </c>
      <c r="B164">
        <v>9731600</v>
      </c>
      <c r="C164">
        <v>863500</v>
      </c>
      <c r="D164" s="17">
        <f t="shared" si="3"/>
        <v>863500</v>
      </c>
      <c r="E164" s="49">
        <f>VLOOKUP($A164,'Data shares'!$C:$FA,128)*100</f>
        <v>1.6099999999999999</v>
      </c>
      <c r="F164" s="49">
        <f>VLOOKUP($A164,'Data shares'!$C:$FA,129)</f>
        <v>28000</v>
      </c>
    </row>
    <row r="165" spans="1:6" x14ac:dyDescent="0.25">
      <c r="A165" t="s">
        <v>548</v>
      </c>
      <c r="B165">
        <v>442076</v>
      </c>
      <c r="C165">
        <v>9615</v>
      </c>
      <c r="D165" s="17">
        <f t="shared" si="3"/>
        <v>9615</v>
      </c>
      <c r="E165" s="49">
        <f>VLOOKUP($A165,'Data shares'!$C:$FA,128)*100</f>
        <v>15.15</v>
      </c>
      <c r="F165" s="49">
        <f>VLOOKUP($A165,'Data shares'!$C:$FA,129)</f>
        <v>4334050</v>
      </c>
    </row>
    <row r="166" spans="1:6" x14ac:dyDescent="0.25">
      <c r="A166" t="s">
        <v>530</v>
      </c>
      <c r="B166">
        <v>3258166</v>
      </c>
      <c r="C166">
        <v>219750</v>
      </c>
      <c r="D166" s="17">
        <f t="shared" si="3"/>
        <v>219750</v>
      </c>
      <c r="E166" s="49">
        <f>VLOOKUP($A166,'Data shares'!$C:$FA,128)*100</f>
        <v>9.8000000000000007</v>
      </c>
      <c r="F166" s="49">
        <f>VLOOKUP($A166,'Data shares'!$C:$FA,129)</f>
        <v>712300</v>
      </c>
    </row>
    <row r="167" spans="1:6" x14ac:dyDescent="0.25">
      <c r="A167" t="s">
        <v>249</v>
      </c>
      <c r="B167">
        <v>277168216</v>
      </c>
      <c r="C167">
        <v>21795375</v>
      </c>
      <c r="D167" s="17">
        <f t="shared" si="3"/>
        <v>21795375</v>
      </c>
      <c r="E167" s="49">
        <f>VLOOKUP($A167,'Data shares'!$C:$FA,128)*100</f>
        <v>20.22</v>
      </c>
      <c r="F167" s="49">
        <f>VLOOKUP($A167,'Data shares'!$C:$FA,129)</f>
        <v>1947575</v>
      </c>
    </row>
    <row r="168" spans="1:6" x14ac:dyDescent="0.25">
      <c r="A168" t="s">
        <v>216</v>
      </c>
      <c r="B168">
        <v>484955219</v>
      </c>
      <c r="C168">
        <v>230400000</v>
      </c>
      <c r="D168" s="17">
        <f t="shared" si="3"/>
        <v>230400000</v>
      </c>
      <c r="E168" s="49">
        <f>VLOOKUP($A168,'Data shares'!$C:$FA,128)*100</f>
        <v>11.67</v>
      </c>
      <c r="F168" s="49">
        <f>VLOOKUP($A168,'Data shares'!$C:$FA,129)</f>
        <v>18476775</v>
      </c>
    </row>
    <row r="169" spans="1:6" x14ac:dyDescent="0.25">
      <c r="A169" t="s">
        <v>252</v>
      </c>
      <c r="B169">
        <v>117640832</v>
      </c>
      <c r="C169">
        <v>52456000</v>
      </c>
      <c r="D169" s="17">
        <f t="shared" si="3"/>
        <v>52456000</v>
      </c>
      <c r="E169" s="49">
        <f>VLOOKUP($A169,'Data shares'!$C:$FA,128)*100</f>
        <v>14.49</v>
      </c>
      <c r="F169" s="49">
        <f>VLOOKUP($A169,'Data shares'!$C:$FA,129)</f>
        <v>1845600</v>
      </c>
    </row>
    <row r="170" spans="1:6" x14ac:dyDescent="0.25">
      <c r="A170" t="s">
        <v>205</v>
      </c>
      <c r="B170">
        <v>25513876</v>
      </c>
      <c r="C170">
        <v>3302300</v>
      </c>
      <c r="D170" s="17">
        <f t="shared" si="3"/>
        <v>3302300</v>
      </c>
      <c r="E170" s="49">
        <f>VLOOKUP($A170,'Data shares'!$C:$FA,128)*100</f>
        <v>7.23</v>
      </c>
      <c r="F170" s="49">
        <f>VLOOKUP($A170,'Data shares'!$C:$FA,129)</f>
        <v>101400</v>
      </c>
    </row>
    <row r="171" spans="1:6" x14ac:dyDescent="0.25">
      <c r="A171" t="s">
        <v>194</v>
      </c>
      <c r="B171">
        <v>202646440</v>
      </c>
      <c r="C171">
        <v>52470000</v>
      </c>
      <c r="D171" s="17">
        <f t="shared" si="3"/>
        <v>52470000</v>
      </c>
      <c r="E171" s="49">
        <f>VLOOKUP($A171,'Data shares'!$C:$FA,128)*100</f>
        <v>6.1</v>
      </c>
      <c r="F171" s="49">
        <f>VLOOKUP($A171,'Data shares'!$C:$FA,129)</f>
        <v>1483225</v>
      </c>
    </row>
    <row r="172" spans="1:6" x14ac:dyDescent="0.25">
      <c r="A172" t="s">
        <v>263</v>
      </c>
      <c r="B172">
        <v>178967755</v>
      </c>
      <c r="C172">
        <v>142910500</v>
      </c>
      <c r="D172" s="17">
        <f t="shared" si="3"/>
        <v>142910500</v>
      </c>
      <c r="E172" s="49">
        <f>VLOOKUP($A172,'Data shares'!$C:$FA,128)*100</f>
        <v>11.34</v>
      </c>
      <c r="F172" s="49">
        <f>VLOOKUP($A172,'Data shares'!$C:$FA,129)</f>
        <v>6015000</v>
      </c>
    </row>
    <row r="173" spans="1:6" x14ac:dyDescent="0.25">
      <c r="A173" t="s">
        <v>476</v>
      </c>
      <c r="B173">
        <v>40446155</v>
      </c>
      <c r="C173">
        <v>4358800</v>
      </c>
      <c r="D173" s="17">
        <f t="shared" si="3"/>
        <v>4358800</v>
      </c>
      <c r="E173" s="49">
        <f>VLOOKUP($A173,'Data shares'!$C:$FA,128)*100</f>
        <v>6.5</v>
      </c>
      <c r="F173" s="49">
        <f>VLOOKUP($A173,'Data shares'!$C:$FA,129)</f>
        <v>121000</v>
      </c>
    </row>
    <row r="174" spans="1:6" x14ac:dyDescent="0.25">
      <c r="A174" t="s">
        <v>187</v>
      </c>
      <c r="B174">
        <v>51436398</v>
      </c>
      <c r="C174">
        <v>7413750</v>
      </c>
      <c r="D174" s="17">
        <f t="shared" si="3"/>
        <v>7413750</v>
      </c>
      <c r="E174" s="49">
        <f>VLOOKUP($A174,'Data shares'!$C:$FA,128)*100</f>
        <v>9.879999999999999</v>
      </c>
      <c r="F174" s="49">
        <f>VLOOKUP($A174,'Data shares'!$C:$FA,129)</f>
        <v>691500</v>
      </c>
    </row>
    <row r="175" spans="1:6" x14ac:dyDescent="0.25">
      <c r="A175" t="s">
        <v>493</v>
      </c>
      <c r="B175">
        <v>14814614</v>
      </c>
      <c r="C175">
        <v>3344250</v>
      </c>
      <c r="D175" s="17">
        <f t="shared" si="3"/>
        <v>3344250</v>
      </c>
      <c r="E175" s="49">
        <f>VLOOKUP($A175,'Data shares'!$C:$FA,128)*100</f>
        <v>12.76</v>
      </c>
      <c r="F175" s="49">
        <f>VLOOKUP($A175,'Data shares'!$C:$FA,129)</f>
        <v>236275</v>
      </c>
    </row>
    <row r="176" spans="1:6" x14ac:dyDescent="0.25">
      <c r="A176" t="s">
        <v>525</v>
      </c>
      <c r="B176">
        <v>35635456</v>
      </c>
      <c r="C176">
        <v>28959300</v>
      </c>
      <c r="D176" s="17">
        <f t="shared" si="3"/>
        <v>28959300</v>
      </c>
      <c r="E176" s="49">
        <f>VLOOKUP($A176,'Data shares'!$C:$FA,128)*100</f>
        <v>6.87</v>
      </c>
      <c r="F176" s="49">
        <f>VLOOKUP($A176,'Data shares'!$C:$FA,129)</f>
        <v>1064475</v>
      </c>
    </row>
    <row r="177" spans="1:6" x14ac:dyDescent="0.25">
      <c r="A177" t="s">
        <v>512</v>
      </c>
      <c r="B177">
        <v>7771646</v>
      </c>
      <c r="C177">
        <v>1119375</v>
      </c>
      <c r="D177" s="17">
        <f t="shared" si="3"/>
        <v>1119375</v>
      </c>
      <c r="E177" s="49">
        <f>VLOOKUP($A177,'Data shares'!$C:$FA,128)*100</f>
        <v>13.88</v>
      </c>
      <c r="F177" s="49">
        <f>VLOOKUP($A177,'Data shares'!$C:$FA,129)</f>
        <v>271700</v>
      </c>
    </row>
    <row r="178" spans="1:6" x14ac:dyDescent="0.25">
      <c r="A178" t="s">
        <v>233</v>
      </c>
      <c r="B178">
        <v>76432837</v>
      </c>
      <c r="C178">
        <v>9804000</v>
      </c>
      <c r="D178" s="17">
        <f t="shared" si="3"/>
        <v>9804000</v>
      </c>
      <c r="E178" s="49">
        <f>VLOOKUP($A178,'Data shares'!$C:$FA,128)*100</f>
        <v>3.46</v>
      </c>
      <c r="F178" s="49">
        <f>VLOOKUP($A178,'Data shares'!$C:$FA,129)</f>
        <v>456025</v>
      </c>
    </row>
    <row r="179" spans="1:6" x14ac:dyDescent="0.25">
      <c r="A179" t="s">
        <v>183</v>
      </c>
      <c r="B179">
        <v>12092405</v>
      </c>
      <c r="C179">
        <v>2606450</v>
      </c>
      <c r="D179" s="17">
        <f t="shared" si="3"/>
        <v>2606450</v>
      </c>
      <c r="E179" s="49">
        <f>VLOOKUP($A179,'Data shares'!$C:$FA,128)*100</f>
        <v>13.350000000000001</v>
      </c>
      <c r="F179" s="49">
        <f>VLOOKUP($A179,'Data shares'!$C:$FA,129)</f>
        <v>251820</v>
      </c>
    </row>
    <row r="180" spans="1:6" x14ac:dyDescent="0.25">
      <c r="A180" t="s">
        <v>280</v>
      </c>
      <c r="B180">
        <v>187084550</v>
      </c>
      <c r="C180">
        <v>50568000</v>
      </c>
      <c r="D180" s="17">
        <f t="shared" si="3"/>
        <v>50568000</v>
      </c>
      <c r="E180" s="49">
        <f>VLOOKUP($A180,'Data shares'!$C:$FA,128)*100</f>
        <v>11.51</v>
      </c>
      <c r="F180" s="49">
        <f>VLOOKUP($A180,'Data shares'!$C:$FA,129)</f>
        <v>11044600</v>
      </c>
    </row>
    <row r="181" spans="1:6" x14ac:dyDescent="0.25">
      <c r="A181" t="s">
        <v>166</v>
      </c>
      <c r="B181">
        <v>79597108</v>
      </c>
      <c r="C181">
        <v>26630000</v>
      </c>
      <c r="D181" s="17">
        <f t="shared" si="3"/>
        <v>26630000</v>
      </c>
      <c r="E181" s="49">
        <f>VLOOKUP($A181,'Data shares'!$C:$FA,128)*100</f>
        <v>13.29</v>
      </c>
      <c r="F181" s="49">
        <f>VLOOKUP($A181,'Data shares'!$C:$FA,129)</f>
        <v>246000</v>
      </c>
    </row>
    <row r="182" spans="1:6" x14ac:dyDescent="0.25">
      <c r="A182" t="s">
        <v>241</v>
      </c>
      <c r="B182">
        <v>913205148</v>
      </c>
      <c r="C182">
        <v>118527500</v>
      </c>
      <c r="D182" s="17">
        <f t="shared" si="3"/>
        <v>118527500</v>
      </c>
      <c r="E182" s="49">
        <f>VLOOKUP($A182,'Data shares'!$C:$FA,128)*100</f>
        <v>7.55</v>
      </c>
      <c r="F182" s="49">
        <f>VLOOKUP($A182,'Data shares'!$C:$FA,129)</f>
        <v>5850000</v>
      </c>
    </row>
    <row r="183" spans="1:6" x14ac:dyDescent="0.25">
      <c r="A183" t="s">
        <v>517</v>
      </c>
      <c r="B183">
        <v>10180563</v>
      </c>
      <c r="C183">
        <v>3926650</v>
      </c>
      <c r="D183" s="17">
        <f t="shared" si="3"/>
        <v>3926650</v>
      </c>
      <c r="E183" s="49">
        <f>VLOOKUP($A183,'Data shares'!$C:$FA,128)*100</f>
        <v>11.450000000000001</v>
      </c>
      <c r="F183" s="49">
        <f>VLOOKUP($A183,'Data shares'!$C:$FA,129)</f>
        <v>320000</v>
      </c>
    </row>
    <row r="184" spans="1:6" x14ac:dyDescent="0.25">
      <c r="A184" t="s">
        <v>211</v>
      </c>
      <c r="B184">
        <v>91809066</v>
      </c>
      <c r="C184">
        <v>33516000</v>
      </c>
      <c r="D184" s="17">
        <f t="shared" si="3"/>
        <v>33516000</v>
      </c>
      <c r="E184" s="49">
        <f>VLOOKUP($A184,'Data shares'!$C:$FA,128)*100</f>
        <v>8.36</v>
      </c>
      <c r="F184" s="49">
        <f>VLOOKUP($A184,'Data shares'!$C:$FA,129)</f>
        <v>2192400</v>
      </c>
    </row>
    <row r="185" spans="1:6" x14ac:dyDescent="0.25">
      <c r="A185" t="s">
        <v>518</v>
      </c>
      <c r="B185">
        <v>4636018</v>
      </c>
      <c r="C185">
        <v>608375</v>
      </c>
      <c r="D185" s="17">
        <f t="shared" si="3"/>
        <v>608375</v>
      </c>
      <c r="E185" s="49">
        <f>VLOOKUP($A185,'Data shares'!$C:$FA,128)*100</f>
        <v>7.21</v>
      </c>
      <c r="F185" s="49">
        <f>VLOOKUP($A185,'Data shares'!$C:$FA,129)</f>
        <v>94200</v>
      </c>
    </row>
    <row r="186" spans="1:6" x14ac:dyDescent="0.25">
      <c r="A186" t="s">
        <v>511</v>
      </c>
      <c r="B186">
        <v>18644752</v>
      </c>
      <c r="C186">
        <v>4227600</v>
      </c>
      <c r="D186" s="17">
        <f t="shared" si="3"/>
        <v>4227600</v>
      </c>
      <c r="E186" s="49">
        <f>VLOOKUP($A186,'Data shares'!$C:$FA,128)*100</f>
        <v>16.93</v>
      </c>
      <c r="F186" s="49">
        <f>VLOOKUP($A186,'Data shares'!$C:$FA,129)</f>
        <v>22889250</v>
      </c>
    </row>
    <row r="187" spans="1:6" x14ac:dyDescent="0.25">
      <c r="A187" t="s">
        <v>186</v>
      </c>
      <c r="B187">
        <v>48589957</v>
      </c>
      <c r="C187">
        <v>5942200</v>
      </c>
      <c r="D187" s="17">
        <f t="shared" si="3"/>
        <v>5942200</v>
      </c>
      <c r="E187" s="49">
        <f>VLOOKUP($A187,'Data shares'!$C:$FA,128)*100</f>
        <v>19.3</v>
      </c>
      <c r="F187" s="49">
        <f>VLOOKUP($A187,'Data shares'!$C:$FA,129)</f>
        <v>19492575</v>
      </c>
    </row>
    <row r="188" spans="1:6" x14ac:dyDescent="0.25">
      <c r="A188" t="s">
        <v>522</v>
      </c>
      <c r="B188">
        <v>1063050</v>
      </c>
      <c r="C188">
        <v>54050</v>
      </c>
      <c r="D188" s="17">
        <f t="shared" si="3"/>
        <v>54050</v>
      </c>
      <c r="E188" s="49">
        <f>VLOOKUP($A188,'Data shares'!$C:$FA,128)*100</f>
        <v>12.29</v>
      </c>
      <c r="F188" s="49">
        <f>VLOOKUP($A188,'Data shares'!$C:$FA,129)</f>
        <v>284250</v>
      </c>
    </row>
    <row r="189" spans="1:6" x14ac:dyDescent="0.25">
      <c r="A189" t="s">
        <v>300</v>
      </c>
      <c r="B189">
        <v>45360865</v>
      </c>
      <c r="C189">
        <v>14277200</v>
      </c>
      <c r="D189" s="17">
        <f t="shared" si="3"/>
        <v>14277200</v>
      </c>
      <c r="E189" s="49">
        <f>VLOOKUP($A189,'Data shares'!$C:$FA,128)*100</f>
        <v>2.34</v>
      </c>
      <c r="F189" s="49">
        <f>VLOOKUP($A189,'Data shares'!$C:$FA,129)</f>
        <v>140175</v>
      </c>
    </row>
    <row r="190" spans="1:6" x14ac:dyDescent="0.25">
      <c r="A190" t="s">
        <v>520</v>
      </c>
      <c r="B190">
        <v>23139622</v>
      </c>
      <c r="C190">
        <v>1555500</v>
      </c>
      <c r="D190" s="17">
        <f t="shared" si="3"/>
        <v>1555500</v>
      </c>
      <c r="E190" s="49">
        <f>VLOOKUP($A190,'Data shares'!$C:$FA,128)*100</f>
        <v>3.54</v>
      </c>
      <c r="F190" s="49">
        <f>VLOOKUP($A190,'Data shares'!$C:$FA,129)</f>
        <v>272000</v>
      </c>
    </row>
    <row r="191" spans="1:6" x14ac:dyDescent="0.25">
      <c r="A191" t="s">
        <v>294</v>
      </c>
      <c r="B191">
        <v>161436977</v>
      </c>
      <c r="C191">
        <v>59382700</v>
      </c>
      <c r="D191" s="17">
        <f t="shared" si="3"/>
        <v>59382700</v>
      </c>
      <c r="E191" s="49">
        <f>VLOOKUP($A191,'Data shares'!$C:$FA,128)*100</f>
        <v>20.07</v>
      </c>
      <c r="F191" s="49">
        <f>VLOOKUP($A191,'Data shares'!$C:$FA,129)</f>
        <v>34721500</v>
      </c>
    </row>
    <row r="192" spans="1:6" x14ac:dyDescent="0.25">
      <c r="A192" t="s">
        <v>244</v>
      </c>
      <c r="B192">
        <v>265685393</v>
      </c>
      <c r="C192">
        <v>44023500</v>
      </c>
      <c r="D192" s="17">
        <f t="shared" si="3"/>
        <v>44023500</v>
      </c>
      <c r="E192" s="49">
        <f>VLOOKUP($A192,'Data shares'!$C:$FA,128)*100</f>
        <v>6.87</v>
      </c>
      <c r="F192" s="49">
        <f>VLOOKUP($A192,'Data shares'!$C:$FA,129)</f>
        <v>2511000</v>
      </c>
    </row>
    <row r="193" spans="1:6" x14ac:dyDescent="0.25">
      <c r="A193" t="s">
        <v>160</v>
      </c>
      <c r="B193">
        <v>145684825</v>
      </c>
      <c r="C193">
        <v>110820000</v>
      </c>
      <c r="D193" s="17">
        <f t="shared" si="3"/>
        <v>110820000</v>
      </c>
      <c r="E193" s="49">
        <f>VLOOKUP($A193,'Data shares'!$C:$FA,128)*100</f>
        <v>11.19</v>
      </c>
      <c r="F193" s="49">
        <f>VLOOKUP($A193,'Data shares'!$C:$FA,129)</f>
        <v>2308025</v>
      </c>
    </row>
    <row r="194" spans="1:6" x14ac:dyDescent="0.25">
      <c r="A194" t="s">
        <v>496</v>
      </c>
      <c r="B194">
        <v>11999202</v>
      </c>
      <c r="C194">
        <v>2345700</v>
      </c>
      <c r="D194" s="17">
        <f t="shared" si="3"/>
        <v>2345700</v>
      </c>
      <c r="E194" s="49">
        <f>VLOOKUP($A194,'Data shares'!$C:$FA,128)*100</f>
        <v>4.79</v>
      </c>
      <c r="F194" s="49">
        <f>VLOOKUP($A194,'Data shares'!$C:$FA,129)</f>
        <v>297150</v>
      </c>
    </row>
    <row r="195" spans="1:6" x14ac:dyDescent="0.25">
      <c r="A195" t="s">
        <v>230</v>
      </c>
      <c r="B195">
        <v>179034270</v>
      </c>
      <c r="C195">
        <v>24257400</v>
      </c>
      <c r="D195" s="17">
        <f t="shared" si="3"/>
        <v>24257400</v>
      </c>
      <c r="E195" s="49">
        <f>VLOOKUP($A195,'Data shares'!$C:$FA,128)*100</f>
        <v>17.59</v>
      </c>
      <c r="F195" s="49">
        <f>VLOOKUP($A195,'Data shares'!$C:$FA,129)</f>
        <v>1761900</v>
      </c>
    </row>
    <row r="196" spans="1:6" x14ac:dyDescent="0.25">
      <c r="A196" t="s">
        <v>203</v>
      </c>
      <c r="B196">
        <v>27165463</v>
      </c>
      <c r="C196">
        <v>3318000</v>
      </c>
      <c r="D196" s="17">
        <f t="shared" si="3"/>
        <v>3318000</v>
      </c>
      <c r="E196" s="49">
        <f>VLOOKUP($A196,'Data shares'!$C:$FA,128)*100</f>
        <v>4.7699999999999996</v>
      </c>
      <c r="F196" s="49">
        <f>VLOOKUP($A196,'Data shares'!$C:$FA,129)</f>
        <v>83400</v>
      </c>
    </row>
    <row r="197" spans="1:6" x14ac:dyDescent="0.25">
      <c r="A197" t="s">
        <v>251</v>
      </c>
      <c r="B197">
        <v>184464522</v>
      </c>
      <c r="C197">
        <v>32566800</v>
      </c>
      <c r="D197" s="17">
        <f t="shared" si="3"/>
        <v>32566800</v>
      </c>
      <c r="E197" s="49">
        <f>VLOOKUP($A197,'Data shares'!$C:$FA,128)*100</f>
        <v>14.49</v>
      </c>
      <c r="F197" s="49">
        <f>VLOOKUP($A197,'Data shares'!$C:$FA,129)</f>
        <v>1845600</v>
      </c>
    </row>
    <row r="198" spans="1:6" x14ac:dyDescent="0.25">
      <c r="A198" t="s">
        <v>254</v>
      </c>
      <c r="B198">
        <v>104419539</v>
      </c>
      <c r="C198">
        <v>12741000</v>
      </c>
      <c r="D198" s="17">
        <f t="shared" si="3"/>
        <v>12741000</v>
      </c>
      <c r="E198" s="49">
        <f>VLOOKUP($A198,'Data shares'!$C:$FA,128)*100</f>
        <v>0.84</v>
      </c>
      <c r="F198" s="49">
        <f>VLOOKUP($A198,'Data shares'!$C:$FA,129)</f>
        <v>246000</v>
      </c>
    </row>
    <row r="199" spans="1:6" x14ac:dyDescent="0.25">
      <c r="A199" t="s">
        <v>159</v>
      </c>
      <c r="B199">
        <v>55169320</v>
      </c>
      <c r="C199">
        <v>29565500</v>
      </c>
      <c r="D199" s="17">
        <f t="shared" si="3"/>
        <v>29565500</v>
      </c>
      <c r="E199" s="49">
        <f>VLOOKUP($A199,'Data shares'!$C:$FA,128)*100</f>
        <v>12.36</v>
      </c>
      <c r="F199" s="49">
        <f>VLOOKUP($A199,'Data shares'!$C:$FA,129)</f>
        <v>2637006</v>
      </c>
    </row>
    <row r="200" spans="1:6" x14ac:dyDescent="0.25">
      <c r="A200" t="s">
        <v>201</v>
      </c>
      <c r="B200">
        <v>26654592</v>
      </c>
      <c r="C200">
        <v>3469200</v>
      </c>
      <c r="D200" s="17">
        <f t="shared" si="3"/>
        <v>3469200</v>
      </c>
      <c r="E200" s="49">
        <f>VLOOKUP($A200,'Data shares'!$C:$FA,128)*100</f>
        <v>14.37</v>
      </c>
      <c r="F200" s="49">
        <f>VLOOKUP($A200,'Data shares'!$C:$FA,129)</f>
        <v>843300</v>
      </c>
    </row>
    <row r="201" spans="1:6" x14ac:dyDescent="0.25">
      <c r="A201" t="s">
        <v>199</v>
      </c>
      <c r="B201">
        <v>102562642</v>
      </c>
      <c r="C201">
        <v>20641400</v>
      </c>
      <c r="D201" s="17">
        <f t="shared" si="3"/>
        <v>20641400</v>
      </c>
      <c r="E201" s="49">
        <f>VLOOKUP($A201,'Data shares'!$C:$FA,128)*100</f>
        <v>11.91</v>
      </c>
      <c r="F201" s="49">
        <f>VLOOKUP($A201,'Data shares'!$C:$FA,129)</f>
        <v>1381875</v>
      </c>
    </row>
    <row r="202" spans="1:6" x14ac:dyDescent="0.25">
      <c r="A202" t="s">
        <v>296</v>
      </c>
      <c r="B202">
        <v>124861039</v>
      </c>
      <c r="C202">
        <v>20543400</v>
      </c>
      <c r="D202" s="17">
        <f t="shared" si="3"/>
        <v>20543400</v>
      </c>
      <c r="E202" s="49">
        <f>VLOOKUP($A202,'Data shares'!$C:$FA,128)*100</f>
        <v>6.17</v>
      </c>
      <c r="F202" s="49">
        <f>VLOOKUP($A202,'Data shares'!$C:$FA,129)</f>
        <v>879000</v>
      </c>
    </row>
    <row r="203" spans="1:6" x14ac:dyDescent="0.25">
      <c r="A203" t="s">
        <v>229</v>
      </c>
      <c r="B203">
        <v>127940594</v>
      </c>
      <c r="C203">
        <v>33552900</v>
      </c>
      <c r="D203" s="17">
        <f t="shared" si="3"/>
        <v>33552900</v>
      </c>
      <c r="E203" s="49">
        <f>VLOOKUP($A203,'Data shares'!$C:$FA,128)*100</f>
        <v>5.0599999999999996</v>
      </c>
      <c r="F203" s="49">
        <f>VLOOKUP($A203,'Data shares'!$C:$FA,129)</f>
        <v>1532925</v>
      </c>
    </row>
    <row r="204" spans="1:6" x14ac:dyDescent="0.25">
      <c r="A204" t="s">
        <v>497</v>
      </c>
      <c r="B204">
        <v>10251929</v>
      </c>
      <c r="C204">
        <v>266200</v>
      </c>
      <c r="D204" s="17">
        <f t="shared" si="3"/>
        <v>266200</v>
      </c>
      <c r="E204" s="49">
        <f>VLOOKUP($A204,'Data shares'!$C:$FA,128)*100</f>
        <v>5.21</v>
      </c>
      <c r="F204" s="49">
        <f>VLOOKUP($A204,'Data shares'!$C:$FA,129)</f>
        <v>58125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F14" sqref="F14"/>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68" zoomScale="86" zoomScaleNormal="86" workbookViewId="0">
      <selection activeCell="M80" sqref="M80"/>
    </sheetView>
  </sheetViews>
  <sheetFormatPr defaultRowHeight="15" x14ac:dyDescent="0.25"/>
  <cols>
    <col min="1" max="1" width="12.4257812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5703125" customWidth="1"/>
    <col min="90" max="90" width="13" customWidth="1"/>
    <col min="91" max="91" width="11.7109375" customWidth="1"/>
    <col min="92" max="92" width="10.5703125" customWidth="1"/>
    <col min="93" max="93" width="10.42578125" customWidth="1"/>
    <col min="94" max="94" width="13.5703125" customWidth="1"/>
    <col min="95" max="95" width="12.42578125" customWidth="1"/>
    <col min="96" max="97" width="10.42578125" customWidth="1"/>
    <col min="98" max="98" width="13.42578125" customWidth="1"/>
    <col min="99" max="99" width="12.28515625" customWidth="1"/>
    <col min="100" max="100" width="10.57031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8"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710937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19.1406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46009</v>
      </c>
      <c r="B2" s="227" t="s">
        <v>175</v>
      </c>
      <c r="C2" s="227" t="s">
        <v>683</v>
      </c>
      <c r="D2" s="228">
        <v>500</v>
      </c>
      <c r="E2" s="228">
        <v>12</v>
      </c>
      <c r="F2" s="231">
        <v>1144.4000000000001</v>
      </c>
      <c r="G2" s="231">
        <v>1130.0999999999999</v>
      </c>
      <c r="H2" s="228">
        <v>14.3</v>
      </c>
      <c r="I2" s="229">
        <v>1.2699999999999999E-2</v>
      </c>
      <c r="J2" s="231">
        <v>1143.2</v>
      </c>
      <c r="K2" s="231">
        <v>1126.0999999999999</v>
      </c>
      <c r="L2" s="228">
        <v>17.100000000000001</v>
      </c>
      <c r="M2" s="229">
        <v>1.52E-2</v>
      </c>
      <c r="N2" s="231">
        <v>1144.4000000000001</v>
      </c>
      <c r="O2" s="231">
        <v>1130.0999999999999</v>
      </c>
      <c r="P2" s="228">
        <v>14.3</v>
      </c>
      <c r="Q2" s="229">
        <v>1.2699999999999999E-2</v>
      </c>
      <c r="R2" s="231">
        <v>1145.0999999999999</v>
      </c>
      <c r="S2" s="231">
        <v>1130.5999999999999</v>
      </c>
      <c r="T2" s="228">
        <v>14.5</v>
      </c>
      <c r="U2" s="229">
        <v>1.2800000000000001E-2</v>
      </c>
      <c r="V2" s="231">
        <v>1147.5</v>
      </c>
      <c r="W2" s="231">
        <v>1142</v>
      </c>
      <c r="X2" s="228">
        <v>5.5</v>
      </c>
      <c r="Y2" s="229">
        <v>4.7999999999999996E-3</v>
      </c>
      <c r="Z2" s="228">
        <v>1.2</v>
      </c>
      <c r="AA2" s="228">
        <v>4</v>
      </c>
      <c r="AB2" s="228">
        <v>-2.8</v>
      </c>
      <c r="AC2" s="229">
        <v>1E-3</v>
      </c>
      <c r="AD2" s="228">
        <v>1.2</v>
      </c>
      <c r="AE2" s="228">
        <v>4</v>
      </c>
      <c r="AF2" s="228">
        <v>-2.8</v>
      </c>
      <c r="AG2" s="229">
        <v>1E-3</v>
      </c>
      <c r="AH2" s="228">
        <v>1.9</v>
      </c>
      <c r="AI2" s="228">
        <v>4.5</v>
      </c>
      <c r="AJ2" s="228">
        <v>-2.6</v>
      </c>
      <c r="AK2" s="229">
        <v>1.6999999999999999E-3</v>
      </c>
      <c r="AL2" s="228">
        <v>4.3</v>
      </c>
      <c r="AM2" s="228">
        <v>15.9</v>
      </c>
      <c r="AN2" s="228">
        <v>-11.6</v>
      </c>
      <c r="AO2" s="229">
        <v>3.8E-3</v>
      </c>
      <c r="AP2" s="231">
        <v>1141.2</v>
      </c>
      <c r="AQ2" s="231">
        <v>1140.6400000000001</v>
      </c>
      <c r="AR2" s="228">
        <v>0</v>
      </c>
      <c r="AS2" s="228">
        <v>60</v>
      </c>
      <c r="AT2" s="228">
        <v>352</v>
      </c>
      <c r="AU2" s="228">
        <v>-293</v>
      </c>
      <c r="AV2" s="229">
        <v>-0.83069999999999999</v>
      </c>
      <c r="AW2" s="228">
        <v>55</v>
      </c>
      <c r="AX2" s="228">
        <v>294</v>
      </c>
      <c r="AY2" s="228">
        <v>-238</v>
      </c>
      <c r="AZ2" s="229">
        <v>-0.8115</v>
      </c>
      <c r="BA2" s="228">
        <v>4</v>
      </c>
      <c r="BB2" s="228">
        <v>58</v>
      </c>
      <c r="BC2" s="228">
        <v>-54</v>
      </c>
      <c r="BD2" s="229">
        <v>-0.92949999999999999</v>
      </c>
      <c r="BE2" s="228">
        <v>0</v>
      </c>
      <c r="BF2" s="228">
        <v>0</v>
      </c>
      <c r="BG2" s="228">
        <v>0</v>
      </c>
      <c r="BH2" s="229">
        <v>1</v>
      </c>
      <c r="BI2" s="228">
        <v>193</v>
      </c>
      <c r="BJ2" s="230">
        <v>1093</v>
      </c>
      <c r="BK2" s="228">
        <v>-900</v>
      </c>
      <c r="BL2" s="229">
        <v>-0.82320000000000004</v>
      </c>
      <c r="BM2" s="228">
        <v>39</v>
      </c>
      <c r="BN2" s="228">
        <v>670</v>
      </c>
      <c r="BO2" s="228">
        <v>-631</v>
      </c>
      <c r="BP2" s="229">
        <v>-0.94189999999999996</v>
      </c>
      <c r="BQ2" s="228">
        <v>292</v>
      </c>
      <c r="BR2" s="230">
        <v>2115</v>
      </c>
      <c r="BS2" s="230">
        <v>-1824</v>
      </c>
      <c r="BT2" s="229">
        <v>-0.86209999999999998</v>
      </c>
      <c r="BU2" s="230">
        <v>364262</v>
      </c>
      <c r="BV2" s="230">
        <v>1074755</v>
      </c>
      <c r="BW2" s="230">
        <v>-710493</v>
      </c>
      <c r="BX2" s="229">
        <v>-0.66110000000000002</v>
      </c>
      <c r="BY2" s="228">
        <v>215</v>
      </c>
      <c r="BZ2" s="228">
        <v>220</v>
      </c>
      <c r="CA2" s="228">
        <v>-6</v>
      </c>
      <c r="CB2" s="229">
        <v>-2.5999999999999999E-2</v>
      </c>
      <c r="CC2" s="228">
        <v>201</v>
      </c>
      <c r="CD2" s="228">
        <v>207</v>
      </c>
      <c r="CE2" s="228">
        <v>-6</v>
      </c>
      <c r="CF2" s="229">
        <v>-2.8199999999999999E-2</v>
      </c>
      <c r="CG2" s="228">
        <v>13</v>
      </c>
      <c r="CH2" s="228">
        <v>13</v>
      </c>
      <c r="CI2" s="228">
        <v>0</v>
      </c>
      <c r="CJ2" s="229">
        <v>4.3E-3</v>
      </c>
      <c r="CK2" s="228">
        <v>1</v>
      </c>
      <c r="CL2" s="228">
        <v>1</v>
      </c>
      <c r="CM2" s="228">
        <v>0</v>
      </c>
      <c r="CN2" s="229">
        <v>0.1111</v>
      </c>
      <c r="CO2" s="228">
        <v>206</v>
      </c>
      <c r="CP2" s="228">
        <v>197</v>
      </c>
      <c r="CQ2" s="228">
        <v>9</v>
      </c>
      <c r="CR2" s="229">
        <v>4.3299999999999998E-2</v>
      </c>
      <c r="CS2" s="228">
        <v>121</v>
      </c>
      <c r="CT2" s="228">
        <v>124</v>
      </c>
      <c r="CU2" s="228">
        <v>-3</v>
      </c>
      <c r="CV2" s="229">
        <v>-2.58E-2</v>
      </c>
      <c r="CW2" s="228">
        <v>541</v>
      </c>
      <c r="CX2" s="228">
        <v>542</v>
      </c>
      <c r="CY2" s="228">
        <v>0</v>
      </c>
      <c r="CZ2" s="229">
        <v>-6.9999999999999999E-4</v>
      </c>
      <c r="DA2" s="228">
        <v>27.33</v>
      </c>
      <c r="DB2" s="228">
        <v>27.35</v>
      </c>
      <c r="DC2" s="228">
        <v>-0.02</v>
      </c>
      <c r="DD2" s="228">
        <v>-0.02</v>
      </c>
      <c r="DE2" s="228">
        <v>43.36</v>
      </c>
      <c r="DF2" s="228">
        <v>43.42</v>
      </c>
      <c r="DG2" s="228">
        <v>-16.03</v>
      </c>
      <c r="DH2" s="228">
        <v>-0.06</v>
      </c>
      <c r="DI2" s="228">
        <v>26.96</v>
      </c>
      <c r="DJ2" s="228">
        <v>27.58</v>
      </c>
      <c r="DK2" s="228">
        <v>-0.62</v>
      </c>
      <c r="DL2" s="228">
        <v>-0.62</v>
      </c>
      <c r="DM2" s="228">
        <v>29.12</v>
      </c>
      <c r="DN2" s="228">
        <v>26.98</v>
      </c>
      <c r="DO2" s="228">
        <v>2.14</v>
      </c>
      <c r="DP2" s="228">
        <v>2.14</v>
      </c>
      <c r="DQ2" s="228">
        <v>0.59</v>
      </c>
      <c r="DR2" s="228">
        <v>0.63</v>
      </c>
      <c r="DS2" s="228">
        <v>-0.04</v>
      </c>
      <c r="DT2" s="229">
        <v>-6.3500000000000001E-2</v>
      </c>
      <c r="DU2" s="231">
        <v>1200</v>
      </c>
      <c r="DV2" s="231">
        <v>1060</v>
      </c>
      <c r="DW2" s="228">
        <v>0.2</v>
      </c>
      <c r="DX2" s="228">
        <v>0.61</v>
      </c>
      <c r="DY2" s="228">
        <v>-0.41</v>
      </c>
      <c r="DZ2" s="229">
        <v>-0.67210000000000003</v>
      </c>
      <c r="EA2" s="229">
        <v>6.5000000000000002E-2</v>
      </c>
      <c r="EB2" s="230">
        <v>121000</v>
      </c>
      <c r="EC2" s="229">
        <v>5.9999999999999995E-4</v>
      </c>
      <c r="ED2" s="229">
        <v>6.5000000000000002E-2</v>
      </c>
      <c r="EE2" s="228">
        <v>-0.56000000000000005</v>
      </c>
      <c r="EF2" s="229">
        <v>-5.0000000000000001E-4</v>
      </c>
      <c r="EG2" s="230">
        <v>116407</v>
      </c>
      <c r="EH2" s="230">
        <v>178064</v>
      </c>
      <c r="EI2" s="229">
        <v>-0.3463</v>
      </c>
      <c r="EJ2" s="229">
        <v>0.3196</v>
      </c>
      <c r="EK2" s="228">
        <v>199.19</v>
      </c>
      <c r="EL2" s="228">
        <v>37.880000000000003</v>
      </c>
      <c r="EM2" s="228">
        <v>59.46</v>
      </c>
      <c r="EN2" s="228">
        <v>39.119999999999997</v>
      </c>
      <c r="EO2" s="228">
        <v>296.52</v>
      </c>
      <c r="EP2" s="231">
        <v>2157.81</v>
      </c>
      <c r="EQ2" s="231">
        <v>-1861.29</v>
      </c>
      <c r="ER2" s="229">
        <v>-0.86260000000000003</v>
      </c>
      <c r="ES2" s="228">
        <v>213.84</v>
      </c>
      <c r="ET2" s="228">
        <v>116.71</v>
      </c>
      <c r="EU2" s="228">
        <v>214.76</v>
      </c>
      <c r="EV2" s="231">
        <v>44660948</v>
      </c>
      <c r="EW2" s="228">
        <v>545.29999999999995</v>
      </c>
      <c r="EX2" s="228">
        <v>542.86</v>
      </c>
      <c r="EY2" s="228">
        <v>2.44</v>
      </c>
      <c r="EZ2" s="229">
        <v>4.4999999999999997E-3</v>
      </c>
      <c r="FA2" s="229">
        <v>0.10589999999999999</v>
      </c>
      <c r="FB2" s="227" t="s">
        <v>556</v>
      </c>
      <c r="FC2">
        <f>BY2-CC2</f>
        <v>14</v>
      </c>
    </row>
    <row r="3" spans="1:159" ht="17.25" thickBot="1" x14ac:dyDescent="0.3">
      <c r="A3" s="226">
        <v>46009</v>
      </c>
      <c r="B3" s="227" t="s">
        <v>184</v>
      </c>
      <c r="C3" s="227" t="s">
        <v>553</v>
      </c>
      <c r="D3" s="228">
        <v>125</v>
      </c>
      <c r="E3" s="228">
        <v>12</v>
      </c>
      <c r="F3" s="231">
        <v>5116.5</v>
      </c>
      <c r="G3" s="231">
        <v>5190</v>
      </c>
      <c r="H3" s="228">
        <v>-73.5</v>
      </c>
      <c r="I3" s="229">
        <v>-1.4200000000000001E-2</v>
      </c>
      <c r="J3" s="231">
        <v>5097.5</v>
      </c>
      <c r="K3" s="231">
        <v>5171</v>
      </c>
      <c r="L3" s="228">
        <v>-73.5</v>
      </c>
      <c r="M3" s="229">
        <v>-1.4200000000000001E-2</v>
      </c>
      <c r="N3" s="231">
        <v>5116.5</v>
      </c>
      <c r="O3" s="231">
        <v>5190</v>
      </c>
      <c r="P3" s="228">
        <v>-73.5</v>
      </c>
      <c r="Q3" s="229">
        <v>-1.4200000000000001E-2</v>
      </c>
      <c r="R3" s="231">
        <v>5132.5</v>
      </c>
      <c r="S3" s="231">
        <v>5198</v>
      </c>
      <c r="T3" s="228">
        <v>-65.5</v>
      </c>
      <c r="U3" s="229">
        <v>-1.26E-2</v>
      </c>
      <c r="V3" s="231">
        <v>5153</v>
      </c>
      <c r="W3" s="231">
        <v>5228.5</v>
      </c>
      <c r="X3" s="228">
        <v>-75.5</v>
      </c>
      <c r="Y3" s="229">
        <v>-1.44E-2</v>
      </c>
      <c r="Z3" s="228">
        <v>19</v>
      </c>
      <c r="AA3" s="228">
        <v>19</v>
      </c>
      <c r="AB3" s="228">
        <v>0</v>
      </c>
      <c r="AC3" s="229">
        <v>3.7000000000000002E-3</v>
      </c>
      <c r="AD3" s="228">
        <v>19</v>
      </c>
      <c r="AE3" s="228">
        <v>19</v>
      </c>
      <c r="AF3" s="228">
        <v>0</v>
      </c>
      <c r="AG3" s="229">
        <v>3.7000000000000002E-3</v>
      </c>
      <c r="AH3" s="228">
        <v>35</v>
      </c>
      <c r="AI3" s="228">
        <v>27</v>
      </c>
      <c r="AJ3" s="228">
        <v>8</v>
      </c>
      <c r="AK3" s="229">
        <v>6.8999999999999999E-3</v>
      </c>
      <c r="AL3" s="228">
        <v>55.5</v>
      </c>
      <c r="AM3" s="228">
        <v>57.5</v>
      </c>
      <c r="AN3" s="228">
        <v>-2</v>
      </c>
      <c r="AO3" s="229">
        <v>1.09E-2</v>
      </c>
      <c r="AP3" s="231">
        <v>5128.76</v>
      </c>
      <c r="AQ3" s="231">
        <v>5142.96</v>
      </c>
      <c r="AR3" s="228">
        <v>0</v>
      </c>
      <c r="AS3" s="228">
        <v>217</v>
      </c>
      <c r="AT3" s="228">
        <v>171</v>
      </c>
      <c r="AU3" s="228">
        <v>46</v>
      </c>
      <c r="AV3" s="229">
        <v>0.27160000000000001</v>
      </c>
      <c r="AW3" s="228">
        <v>186</v>
      </c>
      <c r="AX3" s="228">
        <v>122</v>
      </c>
      <c r="AY3" s="228">
        <v>64</v>
      </c>
      <c r="AZ3" s="229">
        <v>0.52729999999999999</v>
      </c>
      <c r="BA3" s="228">
        <v>29</v>
      </c>
      <c r="BB3" s="228">
        <v>47</v>
      </c>
      <c r="BC3" s="228">
        <v>-18</v>
      </c>
      <c r="BD3" s="229">
        <v>-0.38200000000000001</v>
      </c>
      <c r="BE3" s="228">
        <v>2</v>
      </c>
      <c r="BF3" s="228">
        <v>2</v>
      </c>
      <c r="BG3" s="228">
        <v>0</v>
      </c>
      <c r="BH3" s="229">
        <v>5.8799999999999998E-2</v>
      </c>
      <c r="BI3" s="228">
        <v>540</v>
      </c>
      <c r="BJ3" s="228">
        <v>375</v>
      </c>
      <c r="BK3" s="228">
        <v>164</v>
      </c>
      <c r="BL3" s="229">
        <v>0.438</v>
      </c>
      <c r="BM3" s="228">
        <v>350</v>
      </c>
      <c r="BN3" s="228">
        <v>188</v>
      </c>
      <c r="BO3" s="228">
        <v>162</v>
      </c>
      <c r="BP3" s="229">
        <v>0.86080000000000001</v>
      </c>
      <c r="BQ3" s="230">
        <v>1107</v>
      </c>
      <c r="BR3" s="228">
        <v>734</v>
      </c>
      <c r="BS3" s="228">
        <v>373</v>
      </c>
      <c r="BT3" s="229">
        <v>0.50760000000000005</v>
      </c>
      <c r="BU3" s="230">
        <v>365689</v>
      </c>
      <c r="BV3" s="230">
        <v>87853</v>
      </c>
      <c r="BW3" s="230">
        <v>277836</v>
      </c>
      <c r="BX3" s="229">
        <v>3.1625000000000001</v>
      </c>
      <c r="BY3" s="230">
        <v>1286</v>
      </c>
      <c r="BZ3" s="230">
        <v>1282</v>
      </c>
      <c r="CA3" s="228">
        <v>4</v>
      </c>
      <c r="CB3" s="229">
        <v>3.0000000000000001E-3</v>
      </c>
      <c r="CC3" s="230">
        <v>1128</v>
      </c>
      <c r="CD3" s="230">
        <v>1136</v>
      </c>
      <c r="CE3" s="228">
        <v>-9</v>
      </c>
      <c r="CF3" s="229">
        <v>-7.6E-3</v>
      </c>
      <c r="CG3" s="228">
        <v>145</v>
      </c>
      <c r="CH3" s="228">
        <v>134</v>
      </c>
      <c r="CI3" s="228">
        <v>11</v>
      </c>
      <c r="CJ3" s="229">
        <v>8.3099999999999993E-2</v>
      </c>
      <c r="CK3" s="228">
        <v>13</v>
      </c>
      <c r="CL3" s="228">
        <v>12</v>
      </c>
      <c r="CM3" s="228">
        <v>1</v>
      </c>
      <c r="CN3" s="229">
        <v>0.1215</v>
      </c>
      <c r="CO3" s="228">
        <v>482</v>
      </c>
      <c r="CP3" s="228">
        <v>446</v>
      </c>
      <c r="CQ3" s="228">
        <v>36</v>
      </c>
      <c r="CR3" s="229">
        <v>7.9899999999999999E-2</v>
      </c>
      <c r="CS3" s="228">
        <v>366</v>
      </c>
      <c r="CT3" s="228">
        <v>346</v>
      </c>
      <c r="CU3" s="228">
        <v>20</v>
      </c>
      <c r="CV3" s="229">
        <v>5.7099999999999998E-2</v>
      </c>
      <c r="CW3" s="230">
        <v>2133</v>
      </c>
      <c r="CX3" s="230">
        <v>2074</v>
      </c>
      <c r="CY3" s="228">
        <v>59</v>
      </c>
      <c r="CZ3" s="229">
        <v>2.86E-2</v>
      </c>
      <c r="DA3" s="228">
        <v>21.12</v>
      </c>
      <c r="DB3" s="228">
        <v>20.93</v>
      </c>
      <c r="DC3" s="228">
        <v>0.19</v>
      </c>
      <c r="DD3" s="228">
        <v>0.19</v>
      </c>
      <c r="DE3" s="228">
        <v>34.409999999999997</v>
      </c>
      <c r="DF3" s="228">
        <v>34.450000000000003</v>
      </c>
      <c r="DG3" s="228">
        <v>-13.29</v>
      </c>
      <c r="DH3" s="228">
        <v>-0.04</v>
      </c>
      <c r="DI3" s="228">
        <v>21.43</v>
      </c>
      <c r="DJ3" s="228">
        <v>21.38</v>
      </c>
      <c r="DK3" s="228">
        <v>0.05</v>
      </c>
      <c r="DL3" s="228">
        <v>0.05</v>
      </c>
      <c r="DM3" s="228">
        <v>20.66</v>
      </c>
      <c r="DN3" s="228">
        <v>20.04</v>
      </c>
      <c r="DO3" s="228">
        <v>0.62</v>
      </c>
      <c r="DP3" s="228">
        <v>0.62</v>
      </c>
      <c r="DQ3" s="228">
        <v>0.76</v>
      </c>
      <c r="DR3" s="228">
        <v>0.78</v>
      </c>
      <c r="DS3" s="228">
        <v>-0.02</v>
      </c>
      <c r="DT3" s="229">
        <v>-2.5600000000000001E-2</v>
      </c>
      <c r="DU3" s="231">
        <v>5500</v>
      </c>
      <c r="DV3" s="231">
        <v>5000</v>
      </c>
      <c r="DW3" s="228">
        <v>0.65</v>
      </c>
      <c r="DX3" s="228">
        <v>0.5</v>
      </c>
      <c r="DY3" s="228">
        <v>0.15</v>
      </c>
      <c r="DZ3" s="229">
        <v>0.3</v>
      </c>
      <c r="EA3" s="229">
        <v>0.1229</v>
      </c>
      <c r="EB3" s="230">
        <v>284250</v>
      </c>
      <c r="EC3" s="229">
        <v>3.0999999999999999E-3</v>
      </c>
      <c r="ED3" s="229">
        <v>0.1229</v>
      </c>
      <c r="EE3" s="228">
        <v>14.2</v>
      </c>
      <c r="EF3" s="229">
        <v>2.8E-3</v>
      </c>
      <c r="EG3" s="230">
        <v>263857</v>
      </c>
      <c r="EH3" s="230">
        <v>47393</v>
      </c>
      <c r="EI3" s="229">
        <v>4.5674000000000001</v>
      </c>
      <c r="EJ3" s="229">
        <v>0.72150000000000003</v>
      </c>
      <c r="EK3" s="228">
        <v>562.36</v>
      </c>
      <c r="EL3" s="228">
        <v>349.18</v>
      </c>
      <c r="EM3" s="228">
        <v>217.68</v>
      </c>
      <c r="EN3" s="228">
        <v>35.46</v>
      </c>
      <c r="EO3" s="231">
        <v>1129.21</v>
      </c>
      <c r="EP3" s="228">
        <v>763.58</v>
      </c>
      <c r="EQ3" s="228">
        <v>365.63</v>
      </c>
      <c r="ER3" s="229">
        <v>0.4788</v>
      </c>
      <c r="ES3" s="228">
        <v>504.69</v>
      </c>
      <c r="ET3" s="228">
        <v>366.76</v>
      </c>
      <c r="EU3" s="231">
        <v>1286.26</v>
      </c>
      <c r="EV3" s="231">
        <v>7946564</v>
      </c>
      <c r="EW3" s="231">
        <v>2157.6999999999998</v>
      </c>
      <c r="EX3" s="231">
        <v>2117.92</v>
      </c>
      <c r="EY3" s="228">
        <v>39.78</v>
      </c>
      <c r="EZ3" s="229">
        <v>1.8800000000000001E-2</v>
      </c>
      <c r="FA3" s="229">
        <v>0.52459999999999996</v>
      </c>
      <c r="FB3" s="227" t="s">
        <v>567</v>
      </c>
      <c r="FC3">
        <f t="shared" ref="FC3:FC66" si="0">BY3-CC3</f>
        <v>158</v>
      </c>
    </row>
    <row r="4" spans="1:159" ht="17.25" thickBot="1" x14ac:dyDescent="0.3">
      <c r="A4" s="226">
        <v>46009</v>
      </c>
      <c r="B4" s="227" t="s">
        <v>175</v>
      </c>
      <c r="C4" s="227" t="s">
        <v>544</v>
      </c>
      <c r="D4" s="228">
        <v>3100</v>
      </c>
      <c r="E4" s="228">
        <v>12</v>
      </c>
      <c r="F4" s="228">
        <v>345.5</v>
      </c>
      <c r="G4" s="228">
        <v>347.7</v>
      </c>
      <c r="H4" s="228">
        <v>-2.2000000000000002</v>
      </c>
      <c r="I4" s="229">
        <v>-6.3E-3</v>
      </c>
      <c r="J4" s="228">
        <v>344.25</v>
      </c>
      <c r="K4" s="228">
        <v>346.8</v>
      </c>
      <c r="L4" s="228">
        <v>-2.5499999999999998</v>
      </c>
      <c r="M4" s="229">
        <v>-7.4000000000000003E-3</v>
      </c>
      <c r="N4" s="228">
        <v>345.5</v>
      </c>
      <c r="O4" s="228">
        <v>347.7</v>
      </c>
      <c r="P4" s="228">
        <v>-2.2000000000000002</v>
      </c>
      <c r="Q4" s="229">
        <v>-6.3E-3</v>
      </c>
      <c r="R4" s="228">
        <v>347.55</v>
      </c>
      <c r="S4" s="228">
        <v>349.7</v>
      </c>
      <c r="T4" s="228">
        <v>-2.15</v>
      </c>
      <c r="U4" s="229">
        <v>-6.1000000000000004E-3</v>
      </c>
      <c r="V4" s="228">
        <v>349.45</v>
      </c>
      <c r="W4" s="228">
        <v>351.55</v>
      </c>
      <c r="X4" s="228">
        <v>-2.1</v>
      </c>
      <c r="Y4" s="229">
        <v>-6.0000000000000001E-3</v>
      </c>
      <c r="Z4" s="228">
        <v>1.25</v>
      </c>
      <c r="AA4" s="228">
        <v>0.9</v>
      </c>
      <c r="AB4" s="228">
        <v>0.35</v>
      </c>
      <c r="AC4" s="229">
        <v>3.5999999999999999E-3</v>
      </c>
      <c r="AD4" s="228">
        <v>1.25</v>
      </c>
      <c r="AE4" s="228">
        <v>0.9</v>
      </c>
      <c r="AF4" s="228">
        <v>0.35</v>
      </c>
      <c r="AG4" s="229">
        <v>3.5999999999999999E-3</v>
      </c>
      <c r="AH4" s="228">
        <v>3.3</v>
      </c>
      <c r="AI4" s="228">
        <v>2.9</v>
      </c>
      <c r="AJ4" s="228">
        <v>0.4</v>
      </c>
      <c r="AK4" s="229">
        <v>9.5999999999999992E-3</v>
      </c>
      <c r="AL4" s="228">
        <v>5.2</v>
      </c>
      <c r="AM4" s="228">
        <v>4.75</v>
      </c>
      <c r="AN4" s="228">
        <v>0.45</v>
      </c>
      <c r="AO4" s="229">
        <v>1.5100000000000001E-2</v>
      </c>
      <c r="AP4" s="228">
        <v>347.02</v>
      </c>
      <c r="AQ4" s="228">
        <v>349.11</v>
      </c>
      <c r="AR4" s="228">
        <v>0</v>
      </c>
      <c r="AS4" s="228">
        <v>254</v>
      </c>
      <c r="AT4" s="228">
        <v>291</v>
      </c>
      <c r="AU4" s="228">
        <v>-38</v>
      </c>
      <c r="AV4" s="229">
        <v>-0.1295</v>
      </c>
      <c r="AW4" s="228">
        <v>217</v>
      </c>
      <c r="AX4" s="228">
        <v>259</v>
      </c>
      <c r="AY4" s="228">
        <v>-42</v>
      </c>
      <c r="AZ4" s="229">
        <v>-0.16159999999999999</v>
      </c>
      <c r="BA4" s="228">
        <v>32</v>
      </c>
      <c r="BB4" s="228">
        <v>29</v>
      </c>
      <c r="BC4" s="228">
        <v>4</v>
      </c>
      <c r="BD4" s="229">
        <v>0.1273</v>
      </c>
      <c r="BE4" s="228">
        <v>4</v>
      </c>
      <c r="BF4" s="228">
        <v>3</v>
      </c>
      <c r="BG4" s="228">
        <v>1</v>
      </c>
      <c r="BH4" s="229">
        <v>0.15629999999999999</v>
      </c>
      <c r="BI4" s="230">
        <v>1177</v>
      </c>
      <c r="BJ4" s="230">
        <v>1030</v>
      </c>
      <c r="BK4" s="228">
        <v>146</v>
      </c>
      <c r="BL4" s="229">
        <v>0.1421</v>
      </c>
      <c r="BM4" s="228">
        <v>529</v>
      </c>
      <c r="BN4" s="228">
        <v>566</v>
      </c>
      <c r="BO4" s="228">
        <v>-37</v>
      </c>
      <c r="BP4" s="229">
        <v>-6.54E-2</v>
      </c>
      <c r="BQ4" s="230">
        <v>1959</v>
      </c>
      <c r="BR4" s="230">
        <v>1888</v>
      </c>
      <c r="BS4" s="228">
        <v>72</v>
      </c>
      <c r="BT4" s="229">
        <v>3.7999999999999999E-2</v>
      </c>
      <c r="BU4" s="230">
        <v>3441417</v>
      </c>
      <c r="BV4" s="230">
        <v>3471979</v>
      </c>
      <c r="BW4" s="230">
        <v>-30562</v>
      </c>
      <c r="BX4" s="229">
        <v>-8.8000000000000005E-3</v>
      </c>
      <c r="BY4" s="230">
        <v>2598</v>
      </c>
      <c r="BZ4" s="230">
        <v>2593</v>
      </c>
      <c r="CA4" s="228">
        <v>5</v>
      </c>
      <c r="CB4" s="229">
        <v>1.9E-3</v>
      </c>
      <c r="CC4" s="230">
        <v>2484</v>
      </c>
      <c r="CD4" s="230">
        <v>2488</v>
      </c>
      <c r="CE4" s="228">
        <v>-4</v>
      </c>
      <c r="CF4" s="229">
        <v>-1.5E-3</v>
      </c>
      <c r="CG4" s="228">
        <v>97</v>
      </c>
      <c r="CH4" s="228">
        <v>90</v>
      </c>
      <c r="CI4" s="228">
        <v>7</v>
      </c>
      <c r="CJ4" s="229">
        <v>7.9600000000000004E-2</v>
      </c>
      <c r="CK4" s="228">
        <v>17</v>
      </c>
      <c r="CL4" s="228">
        <v>15</v>
      </c>
      <c r="CM4" s="228">
        <v>1</v>
      </c>
      <c r="CN4" s="229">
        <v>9.9299999999999999E-2</v>
      </c>
      <c r="CO4" s="228">
        <v>960</v>
      </c>
      <c r="CP4" s="228">
        <v>939</v>
      </c>
      <c r="CQ4" s="228">
        <v>21</v>
      </c>
      <c r="CR4" s="229">
        <v>2.24E-2</v>
      </c>
      <c r="CS4" s="228">
        <v>594</v>
      </c>
      <c r="CT4" s="228">
        <v>614</v>
      </c>
      <c r="CU4" s="228">
        <v>-20</v>
      </c>
      <c r="CV4" s="229">
        <v>-3.2300000000000002E-2</v>
      </c>
      <c r="CW4" s="230">
        <v>4152</v>
      </c>
      <c r="CX4" s="230">
        <v>4146</v>
      </c>
      <c r="CY4" s="228">
        <v>6</v>
      </c>
      <c r="CZ4" s="229">
        <v>1.5E-3</v>
      </c>
      <c r="DA4" s="228">
        <v>26.57</v>
      </c>
      <c r="DB4" s="228">
        <v>27.01</v>
      </c>
      <c r="DC4" s="228">
        <v>-0.44</v>
      </c>
      <c r="DD4" s="228">
        <v>-0.44</v>
      </c>
      <c r="DE4" s="228">
        <v>38.869999999999997</v>
      </c>
      <c r="DF4" s="228">
        <v>38.950000000000003</v>
      </c>
      <c r="DG4" s="228">
        <v>-12.3</v>
      </c>
      <c r="DH4" s="228">
        <v>-0.08</v>
      </c>
      <c r="DI4" s="228">
        <v>26.94</v>
      </c>
      <c r="DJ4" s="228">
        <v>27.59</v>
      </c>
      <c r="DK4" s="228">
        <v>-0.65</v>
      </c>
      <c r="DL4" s="228">
        <v>-0.65</v>
      </c>
      <c r="DM4" s="228">
        <v>25.74</v>
      </c>
      <c r="DN4" s="228">
        <v>25.97</v>
      </c>
      <c r="DO4" s="228">
        <v>-0.23</v>
      </c>
      <c r="DP4" s="228">
        <v>-0.23</v>
      </c>
      <c r="DQ4" s="228">
        <v>0.62</v>
      </c>
      <c r="DR4" s="228">
        <v>0.65</v>
      </c>
      <c r="DS4" s="228">
        <v>-0.03</v>
      </c>
      <c r="DT4" s="229">
        <v>-4.6199999999999998E-2</v>
      </c>
      <c r="DU4" s="228">
        <v>360</v>
      </c>
      <c r="DV4" s="228">
        <v>340</v>
      </c>
      <c r="DW4" s="228">
        <v>0.45</v>
      </c>
      <c r="DX4" s="228">
        <v>0.55000000000000004</v>
      </c>
      <c r="DY4" s="228">
        <v>-0.1</v>
      </c>
      <c r="DZ4" s="229">
        <v>-0.18179999999999999</v>
      </c>
      <c r="EA4" s="229">
        <v>4.3900000000000002E-2</v>
      </c>
      <c r="EB4" s="230">
        <v>3047300</v>
      </c>
      <c r="EC4" s="229">
        <v>5.8999999999999999E-3</v>
      </c>
      <c r="ED4" s="229">
        <v>4.3900000000000002E-2</v>
      </c>
      <c r="EE4" s="228">
        <v>2.09</v>
      </c>
      <c r="EF4" s="229">
        <v>6.0000000000000001E-3</v>
      </c>
      <c r="EG4" s="230">
        <v>1783837</v>
      </c>
      <c r="EH4" s="230">
        <v>1680944</v>
      </c>
      <c r="EI4" s="229">
        <v>6.1199999999999997E-2</v>
      </c>
      <c r="EJ4" s="229">
        <v>0.51829999999999998</v>
      </c>
      <c r="EK4" s="231">
        <v>1231.99</v>
      </c>
      <c r="EL4" s="228">
        <v>529.30999999999995</v>
      </c>
      <c r="EM4" s="228">
        <v>254.87</v>
      </c>
      <c r="EN4" s="228">
        <v>35.28</v>
      </c>
      <c r="EO4" s="231">
        <v>2016.17</v>
      </c>
      <c r="EP4" s="231">
        <v>1949.71</v>
      </c>
      <c r="EQ4" s="228">
        <v>66.459999999999994</v>
      </c>
      <c r="ER4" s="229">
        <v>3.4099999999999998E-2</v>
      </c>
      <c r="ES4" s="231">
        <v>1008.01</v>
      </c>
      <c r="ET4" s="228">
        <v>577.08000000000004</v>
      </c>
      <c r="EU4" s="231">
        <v>2598.92</v>
      </c>
      <c r="EV4" s="231">
        <v>122316423</v>
      </c>
      <c r="EW4" s="231">
        <v>4184.01</v>
      </c>
      <c r="EX4" s="231">
        <v>4196.6899999999996</v>
      </c>
      <c r="EY4" s="228">
        <v>-12.68</v>
      </c>
      <c r="EZ4" s="229">
        <v>-3.0000000000000001E-3</v>
      </c>
      <c r="FA4" s="229">
        <v>0.98250000000000004</v>
      </c>
      <c r="FB4" s="227" t="s">
        <v>567</v>
      </c>
      <c r="FC4">
        <f t="shared" si="0"/>
        <v>114</v>
      </c>
    </row>
    <row r="5" spans="1:159" ht="17.25" thickBot="1" x14ac:dyDescent="0.3">
      <c r="A5" s="226">
        <v>46009</v>
      </c>
      <c r="B5" s="227" t="s">
        <v>161</v>
      </c>
      <c r="C5" s="227" t="s">
        <v>579</v>
      </c>
      <c r="D5" s="228">
        <v>675</v>
      </c>
      <c r="E5" s="228">
        <v>12</v>
      </c>
      <c r="F5" s="228">
        <v>977.65</v>
      </c>
      <c r="G5" s="228">
        <v>981.3</v>
      </c>
      <c r="H5" s="228">
        <v>-3.65</v>
      </c>
      <c r="I5" s="229">
        <v>-3.7000000000000002E-3</v>
      </c>
      <c r="J5" s="228">
        <v>976.3</v>
      </c>
      <c r="K5" s="228">
        <v>977.55</v>
      </c>
      <c r="L5" s="228">
        <v>-1.25</v>
      </c>
      <c r="M5" s="229">
        <v>-1.2999999999999999E-3</v>
      </c>
      <c r="N5" s="228">
        <v>977.65</v>
      </c>
      <c r="O5" s="228">
        <v>981.3</v>
      </c>
      <c r="P5" s="228">
        <v>-3.65</v>
      </c>
      <c r="Q5" s="229">
        <v>-3.7000000000000002E-3</v>
      </c>
      <c r="R5" s="228">
        <v>983.15</v>
      </c>
      <c r="S5" s="228">
        <v>986.9</v>
      </c>
      <c r="T5" s="228">
        <v>-3.75</v>
      </c>
      <c r="U5" s="229">
        <v>-3.8E-3</v>
      </c>
      <c r="V5" s="228">
        <v>994.7</v>
      </c>
      <c r="W5" s="228">
        <v>994.7</v>
      </c>
      <c r="X5" s="228">
        <v>0</v>
      </c>
      <c r="Y5" s="229">
        <v>0</v>
      </c>
      <c r="Z5" s="228">
        <v>1.35</v>
      </c>
      <c r="AA5" s="228">
        <v>3.75</v>
      </c>
      <c r="AB5" s="228">
        <v>-2.4</v>
      </c>
      <c r="AC5" s="229">
        <v>1.4E-3</v>
      </c>
      <c r="AD5" s="228">
        <v>1.35</v>
      </c>
      <c r="AE5" s="228">
        <v>3.75</v>
      </c>
      <c r="AF5" s="228">
        <v>-2.4</v>
      </c>
      <c r="AG5" s="229">
        <v>1.4E-3</v>
      </c>
      <c r="AH5" s="228">
        <v>6.85</v>
      </c>
      <c r="AI5" s="228">
        <v>9.35</v>
      </c>
      <c r="AJ5" s="228">
        <v>-2.5</v>
      </c>
      <c r="AK5" s="229">
        <v>7.0000000000000001E-3</v>
      </c>
      <c r="AL5" s="228">
        <v>18.399999999999999</v>
      </c>
      <c r="AM5" s="228">
        <v>17.149999999999999</v>
      </c>
      <c r="AN5" s="228">
        <v>1.25</v>
      </c>
      <c r="AO5" s="229">
        <v>1.8800000000000001E-2</v>
      </c>
      <c r="AP5" s="228">
        <v>979.36</v>
      </c>
      <c r="AQ5" s="228">
        <v>983.15</v>
      </c>
      <c r="AR5" s="228">
        <v>0</v>
      </c>
      <c r="AS5" s="228">
        <v>92</v>
      </c>
      <c r="AT5" s="228">
        <v>127</v>
      </c>
      <c r="AU5" s="228">
        <v>-35</v>
      </c>
      <c r="AV5" s="229">
        <v>-0.2727</v>
      </c>
      <c r="AW5" s="228">
        <v>87</v>
      </c>
      <c r="AX5" s="228">
        <v>106</v>
      </c>
      <c r="AY5" s="228">
        <v>-19</v>
      </c>
      <c r="AZ5" s="229">
        <v>-0.1789</v>
      </c>
      <c r="BA5" s="228">
        <v>5</v>
      </c>
      <c r="BB5" s="228">
        <v>21</v>
      </c>
      <c r="BC5" s="228">
        <v>-15</v>
      </c>
      <c r="BD5" s="229">
        <v>-0.74919999999999998</v>
      </c>
      <c r="BE5" s="228">
        <v>0</v>
      </c>
      <c r="BF5" s="228">
        <v>0</v>
      </c>
      <c r="BG5" s="228">
        <v>0</v>
      </c>
      <c r="BH5" s="229">
        <v>-1</v>
      </c>
      <c r="BI5" s="228">
        <v>340</v>
      </c>
      <c r="BJ5" s="228">
        <v>370</v>
      </c>
      <c r="BK5" s="228">
        <v>-30</v>
      </c>
      <c r="BL5" s="229">
        <v>-8.1600000000000006E-2</v>
      </c>
      <c r="BM5" s="228">
        <v>118</v>
      </c>
      <c r="BN5" s="228">
        <v>223</v>
      </c>
      <c r="BO5" s="228">
        <v>-105</v>
      </c>
      <c r="BP5" s="229">
        <v>-0.47220000000000001</v>
      </c>
      <c r="BQ5" s="228">
        <v>550</v>
      </c>
      <c r="BR5" s="228">
        <v>720</v>
      </c>
      <c r="BS5" s="228">
        <v>-170</v>
      </c>
      <c r="BT5" s="229">
        <v>-0.23619999999999999</v>
      </c>
      <c r="BU5" s="230">
        <v>785958</v>
      </c>
      <c r="BV5" s="230">
        <v>758614</v>
      </c>
      <c r="BW5" s="230">
        <v>27344</v>
      </c>
      <c r="BX5" s="229">
        <v>3.5999999999999997E-2</v>
      </c>
      <c r="BY5" s="230">
        <v>1756</v>
      </c>
      <c r="BZ5" s="230">
        <v>1766</v>
      </c>
      <c r="CA5" s="228">
        <v>-10</v>
      </c>
      <c r="CB5" s="229">
        <v>-5.4999999999999997E-3</v>
      </c>
      <c r="CC5" s="230">
        <v>1716</v>
      </c>
      <c r="CD5" s="230">
        <v>1726</v>
      </c>
      <c r="CE5" s="228">
        <v>-9</v>
      </c>
      <c r="CF5" s="229">
        <v>-5.4999999999999997E-3</v>
      </c>
      <c r="CG5" s="228">
        <v>32</v>
      </c>
      <c r="CH5" s="228">
        <v>33</v>
      </c>
      <c r="CI5" s="228">
        <v>0</v>
      </c>
      <c r="CJ5" s="229">
        <v>-1.01E-2</v>
      </c>
      <c r="CK5" s="228">
        <v>7</v>
      </c>
      <c r="CL5" s="228">
        <v>7</v>
      </c>
      <c r="CM5" s="228">
        <v>0</v>
      </c>
      <c r="CN5" s="229">
        <v>0</v>
      </c>
      <c r="CO5" s="228">
        <v>408</v>
      </c>
      <c r="CP5" s="228">
        <v>397</v>
      </c>
      <c r="CQ5" s="228">
        <v>12</v>
      </c>
      <c r="CR5" s="229">
        <v>2.98E-2</v>
      </c>
      <c r="CS5" s="228">
        <v>219</v>
      </c>
      <c r="CT5" s="228">
        <v>224</v>
      </c>
      <c r="CU5" s="228">
        <v>-4</v>
      </c>
      <c r="CV5" s="229">
        <v>-1.9199999999999998E-2</v>
      </c>
      <c r="CW5" s="230">
        <v>2384</v>
      </c>
      <c r="CX5" s="230">
        <v>2386</v>
      </c>
      <c r="CY5" s="228">
        <v>-2</v>
      </c>
      <c r="CZ5" s="229">
        <v>-8.9999999999999998E-4</v>
      </c>
      <c r="DA5" s="228">
        <v>24.64</v>
      </c>
      <c r="DB5" s="228">
        <v>25.09</v>
      </c>
      <c r="DC5" s="228">
        <v>-0.45</v>
      </c>
      <c r="DD5" s="228">
        <v>-0.45</v>
      </c>
      <c r="DE5" s="228">
        <v>51.73</v>
      </c>
      <c r="DF5" s="228">
        <v>51.86</v>
      </c>
      <c r="DG5" s="228">
        <v>-27.09</v>
      </c>
      <c r="DH5" s="228">
        <v>-0.13</v>
      </c>
      <c r="DI5" s="228">
        <v>24.96</v>
      </c>
      <c r="DJ5" s="228">
        <v>25.79</v>
      </c>
      <c r="DK5" s="228">
        <v>-0.83</v>
      </c>
      <c r="DL5" s="228">
        <v>-0.83</v>
      </c>
      <c r="DM5" s="228">
        <v>23.73</v>
      </c>
      <c r="DN5" s="228">
        <v>23.93</v>
      </c>
      <c r="DO5" s="228">
        <v>-0.2</v>
      </c>
      <c r="DP5" s="228">
        <v>-0.2</v>
      </c>
      <c r="DQ5" s="228">
        <v>0.54</v>
      </c>
      <c r="DR5" s="228">
        <v>0.56000000000000005</v>
      </c>
      <c r="DS5" s="228">
        <v>-0.02</v>
      </c>
      <c r="DT5" s="229">
        <v>-3.5700000000000003E-2</v>
      </c>
      <c r="DU5" s="231">
        <v>1000</v>
      </c>
      <c r="DV5" s="228">
        <v>900</v>
      </c>
      <c r="DW5" s="228">
        <v>0.35</v>
      </c>
      <c r="DX5" s="228">
        <v>0.6</v>
      </c>
      <c r="DY5" s="228">
        <v>-0.25</v>
      </c>
      <c r="DZ5" s="229">
        <v>-0.41670000000000001</v>
      </c>
      <c r="EA5" s="229">
        <v>2.2499999999999999E-2</v>
      </c>
      <c r="EB5" s="230">
        <v>407700</v>
      </c>
      <c r="EC5" s="229">
        <v>5.5999999999999999E-3</v>
      </c>
      <c r="ED5" s="229">
        <v>2.2499999999999999E-2</v>
      </c>
      <c r="EE5" s="228">
        <v>3.79</v>
      </c>
      <c r="EF5" s="229">
        <v>3.8999999999999998E-3</v>
      </c>
      <c r="EG5" s="230">
        <v>431063</v>
      </c>
      <c r="EH5" s="230">
        <v>365757</v>
      </c>
      <c r="EI5" s="229">
        <v>0.17860000000000001</v>
      </c>
      <c r="EJ5" s="229">
        <v>0.54849999999999999</v>
      </c>
      <c r="EK5" s="228">
        <v>355.09</v>
      </c>
      <c r="EL5" s="228">
        <v>116.96</v>
      </c>
      <c r="EM5" s="228">
        <v>92.24</v>
      </c>
      <c r="EN5" s="228">
        <v>24.32</v>
      </c>
      <c r="EO5" s="228">
        <v>564.29</v>
      </c>
      <c r="EP5" s="228">
        <v>743.03</v>
      </c>
      <c r="EQ5" s="228">
        <v>-178.74</v>
      </c>
      <c r="ER5" s="229">
        <v>-0.24060000000000001</v>
      </c>
      <c r="ES5" s="228">
        <v>434.08</v>
      </c>
      <c r="ET5" s="228">
        <v>212.27</v>
      </c>
      <c r="EU5" s="231">
        <v>1756.21</v>
      </c>
      <c r="EV5" s="231">
        <v>51907388</v>
      </c>
      <c r="EW5" s="231">
        <v>2402.5500000000002</v>
      </c>
      <c r="EX5" s="231">
        <v>2411.73</v>
      </c>
      <c r="EY5" s="228">
        <v>-9.18</v>
      </c>
      <c r="EZ5" s="229">
        <v>-3.8E-3</v>
      </c>
      <c r="FA5" s="229">
        <v>0.46970000000000001</v>
      </c>
      <c r="FB5" s="227" t="s">
        <v>568</v>
      </c>
      <c r="FC5">
        <f t="shared" si="0"/>
        <v>40</v>
      </c>
    </row>
    <row r="6" spans="1:159" ht="17.25" thickBot="1" x14ac:dyDescent="0.3">
      <c r="A6" s="226">
        <v>46009</v>
      </c>
      <c r="B6" s="227" t="s">
        <v>215</v>
      </c>
      <c r="C6" s="227" t="s">
        <v>159</v>
      </c>
      <c r="D6" s="228">
        <v>309</v>
      </c>
      <c r="E6" s="228">
        <v>12</v>
      </c>
      <c r="F6" s="231">
        <v>2236.5</v>
      </c>
      <c r="G6" s="231">
        <v>2241.8000000000002</v>
      </c>
      <c r="H6" s="228">
        <v>-5.3</v>
      </c>
      <c r="I6" s="229">
        <v>-2.3999999999999998E-3</v>
      </c>
      <c r="J6" s="231">
        <v>2229.3000000000002</v>
      </c>
      <c r="K6" s="231">
        <v>2232.5</v>
      </c>
      <c r="L6" s="228">
        <v>-3.2</v>
      </c>
      <c r="M6" s="229">
        <v>-1.4E-3</v>
      </c>
      <c r="N6" s="231">
        <v>2236.5</v>
      </c>
      <c r="O6" s="231">
        <v>2241.8000000000002</v>
      </c>
      <c r="P6" s="228">
        <v>-5.3</v>
      </c>
      <c r="Q6" s="229">
        <v>-2.3999999999999998E-3</v>
      </c>
      <c r="R6" s="231">
        <v>2246.1</v>
      </c>
      <c r="S6" s="231">
        <v>2250.9</v>
      </c>
      <c r="T6" s="228">
        <v>-4.8</v>
      </c>
      <c r="U6" s="229">
        <v>-2.0999999999999999E-3</v>
      </c>
      <c r="V6" s="231">
        <v>2250.6</v>
      </c>
      <c r="W6" s="231">
        <v>2258.1999999999998</v>
      </c>
      <c r="X6" s="228">
        <v>-7.6</v>
      </c>
      <c r="Y6" s="229">
        <v>-3.3999999999999998E-3</v>
      </c>
      <c r="Z6" s="228">
        <v>7.2</v>
      </c>
      <c r="AA6" s="228">
        <v>9.3000000000000007</v>
      </c>
      <c r="AB6" s="228">
        <v>-2.1</v>
      </c>
      <c r="AC6" s="229">
        <v>3.2000000000000002E-3</v>
      </c>
      <c r="AD6" s="228">
        <v>7.2</v>
      </c>
      <c r="AE6" s="228">
        <v>9.3000000000000007</v>
      </c>
      <c r="AF6" s="228">
        <v>-2.1</v>
      </c>
      <c r="AG6" s="229">
        <v>3.2000000000000002E-3</v>
      </c>
      <c r="AH6" s="228">
        <v>16.8</v>
      </c>
      <c r="AI6" s="228">
        <v>18.399999999999999</v>
      </c>
      <c r="AJ6" s="228">
        <v>-1.6</v>
      </c>
      <c r="AK6" s="229">
        <v>7.4999999999999997E-3</v>
      </c>
      <c r="AL6" s="228">
        <v>21.3</v>
      </c>
      <c r="AM6" s="228">
        <v>25.7</v>
      </c>
      <c r="AN6" s="228">
        <v>-4.4000000000000004</v>
      </c>
      <c r="AO6" s="229">
        <v>9.5999999999999992E-3</v>
      </c>
      <c r="AP6" s="231">
        <v>2238.04</v>
      </c>
      <c r="AQ6" s="231">
        <v>2246.85</v>
      </c>
      <c r="AR6" s="228">
        <v>0</v>
      </c>
      <c r="AS6" s="228">
        <v>409</v>
      </c>
      <c r="AT6" s="228">
        <v>422</v>
      </c>
      <c r="AU6" s="228">
        <v>-13</v>
      </c>
      <c r="AV6" s="229">
        <v>-3.1600000000000003E-2</v>
      </c>
      <c r="AW6" s="228">
        <v>309</v>
      </c>
      <c r="AX6" s="228">
        <v>357</v>
      </c>
      <c r="AY6" s="228">
        <v>-48</v>
      </c>
      <c r="AZ6" s="229">
        <v>-0.1346</v>
      </c>
      <c r="BA6" s="228">
        <v>93</v>
      </c>
      <c r="BB6" s="228">
        <v>52</v>
      </c>
      <c r="BC6" s="228">
        <v>42</v>
      </c>
      <c r="BD6" s="229">
        <v>0.80510000000000004</v>
      </c>
      <c r="BE6" s="228">
        <v>6</v>
      </c>
      <c r="BF6" s="228">
        <v>13</v>
      </c>
      <c r="BG6" s="228">
        <v>-7</v>
      </c>
      <c r="BH6" s="229">
        <v>-0.53480000000000005</v>
      </c>
      <c r="BI6" s="230">
        <v>1836</v>
      </c>
      <c r="BJ6" s="230">
        <v>1860</v>
      </c>
      <c r="BK6" s="228">
        <v>-24</v>
      </c>
      <c r="BL6" s="229">
        <v>-1.3100000000000001E-2</v>
      </c>
      <c r="BM6" s="228">
        <v>608</v>
      </c>
      <c r="BN6" s="228">
        <v>871</v>
      </c>
      <c r="BO6" s="228">
        <v>-262</v>
      </c>
      <c r="BP6" s="229">
        <v>-0.30149999999999999</v>
      </c>
      <c r="BQ6" s="230">
        <v>2853</v>
      </c>
      <c r="BR6" s="230">
        <v>3153</v>
      </c>
      <c r="BS6" s="228">
        <v>-300</v>
      </c>
      <c r="BT6" s="229">
        <v>-9.5200000000000007E-2</v>
      </c>
      <c r="BU6" s="230">
        <v>523988</v>
      </c>
      <c r="BV6" s="230">
        <v>675126</v>
      </c>
      <c r="BW6" s="230">
        <v>-151138</v>
      </c>
      <c r="BX6" s="229">
        <v>-0.22389999999999999</v>
      </c>
      <c r="BY6" s="230">
        <v>5091</v>
      </c>
      <c r="BZ6" s="230">
        <v>5058</v>
      </c>
      <c r="CA6" s="228">
        <v>33</v>
      </c>
      <c r="CB6" s="229">
        <v>6.4999999999999997E-3</v>
      </c>
      <c r="CC6" s="230">
        <v>4462</v>
      </c>
      <c r="CD6" s="230">
        <v>4469</v>
      </c>
      <c r="CE6" s="228">
        <v>-6</v>
      </c>
      <c r="CF6" s="229">
        <v>-1.5E-3</v>
      </c>
      <c r="CG6" s="228">
        <v>531</v>
      </c>
      <c r="CH6" s="228">
        <v>494</v>
      </c>
      <c r="CI6" s="228">
        <v>37</v>
      </c>
      <c r="CJ6" s="229">
        <v>7.5200000000000003E-2</v>
      </c>
      <c r="CK6" s="228">
        <v>98</v>
      </c>
      <c r="CL6" s="228">
        <v>96</v>
      </c>
      <c r="CM6" s="228">
        <v>2</v>
      </c>
      <c r="CN6" s="229">
        <v>2.3800000000000002E-2</v>
      </c>
      <c r="CO6" s="230">
        <v>3187</v>
      </c>
      <c r="CP6" s="230">
        <v>3215</v>
      </c>
      <c r="CQ6" s="228">
        <v>-28</v>
      </c>
      <c r="CR6" s="229">
        <v>-8.6E-3</v>
      </c>
      <c r="CS6" s="230">
        <v>1965</v>
      </c>
      <c r="CT6" s="230">
        <v>1959</v>
      </c>
      <c r="CU6" s="228">
        <v>6</v>
      </c>
      <c r="CV6" s="229">
        <v>3.0999999999999999E-3</v>
      </c>
      <c r="CW6" s="230">
        <v>10244</v>
      </c>
      <c r="CX6" s="230">
        <v>10232</v>
      </c>
      <c r="CY6" s="228">
        <v>11</v>
      </c>
      <c r="CZ6" s="229">
        <v>1.1000000000000001E-3</v>
      </c>
      <c r="DA6" s="228">
        <v>27.53</v>
      </c>
      <c r="DB6" s="228">
        <v>27.89</v>
      </c>
      <c r="DC6" s="228">
        <v>-0.36</v>
      </c>
      <c r="DD6" s="228">
        <v>-0.36</v>
      </c>
      <c r="DE6" s="228">
        <v>46.57</v>
      </c>
      <c r="DF6" s="228">
        <v>46.68</v>
      </c>
      <c r="DG6" s="228">
        <v>-19.04</v>
      </c>
      <c r="DH6" s="228">
        <v>-0.11</v>
      </c>
      <c r="DI6" s="228">
        <v>27.49</v>
      </c>
      <c r="DJ6" s="228">
        <v>28.21</v>
      </c>
      <c r="DK6" s="228">
        <v>-0.72</v>
      </c>
      <c r="DL6" s="228">
        <v>-0.72</v>
      </c>
      <c r="DM6" s="228">
        <v>27.65</v>
      </c>
      <c r="DN6" s="228">
        <v>27.22</v>
      </c>
      <c r="DO6" s="228">
        <v>0.43</v>
      </c>
      <c r="DP6" s="228">
        <v>0.43</v>
      </c>
      <c r="DQ6" s="228">
        <v>0.62</v>
      </c>
      <c r="DR6" s="228">
        <v>0.61</v>
      </c>
      <c r="DS6" s="228">
        <v>0.01</v>
      </c>
      <c r="DT6" s="229">
        <v>1.6400000000000001E-2</v>
      </c>
      <c r="DU6" s="231">
        <v>2300</v>
      </c>
      <c r="DV6" s="231">
        <v>2300</v>
      </c>
      <c r="DW6" s="228">
        <v>0.33</v>
      </c>
      <c r="DX6" s="228">
        <v>0.47</v>
      </c>
      <c r="DY6" s="228">
        <v>-0.14000000000000001</v>
      </c>
      <c r="DZ6" s="229">
        <v>-0.2979</v>
      </c>
      <c r="EA6" s="229">
        <v>0.1236</v>
      </c>
      <c r="EB6" s="230">
        <v>2637006</v>
      </c>
      <c r="EC6" s="229">
        <v>4.3E-3</v>
      </c>
      <c r="ED6" s="229">
        <v>0.1236</v>
      </c>
      <c r="EE6" s="228">
        <v>8.81</v>
      </c>
      <c r="EF6" s="229">
        <v>3.8999999999999998E-3</v>
      </c>
      <c r="EG6" s="230">
        <v>93552</v>
      </c>
      <c r="EH6" s="230">
        <v>190283</v>
      </c>
      <c r="EI6" s="229">
        <v>-0.50839999999999996</v>
      </c>
      <c r="EJ6" s="229">
        <v>0.17849999999999999</v>
      </c>
      <c r="EK6" s="231">
        <v>1926</v>
      </c>
      <c r="EL6" s="228">
        <v>599.64</v>
      </c>
      <c r="EM6" s="228">
        <v>409.38</v>
      </c>
      <c r="EN6" s="228">
        <v>85.92</v>
      </c>
      <c r="EO6" s="231">
        <v>2935.03</v>
      </c>
      <c r="EP6" s="231">
        <v>3250.28</v>
      </c>
      <c r="EQ6" s="228">
        <v>-315.25</v>
      </c>
      <c r="ER6" s="229">
        <v>-9.7000000000000003E-2</v>
      </c>
      <c r="ES6" s="231">
        <v>3383.08</v>
      </c>
      <c r="ET6" s="231">
        <v>1989.53</v>
      </c>
      <c r="EU6" s="231">
        <v>5094.1400000000003</v>
      </c>
      <c r="EV6" s="231">
        <v>30942206</v>
      </c>
      <c r="EW6" s="231">
        <v>10466.75</v>
      </c>
      <c r="EX6" s="231">
        <v>10477.450000000001</v>
      </c>
      <c r="EY6" s="228">
        <v>-10.7</v>
      </c>
      <c r="EZ6" s="229">
        <v>-1E-3</v>
      </c>
      <c r="FA6" s="229">
        <v>1.4802</v>
      </c>
      <c r="FB6" s="227" t="s">
        <v>567</v>
      </c>
      <c r="FC6">
        <f t="shared" si="0"/>
        <v>629</v>
      </c>
    </row>
    <row r="7" spans="1:159" ht="17.25" thickBot="1" x14ac:dyDescent="0.3">
      <c r="A7" s="226">
        <v>46009</v>
      </c>
      <c r="B7" s="227" t="s">
        <v>161</v>
      </c>
      <c r="C7" s="227" t="s">
        <v>606</v>
      </c>
      <c r="D7" s="228">
        <v>600</v>
      </c>
      <c r="E7" s="228">
        <v>12</v>
      </c>
      <c r="F7" s="231">
        <v>1013.9</v>
      </c>
      <c r="G7" s="231">
        <v>1023.6</v>
      </c>
      <c r="H7" s="228">
        <v>-9.6999999999999993</v>
      </c>
      <c r="I7" s="229">
        <v>-9.4999999999999998E-3</v>
      </c>
      <c r="J7" s="231">
        <v>1011</v>
      </c>
      <c r="K7" s="231">
        <v>1020.7</v>
      </c>
      <c r="L7" s="228">
        <v>-9.6999999999999993</v>
      </c>
      <c r="M7" s="229">
        <v>-9.4999999999999998E-3</v>
      </c>
      <c r="N7" s="231">
        <v>1013.9</v>
      </c>
      <c r="O7" s="231">
        <v>1023.6</v>
      </c>
      <c r="P7" s="228">
        <v>-9.6999999999999993</v>
      </c>
      <c r="Q7" s="229">
        <v>-9.4999999999999998E-3</v>
      </c>
      <c r="R7" s="231">
        <v>1020</v>
      </c>
      <c r="S7" s="231">
        <v>1029.9000000000001</v>
      </c>
      <c r="T7" s="228">
        <v>-9.9</v>
      </c>
      <c r="U7" s="229">
        <v>-9.5999999999999992E-3</v>
      </c>
      <c r="V7" s="231">
        <v>1025.5</v>
      </c>
      <c r="W7" s="231">
        <v>1036.5</v>
      </c>
      <c r="X7" s="228">
        <v>-11</v>
      </c>
      <c r="Y7" s="229">
        <v>-1.06E-2</v>
      </c>
      <c r="Z7" s="228">
        <v>2.9</v>
      </c>
      <c r="AA7" s="228">
        <v>2.9</v>
      </c>
      <c r="AB7" s="228">
        <v>0</v>
      </c>
      <c r="AC7" s="229">
        <v>2.8999999999999998E-3</v>
      </c>
      <c r="AD7" s="228">
        <v>2.9</v>
      </c>
      <c r="AE7" s="228">
        <v>2.9</v>
      </c>
      <c r="AF7" s="228">
        <v>0</v>
      </c>
      <c r="AG7" s="229">
        <v>2.8999999999999998E-3</v>
      </c>
      <c r="AH7" s="228">
        <v>9</v>
      </c>
      <c r="AI7" s="228">
        <v>9.1999999999999993</v>
      </c>
      <c r="AJ7" s="228">
        <v>-0.2</v>
      </c>
      <c r="AK7" s="229">
        <v>8.8999999999999999E-3</v>
      </c>
      <c r="AL7" s="228">
        <v>14.5</v>
      </c>
      <c r="AM7" s="228">
        <v>15.8</v>
      </c>
      <c r="AN7" s="228">
        <v>-1.3</v>
      </c>
      <c r="AO7" s="229">
        <v>1.43E-2</v>
      </c>
      <c r="AP7" s="231">
        <v>1014.54</v>
      </c>
      <c r="AQ7" s="231">
        <v>1022.14</v>
      </c>
      <c r="AR7" s="228">
        <v>0</v>
      </c>
      <c r="AS7" s="228">
        <v>274</v>
      </c>
      <c r="AT7" s="228">
        <v>192</v>
      </c>
      <c r="AU7" s="228">
        <v>81</v>
      </c>
      <c r="AV7" s="229">
        <v>0.4224</v>
      </c>
      <c r="AW7" s="228">
        <v>242</v>
      </c>
      <c r="AX7" s="228">
        <v>170</v>
      </c>
      <c r="AY7" s="228">
        <v>72</v>
      </c>
      <c r="AZ7" s="229">
        <v>0.42620000000000002</v>
      </c>
      <c r="BA7" s="228">
        <v>30</v>
      </c>
      <c r="BB7" s="228">
        <v>21</v>
      </c>
      <c r="BC7" s="228">
        <v>9</v>
      </c>
      <c r="BD7" s="229">
        <v>0.43819999999999998</v>
      </c>
      <c r="BE7" s="228">
        <v>2</v>
      </c>
      <c r="BF7" s="228">
        <v>2</v>
      </c>
      <c r="BG7" s="228">
        <v>0</v>
      </c>
      <c r="BH7" s="229">
        <v>-6.0600000000000001E-2</v>
      </c>
      <c r="BI7" s="230">
        <v>1094</v>
      </c>
      <c r="BJ7" s="228">
        <v>979</v>
      </c>
      <c r="BK7" s="228">
        <v>115</v>
      </c>
      <c r="BL7" s="229">
        <v>0.1179</v>
      </c>
      <c r="BM7" s="228">
        <v>495</v>
      </c>
      <c r="BN7" s="228">
        <v>518</v>
      </c>
      <c r="BO7" s="228">
        <v>-23</v>
      </c>
      <c r="BP7" s="229">
        <v>-4.3900000000000002E-2</v>
      </c>
      <c r="BQ7" s="230">
        <v>1863</v>
      </c>
      <c r="BR7" s="230">
        <v>1689</v>
      </c>
      <c r="BS7" s="228">
        <v>174</v>
      </c>
      <c r="BT7" s="229">
        <v>0.10299999999999999</v>
      </c>
      <c r="BU7" s="230">
        <v>1252569</v>
      </c>
      <c r="BV7" s="230">
        <v>1383030</v>
      </c>
      <c r="BW7" s="230">
        <v>-130461</v>
      </c>
      <c r="BX7" s="229">
        <v>-9.4299999999999995E-2</v>
      </c>
      <c r="BY7" s="230">
        <v>2586</v>
      </c>
      <c r="BZ7" s="230">
        <v>2598</v>
      </c>
      <c r="CA7" s="228">
        <v>-12</v>
      </c>
      <c r="CB7" s="229">
        <v>-4.4999999999999997E-3</v>
      </c>
      <c r="CC7" s="230">
        <v>2445</v>
      </c>
      <c r="CD7" s="230">
        <v>2467</v>
      </c>
      <c r="CE7" s="228">
        <v>-22</v>
      </c>
      <c r="CF7" s="229">
        <v>-9.1000000000000004E-3</v>
      </c>
      <c r="CG7" s="228">
        <v>119</v>
      </c>
      <c r="CH7" s="228">
        <v>109</v>
      </c>
      <c r="CI7" s="228">
        <v>10</v>
      </c>
      <c r="CJ7" s="229">
        <v>8.8800000000000004E-2</v>
      </c>
      <c r="CK7" s="228">
        <v>23</v>
      </c>
      <c r="CL7" s="228">
        <v>22</v>
      </c>
      <c r="CM7" s="228">
        <v>1</v>
      </c>
      <c r="CN7" s="229">
        <v>4.1599999999999998E-2</v>
      </c>
      <c r="CO7" s="230">
        <v>1243</v>
      </c>
      <c r="CP7" s="230">
        <v>1288</v>
      </c>
      <c r="CQ7" s="228">
        <v>-44</v>
      </c>
      <c r="CR7" s="229">
        <v>-3.4500000000000003E-2</v>
      </c>
      <c r="CS7" s="228">
        <v>670</v>
      </c>
      <c r="CT7" s="228">
        <v>690</v>
      </c>
      <c r="CU7" s="228">
        <v>-20</v>
      </c>
      <c r="CV7" s="229">
        <v>-2.9600000000000001E-2</v>
      </c>
      <c r="CW7" s="230">
        <v>4499</v>
      </c>
      <c r="CX7" s="230">
        <v>4576</v>
      </c>
      <c r="CY7" s="228">
        <v>-77</v>
      </c>
      <c r="CZ7" s="229">
        <v>-1.6799999999999999E-2</v>
      </c>
      <c r="DA7" s="228">
        <v>29.25</v>
      </c>
      <c r="DB7" s="228">
        <v>29.61</v>
      </c>
      <c r="DC7" s="228">
        <v>-0.36</v>
      </c>
      <c r="DD7" s="228">
        <v>-0.36</v>
      </c>
      <c r="DE7" s="228">
        <v>55.63</v>
      </c>
      <c r="DF7" s="228">
        <v>55.76</v>
      </c>
      <c r="DG7" s="228">
        <v>-26.38</v>
      </c>
      <c r="DH7" s="228">
        <v>-0.13</v>
      </c>
      <c r="DI7" s="228">
        <v>29.98</v>
      </c>
      <c r="DJ7" s="228">
        <v>30.45</v>
      </c>
      <c r="DK7" s="228">
        <v>-0.47</v>
      </c>
      <c r="DL7" s="228">
        <v>-0.47</v>
      </c>
      <c r="DM7" s="228">
        <v>27.64</v>
      </c>
      <c r="DN7" s="228">
        <v>28.03</v>
      </c>
      <c r="DO7" s="228">
        <v>-0.39</v>
      </c>
      <c r="DP7" s="228">
        <v>-0.39</v>
      </c>
      <c r="DQ7" s="228">
        <v>0.54</v>
      </c>
      <c r="DR7" s="228">
        <v>0.54</v>
      </c>
      <c r="DS7" s="228">
        <v>0</v>
      </c>
      <c r="DT7" s="229">
        <v>0</v>
      </c>
      <c r="DU7" s="231">
        <v>1100</v>
      </c>
      <c r="DV7" s="231">
        <v>1000</v>
      </c>
      <c r="DW7" s="228">
        <v>0.45</v>
      </c>
      <c r="DX7" s="228">
        <v>0.53</v>
      </c>
      <c r="DY7" s="228">
        <v>-0.08</v>
      </c>
      <c r="DZ7" s="229">
        <v>-0.15090000000000001</v>
      </c>
      <c r="EA7" s="229">
        <v>5.4699999999999999E-2</v>
      </c>
      <c r="EB7" s="230">
        <v>1291200</v>
      </c>
      <c r="EC7" s="229">
        <v>6.0000000000000001E-3</v>
      </c>
      <c r="ED7" s="229">
        <v>5.4699999999999999E-2</v>
      </c>
      <c r="EE7" s="228">
        <v>7.6</v>
      </c>
      <c r="EF7" s="229">
        <v>7.4999999999999997E-3</v>
      </c>
      <c r="EG7" s="230">
        <v>456534</v>
      </c>
      <c r="EH7" s="230">
        <v>500496</v>
      </c>
      <c r="EI7" s="229">
        <v>-8.7800000000000003E-2</v>
      </c>
      <c r="EJ7" s="229">
        <v>0.36449999999999999</v>
      </c>
      <c r="EK7" s="231">
        <v>1160.98</v>
      </c>
      <c r="EL7" s="228">
        <v>489.63</v>
      </c>
      <c r="EM7" s="228">
        <v>274.11</v>
      </c>
      <c r="EN7" s="228">
        <v>73.959999999999994</v>
      </c>
      <c r="EO7" s="231">
        <v>1924.72</v>
      </c>
      <c r="EP7" s="231">
        <v>1766.78</v>
      </c>
      <c r="EQ7" s="228">
        <v>157.94</v>
      </c>
      <c r="ER7" s="229">
        <v>8.9399999999999993E-2</v>
      </c>
      <c r="ES7" s="231">
        <v>1338.91</v>
      </c>
      <c r="ET7" s="228">
        <v>664.1</v>
      </c>
      <c r="EU7" s="231">
        <v>2587.09</v>
      </c>
      <c r="EV7" s="231">
        <v>61877951</v>
      </c>
      <c r="EW7" s="231">
        <v>4590.1000000000004</v>
      </c>
      <c r="EX7" s="231">
        <v>4697.71</v>
      </c>
      <c r="EY7" s="228">
        <v>-107.61</v>
      </c>
      <c r="EZ7" s="229">
        <v>-2.29E-2</v>
      </c>
      <c r="FA7" s="229">
        <v>0.71709999999999996</v>
      </c>
      <c r="FB7" s="227" t="s">
        <v>568</v>
      </c>
      <c r="FC7">
        <f t="shared" si="0"/>
        <v>141</v>
      </c>
    </row>
    <row r="8" spans="1:159" ht="17.25" thickBot="1" x14ac:dyDescent="0.3">
      <c r="A8" s="226">
        <v>46009</v>
      </c>
      <c r="B8" s="227" t="s">
        <v>215</v>
      </c>
      <c r="C8" s="227" t="s">
        <v>160</v>
      </c>
      <c r="D8" s="228">
        <v>475</v>
      </c>
      <c r="E8" s="228">
        <v>12</v>
      </c>
      <c r="F8" s="231">
        <v>1499.4</v>
      </c>
      <c r="G8" s="231">
        <v>1491.8</v>
      </c>
      <c r="H8" s="228">
        <v>7.6</v>
      </c>
      <c r="I8" s="229">
        <v>5.1000000000000004E-3</v>
      </c>
      <c r="J8" s="231">
        <v>1495.7</v>
      </c>
      <c r="K8" s="231">
        <v>1486.3</v>
      </c>
      <c r="L8" s="228">
        <v>9.4</v>
      </c>
      <c r="M8" s="229">
        <v>6.3E-3</v>
      </c>
      <c r="N8" s="231">
        <v>1499.4</v>
      </c>
      <c r="O8" s="231">
        <v>1491.8</v>
      </c>
      <c r="P8" s="228">
        <v>7.6</v>
      </c>
      <c r="Q8" s="229">
        <v>5.1000000000000004E-3</v>
      </c>
      <c r="R8" s="231">
        <v>1508.7</v>
      </c>
      <c r="S8" s="231">
        <v>1500.1</v>
      </c>
      <c r="T8" s="228">
        <v>8.6</v>
      </c>
      <c r="U8" s="229">
        <v>5.7000000000000002E-3</v>
      </c>
      <c r="V8" s="231">
        <v>1516.7</v>
      </c>
      <c r="W8" s="231">
        <v>1509.8</v>
      </c>
      <c r="X8" s="228">
        <v>6.9</v>
      </c>
      <c r="Y8" s="229">
        <v>4.5999999999999999E-3</v>
      </c>
      <c r="Z8" s="228">
        <v>3.7</v>
      </c>
      <c r="AA8" s="228">
        <v>5.5</v>
      </c>
      <c r="AB8" s="228">
        <v>-1.8</v>
      </c>
      <c r="AC8" s="229">
        <v>2.5000000000000001E-3</v>
      </c>
      <c r="AD8" s="228">
        <v>3.7</v>
      </c>
      <c r="AE8" s="228">
        <v>5.5</v>
      </c>
      <c r="AF8" s="228">
        <v>-1.8</v>
      </c>
      <c r="AG8" s="229">
        <v>2.5000000000000001E-3</v>
      </c>
      <c r="AH8" s="228">
        <v>13</v>
      </c>
      <c r="AI8" s="228">
        <v>13.8</v>
      </c>
      <c r="AJ8" s="228">
        <v>-0.8</v>
      </c>
      <c r="AK8" s="229">
        <v>8.6999999999999994E-3</v>
      </c>
      <c r="AL8" s="228">
        <v>21</v>
      </c>
      <c r="AM8" s="228">
        <v>23.5</v>
      </c>
      <c r="AN8" s="228">
        <v>-2.5</v>
      </c>
      <c r="AO8" s="229">
        <v>1.4E-2</v>
      </c>
      <c r="AP8" s="231">
        <v>1493.09</v>
      </c>
      <c r="AQ8" s="231">
        <v>1502.44</v>
      </c>
      <c r="AR8" s="228">
        <v>0</v>
      </c>
      <c r="AS8" s="228">
        <v>374</v>
      </c>
      <c r="AT8" s="228">
        <v>247</v>
      </c>
      <c r="AU8" s="228">
        <v>127</v>
      </c>
      <c r="AV8" s="229">
        <v>0.51180000000000003</v>
      </c>
      <c r="AW8" s="228">
        <v>283</v>
      </c>
      <c r="AX8" s="228">
        <v>187</v>
      </c>
      <c r="AY8" s="228">
        <v>96</v>
      </c>
      <c r="AZ8" s="229">
        <v>0.51580000000000004</v>
      </c>
      <c r="BA8" s="228">
        <v>87</v>
      </c>
      <c r="BB8" s="228">
        <v>57</v>
      </c>
      <c r="BC8" s="228">
        <v>31</v>
      </c>
      <c r="BD8" s="229">
        <v>0.54020000000000001</v>
      </c>
      <c r="BE8" s="228">
        <v>4</v>
      </c>
      <c r="BF8" s="228">
        <v>4</v>
      </c>
      <c r="BG8" s="228">
        <v>0</v>
      </c>
      <c r="BH8" s="229">
        <v>-7.0199999999999999E-2</v>
      </c>
      <c r="BI8" s="230">
        <v>1163</v>
      </c>
      <c r="BJ8" s="230">
        <v>1064</v>
      </c>
      <c r="BK8" s="228">
        <v>99</v>
      </c>
      <c r="BL8" s="229">
        <v>9.2999999999999999E-2</v>
      </c>
      <c r="BM8" s="228">
        <v>442</v>
      </c>
      <c r="BN8" s="228">
        <v>480</v>
      </c>
      <c r="BO8" s="228">
        <v>-38</v>
      </c>
      <c r="BP8" s="229">
        <v>-7.9200000000000007E-2</v>
      </c>
      <c r="BQ8" s="230">
        <v>1979</v>
      </c>
      <c r="BR8" s="230">
        <v>1791</v>
      </c>
      <c r="BS8" s="228">
        <v>187</v>
      </c>
      <c r="BT8" s="229">
        <v>0.1046</v>
      </c>
      <c r="BU8" s="230">
        <v>716887</v>
      </c>
      <c r="BV8" s="230">
        <v>1004997</v>
      </c>
      <c r="BW8" s="230">
        <v>-288110</v>
      </c>
      <c r="BX8" s="229">
        <v>-0.28670000000000001</v>
      </c>
      <c r="BY8" s="230">
        <v>3617</v>
      </c>
      <c r="BZ8" s="230">
        <v>3565</v>
      </c>
      <c r="CA8" s="228">
        <v>52</v>
      </c>
      <c r="CB8" s="229">
        <v>1.4500000000000001E-2</v>
      </c>
      <c r="CC8" s="230">
        <v>3212</v>
      </c>
      <c r="CD8" s="230">
        <v>3219</v>
      </c>
      <c r="CE8" s="228">
        <v>-7</v>
      </c>
      <c r="CF8" s="229">
        <v>-2.0999999999999999E-3</v>
      </c>
      <c r="CG8" s="228">
        <v>364</v>
      </c>
      <c r="CH8" s="228">
        <v>306</v>
      </c>
      <c r="CI8" s="228">
        <v>58</v>
      </c>
      <c r="CJ8" s="229">
        <v>0.18870000000000001</v>
      </c>
      <c r="CK8" s="228">
        <v>40</v>
      </c>
      <c r="CL8" s="228">
        <v>40</v>
      </c>
      <c r="CM8" s="228">
        <v>1</v>
      </c>
      <c r="CN8" s="229">
        <v>2.1600000000000001E-2</v>
      </c>
      <c r="CO8" s="230">
        <v>1410</v>
      </c>
      <c r="CP8" s="230">
        <v>1411</v>
      </c>
      <c r="CQ8" s="228">
        <v>-1</v>
      </c>
      <c r="CR8" s="229">
        <v>-1E-3</v>
      </c>
      <c r="CS8" s="228">
        <v>712</v>
      </c>
      <c r="CT8" s="228">
        <v>691</v>
      </c>
      <c r="CU8" s="228">
        <v>20</v>
      </c>
      <c r="CV8" s="229">
        <v>2.92E-2</v>
      </c>
      <c r="CW8" s="230">
        <v>5738</v>
      </c>
      <c r="CX8" s="230">
        <v>5667</v>
      </c>
      <c r="CY8" s="228">
        <v>71</v>
      </c>
      <c r="CZ8" s="229">
        <v>1.2500000000000001E-2</v>
      </c>
      <c r="DA8" s="228">
        <v>20.32</v>
      </c>
      <c r="DB8" s="228">
        <v>20.86</v>
      </c>
      <c r="DC8" s="228">
        <v>-0.54</v>
      </c>
      <c r="DD8" s="228">
        <v>-0.54</v>
      </c>
      <c r="DE8" s="228">
        <v>36.020000000000003</v>
      </c>
      <c r="DF8" s="228">
        <v>36.1</v>
      </c>
      <c r="DG8" s="228">
        <v>-15.7</v>
      </c>
      <c r="DH8" s="228">
        <v>-0.08</v>
      </c>
      <c r="DI8" s="228">
        <v>20.32</v>
      </c>
      <c r="DJ8" s="228">
        <v>21.32</v>
      </c>
      <c r="DK8" s="228">
        <v>-1</v>
      </c>
      <c r="DL8" s="228">
        <v>-1</v>
      </c>
      <c r="DM8" s="228">
        <v>20.309999999999999</v>
      </c>
      <c r="DN8" s="228">
        <v>19.84</v>
      </c>
      <c r="DO8" s="228">
        <v>0.47</v>
      </c>
      <c r="DP8" s="228">
        <v>0.47</v>
      </c>
      <c r="DQ8" s="228">
        <v>0.5</v>
      </c>
      <c r="DR8" s="228">
        <v>0.49</v>
      </c>
      <c r="DS8" s="228">
        <v>0.01</v>
      </c>
      <c r="DT8" s="229">
        <v>2.0400000000000001E-2</v>
      </c>
      <c r="DU8" s="231">
        <v>1600</v>
      </c>
      <c r="DV8" s="231">
        <v>1500</v>
      </c>
      <c r="DW8" s="228">
        <v>0.38</v>
      </c>
      <c r="DX8" s="228">
        <v>0.45</v>
      </c>
      <c r="DY8" s="228">
        <v>-7.0000000000000007E-2</v>
      </c>
      <c r="DZ8" s="229">
        <v>-0.15559999999999999</v>
      </c>
      <c r="EA8" s="229">
        <v>0.1119</v>
      </c>
      <c r="EB8" s="230">
        <v>2308025</v>
      </c>
      <c r="EC8" s="229">
        <v>6.1999999999999998E-3</v>
      </c>
      <c r="ED8" s="229">
        <v>0.1119</v>
      </c>
      <c r="EE8" s="228">
        <v>9.35</v>
      </c>
      <c r="EF8" s="229">
        <v>6.3E-3</v>
      </c>
      <c r="EG8" s="230">
        <v>304655</v>
      </c>
      <c r="EH8" s="230">
        <v>560736</v>
      </c>
      <c r="EI8" s="229">
        <v>-0.45669999999999999</v>
      </c>
      <c r="EJ8" s="229">
        <v>0.42499999999999999</v>
      </c>
      <c r="EK8" s="231">
        <v>1195.73</v>
      </c>
      <c r="EL8" s="228">
        <v>434.03</v>
      </c>
      <c r="EM8" s="228">
        <v>372.85</v>
      </c>
      <c r="EN8" s="228">
        <v>42.46</v>
      </c>
      <c r="EO8" s="231">
        <v>2002.61</v>
      </c>
      <c r="EP8" s="231">
        <v>1825.39</v>
      </c>
      <c r="EQ8" s="228">
        <v>177.22</v>
      </c>
      <c r="ER8" s="229">
        <v>9.7100000000000006E-2</v>
      </c>
      <c r="ES8" s="231">
        <v>1465.86</v>
      </c>
      <c r="ET8" s="228">
        <v>688.48</v>
      </c>
      <c r="EU8" s="231">
        <v>3619.5</v>
      </c>
      <c r="EV8" s="231">
        <v>73799006</v>
      </c>
      <c r="EW8" s="231">
        <v>5773.83</v>
      </c>
      <c r="EX8" s="231">
        <v>5686.86</v>
      </c>
      <c r="EY8" s="228">
        <v>86.97</v>
      </c>
      <c r="EZ8" s="229">
        <v>1.5299999999999999E-2</v>
      </c>
      <c r="FA8" s="229">
        <v>0.51859999999999995</v>
      </c>
      <c r="FB8" s="227" t="s">
        <v>555</v>
      </c>
      <c r="FC8">
        <f t="shared" si="0"/>
        <v>405</v>
      </c>
    </row>
    <row r="9" spans="1:159" ht="17.25" thickBot="1" x14ac:dyDescent="0.3">
      <c r="A9" s="226">
        <v>46009</v>
      </c>
      <c r="B9" s="227" t="s">
        <v>170</v>
      </c>
      <c r="C9" s="227" t="s">
        <v>497</v>
      </c>
      <c r="D9" s="228">
        <v>125</v>
      </c>
      <c r="E9" s="228">
        <v>12</v>
      </c>
      <c r="F9" s="231">
        <v>5533</v>
      </c>
      <c r="G9" s="231">
        <v>5635.5</v>
      </c>
      <c r="H9" s="228">
        <v>-102.5</v>
      </c>
      <c r="I9" s="229">
        <v>-1.8200000000000001E-2</v>
      </c>
      <c r="J9" s="231">
        <v>5521</v>
      </c>
      <c r="K9" s="231">
        <v>5628.5</v>
      </c>
      <c r="L9" s="228">
        <v>-107.5</v>
      </c>
      <c r="M9" s="229">
        <v>-1.9099999999999999E-2</v>
      </c>
      <c r="N9" s="231">
        <v>5533</v>
      </c>
      <c r="O9" s="231">
        <v>5635.5</v>
      </c>
      <c r="P9" s="228">
        <v>-102.5</v>
      </c>
      <c r="Q9" s="229">
        <v>-1.8200000000000001E-2</v>
      </c>
      <c r="R9" s="231">
        <v>5573</v>
      </c>
      <c r="S9" s="231">
        <v>5666.5</v>
      </c>
      <c r="T9" s="228">
        <v>-93.5</v>
      </c>
      <c r="U9" s="229">
        <v>-1.6500000000000001E-2</v>
      </c>
      <c r="V9" s="231">
        <v>5652</v>
      </c>
      <c r="W9" s="231">
        <v>5657.5</v>
      </c>
      <c r="X9" s="228">
        <v>-5.5</v>
      </c>
      <c r="Y9" s="229">
        <v>-1E-3</v>
      </c>
      <c r="Z9" s="228">
        <v>12</v>
      </c>
      <c r="AA9" s="228">
        <v>7</v>
      </c>
      <c r="AB9" s="228">
        <v>5</v>
      </c>
      <c r="AC9" s="229">
        <v>2.2000000000000001E-3</v>
      </c>
      <c r="AD9" s="228">
        <v>12</v>
      </c>
      <c r="AE9" s="228">
        <v>7</v>
      </c>
      <c r="AF9" s="228">
        <v>5</v>
      </c>
      <c r="AG9" s="229">
        <v>2.2000000000000001E-3</v>
      </c>
      <c r="AH9" s="228">
        <v>52</v>
      </c>
      <c r="AI9" s="228">
        <v>38</v>
      </c>
      <c r="AJ9" s="228">
        <v>14</v>
      </c>
      <c r="AK9" s="229">
        <v>9.4000000000000004E-3</v>
      </c>
      <c r="AL9" s="228">
        <v>131</v>
      </c>
      <c r="AM9" s="228">
        <v>29</v>
      </c>
      <c r="AN9" s="228">
        <v>102</v>
      </c>
      <c r="AO9" s="229">
        <v>2.3699999999999999E-2</v>
      </c>
      <c r="AP9" s="231">
        <v>5569.89</v>
      </c>
      <c r="AQ9" s="231">
        <v>5609.51</v>
      </c>
      <c r="AR9" s="228">
        <v>0</v>
      </c>
      <c r="AS9" s="228">
        <v>115</v>
      </c>
      <c r="AT9" s="228">
        <v>125</v>
      </c>
      <c r="AU9" s="228">
        <v>-10</v>
      </c>
      <c r="AV9" s="229">
        <v>-7.8799999999999995E-2</v>
      </c>
      <c r="AW9" s="228">
        <v>95</v>
      </c>
      <c r="AX9" s="228">
        <v>93</v>
      </c>
      <c r="AY9" s="228">
        <v>2</v>
      </c>
      <c r="AZ9" s="229">
        <v>2.3900000000000001E-2</v>
      </c>
      <c r="BA9" s="228">
        <v>20</v>
      </c>
      <c r="BB9" s="228">
        <v>32</v>
      </c>
      <c r="BC9" s="228">
        <v>-12</v>
      </c>
      <c r="BD9" s="229">
        <v>-0.37880000000000003</v>
      </c>
      <c r="BE9" s="228">
        <v>0</v>
      </c>
      <c r="BF9" s="228">
        <v>0</v>
      </c>
      <c r="BG9" s="228">
        <v>0</v>
      </c>
      <c r="BH9" s="229">
        <v>0</v>
      </c>
      <c r="BI9" s="228">
        <v>134</v>
      </c>
      <c r="BJ9" s="228">
        <v>167</v>
      </c>
      <c r="BK9" s="228">
        <v>-33</v>
      </c>
      <c r="BL9" s="229">
        <v>-0.1993</v>
      </c>
      <c r="BM9" s="228">
        <v>121</v>
      </c>
      <c r="BN9" s="228">
        <v>70</v>
      </c>
      <c r="BO9" s="228">
        <v>52</v>
      </c>
      <c r="BP9" s="229">
        <v>0.74180000000000001</v>
      </c>
      <c r="BQ9" s="228">
        <v>370</v>
      </c>
      <c r="BR9" s="228">
        <v>361</v>
      </c>
      <c r="BS9" s="228">
        <v>9</v>
      </c>
      <c r="BT9" s="229">
        <v>2.3800000000000002E-2</v>
      </c>
      <c r="BU9" s="230">
        <v>35179</v>
      </c>
      <c r="BV9" s="230">
        <v>36685</v>
      </c>
      <c r="BW9" s="230">
        <v>-1506</v>
      </c>
      <c r="BX9" s="229">
        <v>-4.1099999999999998E-2</v>
      </c>
      <c r="BY9" s="228">
        <v>880</v>
      </c>
      <c r="BZ9" s="228">
        <v>883</v>
      </c>
      <c r="CA9" s="228">
        <v>-2</v>
      </c>
      <c r="CB9" s="229">
        <v>-2.7000000000000001E-3</v>
      </c>
      <c r="CC9" s="228">
        <v>835</v>
      </c>
      <c r="CD9" s="228">
        <v>851</v>
      </c>
      <c r="CE9" s="228">
        <v>-16</v>
      </c>
      <c r="CF9" s="229">
        <v>-1.89E-2</v>
      </c>
      <c r="CG9" s="228">
        <v>45</v>
      </c>
      <c r="CH9" s="228">
        <v>32</v>
      </c>
      <c r="CI9" s="228">
        <v>14</v>
      </c>
      <c r="CJ9" s="229">
        <v>0.43009999999999998</v>
      </c>
      <c r="CK9" s="228">
        <v>1</v>
      </c>
      <c r="CL9" s="228">
        <v>0</v>
      </c>
      <c r="CM9" s="228">
        <v>0</v>
      </c>
      <c r="CN9" s="229">
        <v>0.1429</v>
      </c>
      <c r="CO9" s="228">
        <v>151</v>
      </c>
      <c r="CP9" s="228">
        <v>140</v>
      </c>
      <c r="CQ9" s="228">
        <v>11</v>
      </c>
      <c r="CR9" s="229">
        <v>7.8700000000000006E-2</v>
      </c>
      <c r="CS9" s="228">
        <v>93</v>
      </c>
      <c r="CT9" s="228">
        <v>90</v>
      </c>
      <c r="CU9" s="228">
        <v>2</v>
      </c>
      <c r="CV9" s="229">
        <v>2.3699999999999999E-2</v>
      </c>
      <c r="CW9" s="230">
        <v>1124</v>
      </c>
      <c r="CX9" s="230">
        <v>1113</v>
      </c>
      <c r="CY9" s="228">
        <v>11</v>
      </c>
      <c r="CZ9" s="229">
        <v>9.7000000000000003E-3</v>
      </c>
      <c r="DA9" s="228">
        <v>18.079999999999998</v>
      </c>
      <c r="DB9" s="228">
        <v>17.5</v>
      </c>
      <c r="DC9" s="228">
        <v>0.57999999999999996</v>
      </c>
      <c r="DD9" s="228">
        <v>0.57999999999999996</v>
      </c>
      <c r="DE9" s="228">
        <v>26.08</v>
      </c>
      <c r="DF9" s="228">
        <v>26.03</v>
      </c>
      <c r="DG9" s="228">
        <v>-8</v>
      </c>
      <c r="DH9" s="228">
        <v>0.05</v>
      </c>
      <c r="DI9" s="228">
        <v>17.59</v>
      </c>
      <c r="DJ9" s="228">
        <v>16.97</v>
      </c>
      <c r="DK9" s="228">
        <v>0.62</v>
      </c>
      <c r="DL9" s="228">
        <v>0.62</v>
      </c>
      <c r="DM9" s="228">
        <v>18.61</v>
      </c>
      <c r="DN9" s="228">
        <v>18.78</v>
      </c>
      <c r="DO9" s="228">
        <v>-0.17</v>
      </c>
      <c r="DP9" s="228">
        <v>-0.17</v>
      </c>
      <c r="DQ9" s="228">
        <v>0.61</v>
      </c>
      <c r="DR9" s="228">
        <v>0.65</v>
      </c>
      <c r="DS9" s="228">
        <v>-0.04</v>
      </c>
      <c r="DT9" s="229">
        <v>-6.1499999999999999E-2</v>
      </c>
      <c r="DU9" s="231">
        <v>5800</v>
      </c>
      <c r="DV9" s="231">
        <v>5500</v>
      </c>
      <c r="DW9" s="228">
        <v>0.91</v>
      </c>
      <c r="DX9" s="228">
        <v>0.42</v>
      </c>
      <c r="DY9" s="228">
        <v>0.49</v>
      </c>
      <c r="DZ9" s="229">
        <v>1.1667000000000001</v>
      </c>
      <c r="EA9" s="229">
        <v>5.21E-2</v>
      </c>
      <c r="EB9" s="230">
        <v>58125</v>
      </c>
      <c r="EC9" s="229">
        <v>7.1999999999999998E-3</v>
      </c>
      <c r="ED9" s="229">
        <v>5.21E-2</v>
      </c>
      <c r="EE9" s="228">
        <v>39.619999999999997</v>
      </c>
      <c r="EF9" s="229">
        <v>7.1000000000000004E-3</v>
      </c>
      <c r="EG9" s="230">
        <v>13772</v>
      </c>
      <c r="EH9" s="230">
        <v>19318</v>
      </c>
      <c r="EI9" s="229">
        <v>-0.28710000000000002</v>
      </c>
      <c r="EJ9" s="229">
        <v>0.39150000000000001</v>
      </c>
      <c r="EK9" s="228">
        <v>138.6</v>
      </c>
      <c r="EL9" s="228">
        <v>119.88</v>
      </c>
      <c r="EM9" s="228">
        <v>115.65</v>
      </c>
      <c r="EN9" s="228">
        <v>8.56</v>
      </c>
      <c r="EO9" s="228">
        <v>374.14</v>
      </c>
      <c r="EP9" s="228">
        <v>370.92</v>
      </c>
      <c r="EQ9" s="228">
        <v>3.22</v>
      </c>
      <c r="ER9" s="229">
        <v>8.6999999999999994E-3</v>
      </c>
      <c r="ES9" s="228">
        <v>158.31</v>
      </c>
      <c r="ET9" s="228">
        <v>92.14</v>
      </c>
      <c r="EU9" s="228">
        <v>880.71</v>
      </c>
      <c r="EV9" s="231">
        <v>6130387</v>
      </c>
      <c r="EW9" s="231">
        <v>1131.1600000000001</v>
      </c>
      <c r="EX9" s="231">
        <v>1136.57</v>
      </c>
      <c r="EY9" s="228">
        <v>-5.41</v>
      </c>
      <c r="EZ9" s="229">
        <v>-4.7999999999999996E-3</v>
      </c>
      <c r="FA9" s="229">
        <v>0.33129999999999998</v>
      </c>
      <c r="FB9" s="227" t="s">
        <v>568</v>
      </c>
      <c r="FC9">
        <f t="shared" si="0"/>
        <v>45</v>
      </c>
    </row>
    <row r="10" spans="1:159" ht="17.25" thickBot="1" x14ac:dyDescent="0.3">
      <c r="A10" s="226">
        <v>46009</v>
      </c>
      <c r="B10" s="227" t="s">
        <v>184</v>
      </c>
      <c r="C10" s="227" t="s">
        <v>682</v>
      </c>
      <c r="D10" s="228">
        <v>100</v>
      </c>
      <c r="E10" s="228">
        <v>12</v>
      </c>
      <c r="F10" s="231">
        <v>6595</v>
      </c>
      <c r="G10" s="231">
        <v>6600</v>
      </c>
      <c r="H10" s="228">
        <v>-5</v>
      </c>
      <c r="I10" s="229">
        <v>-8.0000000000000004E-4</v>
      </c>
      <c r="J10" s="231">
        <v>6585.5</v>
      </c>
      <c r="K10" s="231">
        <v>6580.5</v>
      </c>
      <c r="L10" s="228">
        <v>5</v>
      </c>
      <c r="M10" s="229">
        <v>8.0000000000000004E-4</v>
      </c>
      <c r="N10" s="231">
        <v>6595</v>
      </c>
      <c r="O10" s="231">
        <v>6600</v>
      </c>
      <c r="P10" s="228">
        <v>-5</v>
      </c>
      <c r="Q10" s="229">
        <v>-8.0000000000000004E-4</v>
      </c>
      <c r="R10" s="231">
        <v>6521.5</v>
      </c>
      <c r="S10" s="231">
        <v>6528.5</v>
      </c>
      <c r="T10" s="228">
        <v>-7</v>
      </c>
      <c r="U10" s="229">
        <v>-1.1000000000000001E-3</v>
      </c>
      <c r="V10" s="231">
        <v>6500</v>
      </c>
      <c r="W10" s="231">
        <v>6460.5</v>
      </c>
      <c r="X10" s="228">
        <v>39.5</v>
      </c>
      <c r="Y10" s="229">
        <v>6.1000000000000004E-3</v>
      </c>
      <c r="Z10" s="228">
        <v>9.5</v>
      </c>
      <c r="AA10" s="228">
        <v>19.5</v>
      </c>
      <c r="AB10" s="228">
        <v>-10</v>
      </c>
      <c r="AC10" s="229">
        <v>1.4E-3</v>
      </c>
      <c r="AD10" s="228">
        <v>9.5</v>
      </c>
      <c r="AE10" s="228">
        <v>19.5</v>
      </c>
      <c r="AF10" s="228">
        <v>-10</v>
      </c>
      <c r="AG10" s="229">
        <v>1.4E-3</v>
      </c>
      <c r="AH10" s="228">
        <v>-64</v>
      </c>
      <c r="AI10" s="228">
        <v>-52</v>
      </c>
      <c r="AJ10" s="228">
        <v>-12</v>
      </c>
      <c r="AK10" s="229">
        <v>-9.7000000000000003E-3</v>
      </c>
      <c r="AL10" s="228">
        <v>-85.5</v>
      </c>
      <c r="AM10" s="228">
        <v>-120</v>
      </c>
      <c r="AN10" s="228">
        <v>34.5</v>
      </c>
      <c r="AO10" s="229">
        <v>-1.2999999999999999E-2</v>
      </c>
      <c r="AP10" s="231">
        <v>6586.28</v>
      </c>
      <c r="AQ10" s="231">
        <v>6516.54</v>
      </c>
      <c r="AR10" s="228">
        <v>0</v>
      </c>
      <c r="AS10" s="228">
        <v>129</v>
      </c>
      <c r="AT10" s="228">
        <v>222</v>
      </c>
      <c r="AU10" s="228">
        <v>-93</v>
      </c>
      <c r="AV10" s="229">
        <v>-0.42009999999999997</v>
      </c>
      <c r="AW10" s="228">
        <v>102</v>
      </c>
      <c r="AX10" s="228">
        <v>188</v>
      </c>
      <c r="AY10" s="228">
        <v>-86</v>
      </c>
      <c r="AZ10" s="229">
        <v>-0.45860000000000001</v>
      </c>
      <c r="BA10" s="228">
        <v>27</v>
      </c>
      <c r="BB10" s="228">
        <v>33</v>
      </c>
      <c r="BC10" s="228">
        <v>-6</v>
      </c>
      <c r="BD10" s="229">
        <v>-0.18790000000000001</v>
      </c>
      <c r="BE10" s="228">
        <v>0</v>
      </c>
      <c r="BF10" s="228">
        <v>1</v>
      </c>
      <c r="BG10" s="228">
        <v>-1</v>
      </c>
      <c r="BH10" s="229">
        <v>-0.75</v>
      </c>
      <c r="BI10" s="228">
        <v>597</v>
      </c>
      <c r="BJ10" s="230">
        <v>1093</v>
      </c>
      <c r="BK10" s="228">
        <v>-496</v>
      </c>
      <c r="BL10" s="229">
        <v>-0.4536</v>
      </c>
      <c r="BM10" s="228">
        <v>422</v>
      </c>
      <c r="BN10" s="228">
        <v>869</v>
      </c>
      <c r="BO10" s="228">
        <v>-447</v>
      </c>
      <c r="BP10" s="229">
        <v>-0.51459999999999995</v>
      </c>
      <c r="BQ10" s="230">
        <v>1147</v>
      </c>
      <c r="BR10" s="230">
        <v>2184</v>
      </c>
      <c r="BS10" s="230">
        <v>-1036</v>
      </c>
      <c r="BT10" s="229">
        <v>-0.47449999999999998</v>
      </c>
      <c r="BU10" s="230">
        <v>151992</v>
      </c>
      <c r="BV10" s="230">
        <v>250852</v>
      </c>
      <c r="BW10" s="230">
        <v>-98860</v>
      </c>
      <c r="BX10" s="229">
        <v>-0.39410000000000001</v>
      </c>
      <c r="BY10" s="228">
        <v>763</v>
      </c>
      <c r="BZ10" s="228">
        <v>775</v>
      </c>
      <c r="CA10" s="228">
        <v>-12</v>
      </c>
      <c r="CB10" s="229">
        <v>-1.55E-2</v>
      </c>
      <c r="CC10" s="228">
        <v>644</v>
      </c>
      <c r="CD10" s="228">
        <v>663</v>
      </c>
      <c r="CE10" s="228">
        <v>-19</v>
      </c>
      <c r="CF10" s="229">
        <v>-2.9000000000000001E-2</v>
      </c>
      <c r="CG10" s="228">
        <v>113</v>
      </c>
      <c r="CH10" s="228">
        <v>106</v>
      </c>
      <c r="CI10" s="228">
        <v>7</v>
      </c>
      <c r="CJ10" s="229">
        <v>6.6299999999999998E-2</v>
      </c>
      <c r="CK10" s="228">
        <v>6</v>
      </c>
      <c r="CL10" s="228">
        <v>6</v>
      </c>
      <c r="CM10" s="228">
        <v>0</v>
      </c>
      <c r="CN10" s="229">
        <v>3.3300000000000003E-2</v>
      </c>
      <c r="CO10" s="228">
        <v>771</v>
      </c>
      <c r="CP10" s="228">
        <v>777</v>
      </c>
      <c r="CQ10" s="228">
        <v>-6</v>
      </c>
      <c r="CR10" s="229">
        <v>-7.6E-3</v>
      </c>
      <c r="CS10" s="228">
        <v>528</v>
      </c>
      <c r="CT10" s="228">
        <v>515</v>
      </c>
      <c r="CU10" s="228">
        <v>13</v>
      </c>
      <c r="CV10" s="229">
        <v>2.52E-2</v>
      </c>
      <c r="CW10" s="230">
        <v>2063</v>
      </c>
      <c r="CX10" s="230">
        <v>2068</v>
      </c>
      <c r="CY10" s="228">
        <v>-5</v>
      </c>
      <c r="CZ10" s="229">
        <v>-2.3999999999999998E-3</v>
      </c>
      <c r="DA10" s="228">
        <v>31.33</v>
      </c>
      <c r="DB10" s="228">
        <v>31.64</v>
      </c>
      <c r="DC10" s="228">
        <v>-0.31</v>
      </c>
      <c r="DD10" s="228">
        <v>-0.31</v>
      </c>
      <c r="DE10" s="228">
        <v>52.68</v>
      </c>
      <c r="DF10" s="228">
        <v>52.81</v>
      </c>
      <c r="DG10" s="228">
        <v>-21.35</v>
      </c>
      <c r="DH10" s="228">
        <v>-0.13</v>
      </c>
      <c r="DI10" s="228">
        <v>30.66</v>
      </c>
      <c r="DJ10" s="228">
        <v>31.59</v>
      </c>
      <c r="DK10" s="228">
        <v>-0.93</v>
      </c>
      <c r="DL10" s="228">
        <v>-0.93</v>
      </c>
      <c r="DM10" s="228">
        <v>32.29</v>
      </c>
      <c r="DN10" s="228">
        <v>31.7</v>
      </c>
      <c r="DO10" s="228">
        <v>0.59</v>
      </c>
      <c r="DP10" s="228">
        <v>0.59</v>
      </c>
      <c r="DQ10" s="228">
        <v>0.69</v>
      </c>
      <c r="DR10" s="228">
        <v>0.66</v>
      </c>
      <c r="DS10" s="228">
        <v>0.03</v>
      </c>
      <c r="DT10" s="229">
        <v>4.5499999999999999E-2</v>
      </c>
      <c r="DU10" s="231">
        <v>7000</v>
      </c>
      <c r="DV10" s="231">
        <v>6000</v>
      </c>
      <c r="DW10" s="228">
        <v>0.71</v>
      </c>
      <c r="DX10" s="228">
        <v>0.8</v>
      </c>
      <c r="DY10" s="228">
        <v>-0.09</v>
      </c>
      <c r="DZ10" s="229">
        <v>-0.1125</v>
      </c>
      <c r="EA10" s="229">
        <v>0.15659999999999999</v>
      </c>
      <c r="EB10" s="230">
        <v>170300</v>
      </c>
      <c r="EC10" s="229">
        <v>-1.11E-2</v>
      </c>
      <c r="ED10" s="229">
        <v>0.15659999999999999</v>
      </c>
      <c r="EE10" s="228">
        <v>-69.739999999999995</v>
      </c>
      <c r="EF10" s="229">
        <v>-1.06E-2</v>
      </c>
      <c r="EG10" s="230">
        <v>46477</v>
      </c>
      <c r="EH10" s="230">
        <v>91019</v>
      </c>
      <c r="EI10" s="229">
        <v>-0.4894</v>
      </c>
      <c r="EJ10" s="229">
        <v>0.30580000000000002</v>
      </c>
      <c r="EK10" s="228">
        <v>635.85</v>
      </c>
      <c r="EL10" s="228">
        <v>407.81</v>
      </c>
      <c r="EM10" s="228">
        <v>128.08000000000001</v>
      </c>
      <c r="EN10" s="228">
        <v>35.24</v>
      </c>
      <c r="EO10" s="231">
        <v>1171.74</v>
      </c>
      <c r="EP10" s="231">
        <v>2250.46</v>
      </c>
      <c r="EQ10" s="231">
        <v>-1078.72</v>
      </c>
      <c r="ER10" s="229">
        <v>-0.4793</v>
      </c>
      <c r="ES10" s="228">
        <v>823.75</v>
      </c>
      <c r="ET10" s="228">
        <v>518.20000000000005</v>
      </c>
      <c r="EU10" s="228">
        <v>762.02</v>
      </c>
      <c r="EV10" s="231">
        <v>3067454</v>
      </c>
      <c r="EW10" s="231">
        <v>2103.9699999999998</v>
      </c>
      <c r="EX10" s="231">
        <v>2112.16</v>
      </c>
      <c r="EY10" s="228">
        <v>-8.19</v>
      </c>
      <c r="EZ10" s="229">
        <v>-3.8999999999999998E-3</v>
      </c>
      <c r="FA10" s="229">
        <v>1.0197000000000001</v>
      </c>
      <c r="FB10" s="227" t="s">
        <v>568</v>
      </c>
      <c r="FC10">
        <f t="shared" si="0"/>
        <v>119</v>
      </c>
    </row>
    <row r="11" spans="1:159" ht="17.25" thickBot="1" x14ac:dyDescent="0.3">
      <c r="A11" s="226">
        <v>46009</v>
      </c>
      <c r="B11" s="227" t="s">
        <v>157</v>
      </c>
      <c r="C11" s="227" t="s">
        <v>164</v>
      </c>
      <c r="D11" s="228">
        <v>1050</v>
      </c>
      <c r="E11" s="228">
        <v>12</v>
      </c>
      <c r="F11" s="228">
        <v>537.45000000000005</v>
      </c>
      <c r="G11" s="228">
        <v>541.9</v>
      </c>
      <c r="H11" s="228">
        <v>-4.45</v>
      </c>
      <c r="I11" s="229">
        <v>-8.2000000000000007E-3</v>
      </c>
      <c r="J11" s="228">
        <v>535.79999999999995</v>
      </c>
      <c r="K11" s="228">
        <v>541.29999999999995</v>
      </c>
      <c r="L11" s="228">
        <v>-5.5</v>
      </c>
      <c r="M11" s="229">
        <v>-1.0200000000000001E-2</v>
      </c>
      <c r="N11" s="228">
        <v>537.45000000000005</v>
      </c>
      <c r="O11" s="228">
        <v>541.9</v>
      </c>
      <c r="P11" s="228">
        <v>-4.45</v>
      </c>
      <c r="Q11" s="229">
        <v>-8.2000000000000007E-3</v>
      </c>
      <c r="R11" s="228">
        <v>540.85</v>
      </c>
      <c r="S11" s="228">
        <v>544.85</v>
      </c>
      <c r="T11" s="228">
        <v>-4</v>
      </c>
      <c r="U11" s="229">
        <v>-7.3000000000000001E-3</v>
      </c>
      <c r="V11" s="228">
        <v>543.25</v>
      </c>
      <c r="W11" s="228">
        <v>548</v>
      </c>
      <c r="X11" s="228">
        <v>-4.75</v>
      </c>
      <c r="Y11" s="229">
        <v>-8.6999999999999994E-3</v>
      </c>
      <c r="Z11" s="228">
        <v>1.65</v>
      </c>
      <c r="AA11" s="228">
        <v>0.6</v>
      </c>
      <c r="AB11" s="228">
        <v>1.05</v>
      </c>
      <c r="AC11" s="229">
        <v>3.0999999999999999E-3</v>
      </c>
      <c r="AD11" s="228">
        <v>1.65</v>
      </c>
      <c r="AE11" s="228">
        <v>0.6</v>
      </c>
      <c r="AF11" s="228">
        <v>1.05</v>
      </c>
      <c r="AG11" s="229">
        <v>3.0999999999999999E-3</v>
      </c>
      <c r="AH11" s="228">
        <v>5.05</v>
      </c>
      <c r="AI11" s="228">
        <v>3.55</v>
      </c>
      <c r="AJ11" s="228">
        <v>1.5</v>
      </c>
      <c r="AK11" s="229">
        <v>9.4000000000000004E-3</v>
      </c>
      <c r="AL11" s="228">
        <v>7.45</v>
      </c>
      <c r="AM11" s="228">
        <v>6.7</v>
      </c>
      <c r="AN11" s="228">
        <v>0.75</v>
      </c>
      <c r="AO11" s="229">
        <v>1.3899999999999999E-2</v>
      </c>
      <c r="AP11" s="228">
        <v>539.38</v>
      </c>
      <c r="AQ11" s="228">
        <v>543.12</v>
      </c>
      <c r="AR11" s="228">
        <v>0</v>
      </c>
      <c r="AS11" s="228">
        <v>203</v>
      </c>
      <c r="AT11" s="228">
        <v>125</v>
      </c>
      <c r="AU11" s="228">
        <v>78</v>
      </c>
      <c r="AV11" s="229">
        <v>0.62570000000000003</v>
      </c>
      <c r="AW11" s="228">
        <v>160</v>
      </c>
      <c r="AX11" s="228">
        <v>103</v>
      </c>
      <c r="AY11" s="228">
        <v>56</v>
      </c>
      <c r="AZ11" s="229">
        <v>0.54420000000000002</v>
      </c>
      <c r="BA11" s="228">
        <v>43</v>
      </c>
      <c r="BB11" s="228">
        <v>21</v>
      </c>
      <c r="BC11" s="228">
        <v>22</v>
      </c>
      <c r="BD11" s="229">
        <v>1.0601</v>
      </c>
      <c r="BE11" s="228">
        <v>1</v>
      </c>
      <c r="BF11" s="228">
        <v>1</v>
      </c>
      <c r="BG11" s="228">
        <v>0</v>
      </c>
      <c r="BH11" s="229">
        <v>0</v>
      </c>
      <c r="BI11" s="228">
        <v>383</v>
      </c>
      <c r="BJ11" s="228">
        <v>290</v>
      </c>
      <c r="BK11" s="228">
        <v>94</v>
      </c>
      <c r="BL11" s="229">
        <v>0.32329999999999998</v>
      </c>
      <c r="BM11" s="228">
        <v>160</v>
      </c>
      <c r="BN11" s="228">
        <v>130</v>
      </c>
      <c r="BO11" s="228">
        <v>30</v>
      </c>
      <c r="BP11" s="229">
        <v>0.2296</v>
      </c>
      <c r="BQ11" s="228">
        <v>746</v>
      </c>
      <c r="BR11" s="228">
        <v>544</v>
      </c>
      <c r="BS11" s="228">
        <v>202</v>
      </c>
      <c r="BT11" s="229">
        <v>0.37040000000000001</v>
      </c>
      <c r="BU11" s="230">
        <v>852055</v>
      </c>
      <c r="BV11" s="230">
        <v>534919</v>
      </c>
      <c r="BW11" s="230">
        <v>317136</v>
      </c>
      <c r="BX11" s="229">
        <v>0.59289999999999998</v>
      </c>
      <c r="BY11" s="230">
        <v>2603</v>
      </c>
      <c r="BZ11" s="230">
        <v>2582</v>
      </c>
      <c r="CA11" s="228">
        <v>21</v>
      </c>
      <c r="CB11" s="229">
        <v>8.2000000000000007E-3</v>
      </c>
      <c r="CC11" s="230">
        <v>2485</v>
      </c>
      <c r="CD11" s="230">
        <v>2490</v>
      </c>
      <c r="CE11" s="228">
        <v>-5</v>
      </c>
      <c r="CF11" s="229">
        <v>-2E-3</v>
      </c>
      <c r="CG11" s="228">
        <v>108</v>
      </c>
      <c r="CH11" s="228">
        <v>82</v>
      </c>
      <c r="CI11" s="228">
        <v>26</v>
      </c>
      <c r="CJ11" s="229">
        <v>0.31890000000000002</v>
      </c>
      <c r="CK11" s="228">
        <v>10</v>
      </c>
      <c r="CL11" s="228">
        <v>10</v>
      </c>
      <c r="CM11" s="228">
        <v>0</v>
      </c>
      <c r="CN11" s="229">
        <v>1.09E-2</v>
      </c>
      <c r="CO11" s="228">
        <v>677</v>
      </c>
      <c r="CP11" s="228">
        <v>638</v>
      </c>
      <c r="CQ11" s="228">
        <v>40</v>
      </c>
      <c r="CR11" s="229">
        <v>6.1899999999999997E-2</v>
      </c>
      <c r="CS11" s="228">
        <v>515</v>
      </c>
      <c r="CT11" s="228">
        <v>518</v>
      </c>
      <c r="CU11" s="228">
        <v>-3</v>
      </c>
      <c r="CV11" s="229">
        <v>-6.4999999999999997E-3</v>
      </c>
      <c r="CW11" s="230">
        <v>3795</v>
      </c>
      <c r="CX11" s="230">
        <v>3738</v>
      </c>
      <c r="CY11" s="228">
        <v>57</v>
      </c>
      <c r="CZ11" s="229">
        <v>1.5299999999999999E-2</v>
      </c>
      <c r="DA11" s="228">
        <v>19.57</v>
      </c>
      <c r="DB11" s="228">
        <v>19.47</v>
      </c>
      <c r="DC11" s="228">
        <v>0.1</v>
      </c>
      <c r="DD11" s="228">
        <v>0.1</v>
      </c>
      <c r="DE11" s="228">
        <v>31.7</v>
      </c>
      <c r="DF11" s="228">
        <v>31.76</v>
      </c>
      <c r="DG11" s="228">
        <v>-12.13</v>
      </c>
      <c r="DH11" s="228">
        <v>-0.06</v>
      </c>
      <c r="DI11" s="228">
        <v>19.93</v>
      </c>
      <c r="DJ11" s="228">
        <v>19.66</v>
      </c>
      <c r="DK11" s="228">
        <v>0.27</v>
      </c>
      <c r="DL11" s="228">
        <v>0.27</v>
      </c>
      <c r="DM11" s="228">
        <v>18.71</v>
      </c>
      <c r="DN11" s="228">
        <v>19.04</v>
      </c>
      <c r="DO11" s="228">
        <v>-0.33</v>
      </c>
      <c r="DP11" s="228">
        <v>-0.33</v>
      </c>
      <c r="DQ11" s="228">
        <v>0.76</v>
      </c>
      <c r="DR11" s="228">
        <v>0.81</v>
      </c>
      <c r="DS11" s="228">
        <v>-0.05</v>
      </c>
      <c r="DT11" s="229">
        <v>-6.1699999999999998E-2</v>
      </c>
      <c r="DU11" s="228">
        <v>550</v>
      </c>
      <c r="DV11" s="228">
        <v>550</v>
      </c>
      <c r="DW11" s="228">
        <v>0.42</v>
      </c>
      <c r="DX11" s="228">
        <v>0.45</v>
      </c>
      <c r="DY11" s="228">
        <v>-0.03</v>
      </c>
      <c r="DZ11" s="229">
        <v>-6.6699999999999995E-2</v>
      </c>
      <c r="EA11" s="229">
        <v>4.5499999999999999E-2</v>
      </c>
      <c r="EB11" s="230">
        <v>1716750</v>
      </c>
      <c r="EC11" s="229">
        <v>6.3E-3</v>
      </c>
      <c r="ED11" s="229">
        <v>4.5499999999999999E-2</v>
      </c>
      <c r="EE11" s="228">
        <v>3.74</v>
      </c>
      <c r="EF11" s="229">
        <v>6.8999999999999999E-3</v>
      </c>
      <c r="EG11" s="230">
        <v>505861</v>
      </c>
      <c r="EH11" s="230">
        <v>259502</v>
      </c>
      <c r="EI11" s="229">
        <v>0.94940000000000002</v>
      </c>
      <c r="EJ11" s="229">
        <v>0.59370000000000001</v>
      </c>
      <c r="EK11" s="228">
        <v>396.99</v>
      </c>
      <c r="EL11" s="228">
        <v>159.19999999999999</v>
      </c>
      <c r="EM11" s="228">
        <v>204.25</v>
      </c>
      <c r="EN11" s="228">
        <v>42.77</v>
      </c>
      <c r="EO11" s="228">
        <v>760.44</v>
      </c>
      <c r="EP11" s="228">
        <v>560.54</v>
      </c>
      <c r="EQ11" s="228">
        <v>199.9</v>
      </c>
      <c r="ER11" s="229">
        <v>0.35659999999999997</v>
      </c>
      <c r="ES11" s="228">
        <v>713.11</v>
      </c>
      <c r="ET11" s="228">
        <v>530.92999999999995</v>
      </c>
      <c r="EU11" s="231">
        <v>2604.0700000000002</v>
      </c>
      <c r="EV11" s="231">
        <v>119762774</v>
      </c>
      <c r="EW11" s="231">
        <v>3848.11</v>
      </c>
      <c r="EX11" s="231">
        <v>3811.73</v>
      </c>
      <c r="EY11" s="228">
        <v>36.380000000000003</v>
      </c>
      <c r="EZ11" s="229">
        <v>9.4999999999999998E-3</v>
      </c>
      <c r="FA11" s="229">
        <v>0.58960000000000001</v>
      </c>
      <c r="FB11" s="227" t="s">
        <v>567</v>
      </c>
      <c r="FC11">
        <f t="shared" si="0"/>
        <v>118</v>
      </c>
    </row>
    <row r="12" spans="1:159" ht="17.25" thickBot="1" x14ac:dyDescent="0.3">
      <c r="A12" s="226">
        <v>46009</v>
      </c>
      <c r="B12" s="227" t="s">
        <v>175</v>
      </c>
      <c r="C12" s="227" t="s">
        <v>609</v>
      </c>
      <c r="D12" s="228">
        <v>250</v>
      </c>
      <c r="E12" s="228">
        <v>12</v>
      </c>
      <c r="F12" s="231">
        <v>2476.8000000000002</v>
      </c>
      <c r="G12" s="231">
        <v>2478.9</v>
      </c>
      <c r="H12" s="228">
        <v>-2.1</v>
      </c>
      <c r="I12" s="229">
        <v>-8.0000000000000004E-4</v>
      </c>
      <c r="J12" s="231">
        <v>2479.1</v>
      </c>
      <c r="K12" s="231">
        <v>2504.6</v>
      </c>
      <c r="L12" s="228">
        <v>-25.5</v>
      </c>
      <c r="M12" s="229">
        <v>-1.0200000000000001E-2</v>
      </c>
      <c r="N12" s="231">
        <v>2476.8000000000002</v>
      </c>
      <c r="O12" s="231">
        <v>2478.9</v>
      </c>
      <c r="P12" s="228">
        <v>-2.1</v>
      </c>
      <c r="Q12" s="229">
        <v>-8.0000000000000004E-4</v>
      </c>
      <c r="R12" s="231">
        <v>2434.1999999999998</v>
      </c>
      <c r="S12" s="231">
        <v>2437.8000000000002</v>
      </c>
      <c r="T12" s="228">
        <v>-3.6</v>
      </c>
      <c r="U12" s="229">
        <v>-1.5E-3</v>
      </c>
      <c r="V12" s="231">
        <v>2428.4</v>
      </c>
      <c r="W12" s="231">
        <v>2428</v>
      </c>
      <c r="X12" s="228">
        <v>0.4</v>
      </c>
      <c r="Y12" s="229">
        <v>2.0000000000000001E-4</v>
      </c>
      <c r="Z12" s="228">
        <v>-2.2999999999999998</v>
      </c>
      <c r="AA12" s="228">
        <v>-25.7</v>
      </c>
      <c r="AB12" s="228">
        <v>23.4</v>
      </c>
      <c r="AC12" s="229">
        <v>-8.9999999999999998E-4</v>
      </c>
      <c r="AD12" s="228">
        <v>-2.2999999999999998</v>
      </c>
      <c r="AE12" s="228">
        <v>-25.7</v>
      </c>
      <c r="AF12" s="228">
        <v>23.4</v>
      </c>
      <c r="AG12" s="229">
        <v>-8.9999999999999998E-4</v>
      </c>
      <c r="AH12" s="228">
        <v>-44.9</v>
      </c>
      <c r="AI12" s="228">
        <v>-66.8</v>
      </c>
      <c r="AJ12" s="228">
        <v>21.9</v>
      </c>
      <c r="AK12" s="229">
        <v>-1.8100000000000002E-2</v>
      </c>
      <c r="AL12" s="228">
        <v>-50.7</v>
      </c>
      <c r="AM12" s="228">
        <v>-76.599999999999994</v>
      </c>
      <c r="AN12" s="228">
        <v>25.9</v>
      </c>
      <c r="AO12" s="229">
        <v>-2.0500000000000001E-2</v>
      </c>
      <c r="AP12" s="231">
        <v>2496.58</v>
      </c>
      <c r="AQ12" s="231">
        <v>2454</v>
      </c>
      <c r="AR12" s="228">
        <v>0</v>
      </c>
      <c r="AS12" s="228">
        <v>279</v>
      </c>
      <c r="AT12" s="228">
        <v>231</v>
      </c>
      <c r="AU12" s="228">
        <v>48</v>
      </c>
      <c r="AV12" s="229">
        <v>0.20880000000000001</v>
      </c>
      <c r="AW12" s="228">
        <v>218</v>
      </c>
      <c r="AX12" s="228">
        <v>161</v>
      </c>
      <c r="AY12" s="228">
        <v>58</v>
      </c>
      <c r="AZ12" s="229">
        <v>0.35820000000000002</v>
      </c>
      <c r="BA12" s="228">
        <v>57</v>
      </c>
      <c r="BB12" s="228">
        <v>67</v>
      </c>
      <c r="BC12" s="228">
        <v>-10</v>
      </c>
      <c r="BD12" s="229">
        <v>-0.1555</v>
      </c>
      <c r="BE12" s="228">
        <v>4</v>
      </c>
      <c r="BF12" s="228">
        <v>3</v>
      </c>
      <c r="BG12" s="228">
        <v>1</v>
      </c>
      <c r="BH12" s="229">
        <v>0.39529999999999998</v>
      </c>
      <c r="BI12" s="230">
        <v>1708</v>
      </c>
      <c r="BJ12" s="228">
        <v>964</v>
      </c>
      <c r="BK12" s="228">
        <v>744</v>
      </c>
      <c r="BL12" s="229">
        <v>0.77129999999999999</v>
      </c>
      <c r="BM12" s="228">
        <v>588</v>
      </c>
      <c r="BN12" s="228">
        <v>388</v>
      </c>
      <c r="BO12" s="228">
        <v>200</v>
      </c>
      <c r="BP12" s="229">
        <v>0.51429999999999998</v>
      </c>
      <c r="BQ12" s="230">
        <v>2575</v>
      </c>
      <c r="BR12" s="230">
        <v>1583</v>
      </c>
      <c r="BS12" s="228">
        <v>991</v>
      </c>
      <c r="BT12" s="229">
        <v>0.62629999999999997</v>
      </c>
      <c r="BU12" s="230">
        <v>713225</v>
      </c>
      <c r="BV12" s="230">
        <v>319925</v>
      </c>
      <c r="BW12" s="230">
        <v>393300</v>
      </c>
      <c r="BX12" s="229">
        <v>1.2294</v>
      </c>
      <c r="BY12" s="230">
        <v>1060</v>
      </c>
      <c r="BZ12" s="230">
        <v>1043</v>
      </c>
      <c r="CA12" s="228">
        <v>17</v>
      </c>
      <c r="CB12" s="229">
        <v>1.5900000000000001E-2</v>
      </c>
      <c r="CC12" s="228">
        <v>900</v>
      </c>
      <c r="CD12" s="228">
        <v>900</v>
      </c>
      <c r="CE12" s="228">
        <v>0</v>
      </c>
      <c r="CF12" s="229">
        <v>1E-4</v>
      </c>
      <c r="CG12" s="228">
        <v>147</v>
      </c>
      <c r="CH12" s="228">
        <v>132</v>
      </c>
      <c r="CI12" s="228">
        <v>14</v>
      </c>
      <c r="CJ12" s="229">
        <v>0.1086</v>
      </c>
      <c r="CK12" s="228">
        <v>13</v>
      </c>
      <c r="CL12" s="228">
        <v>11</v>
      </c>
      <c r="CM12" s="228">
        <v>2</v>
      </c>
      <c r="CN12" s="229">
        <v>0.1988</v>
      </c>
      <c r="CO12" s="230">
        <v>1360</v>
      </c>
      <c r="CP12" s="230">
        <v>1273</v>
      </c>
      <c r="CQ12" s="228">
        <v>87</v>
      </c>
      <c r="CR12" s="229">
        <v>6.8599999999999994E-2</v>
      </c>
      <c r="CS12" s="228">
        <v>534</v>
      </c>
      <c r="CT12" s="228">
        <v>519</v>
      </c>
      <c r="CU12" s="228">
        <v>15</v>
      </c>
      <c r="CV12" s="229">
        <v>2.8899999999999999E-2</v>
      </c>
      <c r="CW12" s="230">
        <v>2954</v>
      </c>
      <c r="CX12" s="230">
        <v>2835</v>
      </c>
      <c r="CY12" s="228">
        <v>119</v>
      </c>
      <c r="CZ12" s="229">
        <v>4.19E-2</v>
      </c>
      <c r="DA12" s="228">
        <v>35.020000000000003</v>
      </c>
      <c r="DB12" s="228">
        <v>37.11</v>
      </c>
      <c r="DC12" s="228">
        <v>-2.09</v>
      </c>
      <c r="DD12" s="228">
        <v>-2.09</v>
      </c>
      <c r="DE12" s="228">
        <v>52.76</v>
      </c>
      <c r="DF12" s="228">
        <v>52.89</v>
      </c>
      <c r="DG12" s="228">
        <v>-17.739999999999998</v>
      </c>
      <c r="DH12" s="228">
        <v>-0.13</v>
      </c>
      <c r="DI12" s="228">
        <v>35.549999999999997</v>
      </c>
      <c r="DJ12" s="228">
        <v>37.869999999999997</v>
      </c>
      <c r="DK12" s="228">
        <v>-2.3199999999999998</v>
      </c>
      <c r="DL12" s="228">
        <v>-2.3199999999999998</v>
      </c>
      <c r="DM12" s="228">
        <v>33.47</v>
      </c>
      <c r="DN12" s="228">
        <v>35.229999999999997</v>
      </c>
      <c r="DO12" s="228">
        <v>-1.76</v>
      </c>
      <c r="DP12" s="228">
        <v>-1.76</v>
      </c>
      <c r="DQ12" s="228">
        <v>0.39</v>
      </c>
      <c r="DR12" s="228">
        <v>0.41</v>
      </c>
      <c r="DS12" s="228">
        <v>-0.02</v>
      </c>
      <c r="DT12" s="229">
        <v>-4.8800000000000003E-2</v>
      </c>
      <c r="DU12" s="231">
        <v>2800</v>
      </c>
      <c r="DV12" s="231">
        <v>2500</v>
      </c>
      <c r="DW12" s="228">
        <v>0.34</v>
      </c>
      <c r="DX12" s="228">
        <v>0.4</v>
      </c>
      <c r="DY12" s="228">
        <v>-0.06</v>
      </c>
      <c r="DZ12" s="229">
        <v>-0.15</v>
      </c>
      <c r="EA12" s="229">
        <v>0.15040000000000001</v>
      </c>
      <c r="EB12" s="230">
        <v>576750</v>
      </c>
      <c r="EC12" s="229">
        <v>-1.72E-2</v>
      </c>
      <c r="ED12" s="229">
        <v>0.15040000000000001</v>
      </c>
      <c r="EE12" s="228">
        <v>-42.58</v>
      </c>
      <c r="EF12" s="229">
        <v>-1.7100000000000001E-2</v>
      </c>
      <c r="EG12" s="230">
        <v>199005</v>
      </c>
      <c r="EH12" s="230">
        <v>60137</v>
      </c>
      <c r="EI12" s="229">
        <v>2.3092000000000001</v>
      </c>
      <c r="EJ12" s="229">
        <v>0.27900000000000003</v>
      </c>
      <c r="EK12" s="231">
        <v>1840.02</v>
      </c>
      <c r="EL12" s="228">
        <v>587.91999999999996</v>
      </c>
      <c r="EM12" s="228">
        <v>280.05</v>
      </c>
      <c r="EN12" s="228">
        <v>37.33</v>
      </c>
      <c r="EO12" s="231">
        <v>2707.98</v>
      </c>
      <c r="EP12" s="231">
        <v>1672.35</v>
      </c>
      <c r="EQ12" s="231">
        <v>1035.6300000000001</v>
      </c>
      <c r="ER12" s="229">
        <v>0.61929999999999996</v>
      </c>
      <c r="ES12" s="231">
        <v>1510.9</v>
      </c>
      <c r="ET12" s="228">
        <v>536.87</v>
      </c>
      <c r="EU12" s="231">
        <v>1056.8699999999999</v>
      </c>
      <c r="EV12" s="231">
        <v>9647634</v>
      </c>
      <c r="EW12" s="231">
        <v>3104.64</v>
      </c>
      <c r="EX12" s="231">
        <v>2983.89</v>
      </c>
      <c r="EY12" s="228">
        <v>120.75</v>
      </c>
      <c r="EZ12" s="229">
        <v>4.0500000000000001E-2</v>
      </c>
      <c r="FA12" s="229">
        <v>1.2362</v>
      </c>
      <c r="FB12" s="227" t="s">
        <v>567</v>
      </c>
      <c r="FC12">
        <f t="shared" si="0"/>
        <v>160</v>
      </c>
    </row>
    <row r="13" spans="1:159" ht="17.25" thickBot="1" x14ac:dyDescent="0.3">
      <c r="A13" s="226">
        <v>46009</v>
      </c>
      <c r="B13" s="227" t="s">
        <v>227</v>
      </c>
      <c r="C13" s="227" t="s">
        <v>598</v>
      </c>
      <c r="D13" s="228">
        <v>350</v>
      </c>
      <c r="E13" s="228">
        <v>12</v>
      </c>
      <c r="F13" s="231">
        <v>1800.8</v>
      </c>
      <c r="G13" s="231">
        <v>1769.5</v>
      </c>
      <c r="H13" s="228">
        <v>31.3</v>
      </c>
      <c r="I13" s="229">
        <v>1.77E-2</v>
      </c>
      <c r="J13" s="231">
        <v>1795.7</v>
      </c>
      <c r="K13" s="231">
        <v>1764.5</v>
      </c>
      <c r="L13" s="228">
        <v>31.2</v>
      </c>
      <c r="M13" s="229">
        <v>1.77E-2</v>
      </c>
      <c r="N13" s="231">
        <v>1800.8</v>
      </c>
      <c r="O13" s="231">
        <v>1769.5</v>
      </c>
      <c r="P13" s="228">
        <v>31.3</v>
      </c>
      <c r="Q13" s="229">
        <v>1.77E-2</v>
      </c>
      <c r="R13" s="231">
        <v>1811.8</v>
      </c>
      <c r="S13" s="231">
        <v>1778.5</v>
      </c>
      <c r="T13" s="228">
        <v>33.299999999999997</v>
      </c>
      <c r="U13" s="229">
        <v>1.8700000000000001E-2</v>
      </c>
      <c r="V13" s="231">
        <v>1821.9</v>
      </c>
      <c r="W13" s="231">
        <v>1791</v>
      </c>
      <c r="X13" s="228">
        <v>30.9</v>
      </c>
      <c r="Y13" s="229">
        <v>1.7299999999999999E-2</v>
      </c>
      <c r="Z13" s="228">
        <v>5.0999999999999996</v>
      </c>
      <c r="AA13" s="228">
        <v>5</v>
      </c>
      <c r="AB13" s="228">
        <v>0.1</v>
      </c>
      <c r="AC13" s="229">
        <v>2.8E-3</v>
      </c>
      <c r="AD13" s="228">
        <v>5.0999999999999996</v>
      </c>
      <c r="AE13" s="228">
        <v>5</v>
      </c>
      <c r="AF13" s="228">
        <v>0.1</v>
      </c>
      <c r="AG13" s="229">
        <v>2.8E-3</v>
      </c>
      <c r="AH13" s="228">
        <v>16.100000000000001</v>
      </c>
      <c r="AI13" s="228">
        <v>14</v>
      </c>
      <c r="AJ13" s="228">
        <v>2.1</v>
      </c>
      <c r="AK13" s="229">
        <v>8.9999999999999993E-3</v>
      </c>
      <c r="AL13" s="228">
        <v>26.2</v>
      </c>
      <c r="AM13" s="228">
        <v>26.5</v>
      </c>
      <c r="AN13" s="228">
        <v>-0.3</v>
      </c>
      <c r="AO13" s="229">
        <v>1.46E-2</v>
      </c>
      <c r="AP13" s="231">
        <v>1789.99</v>
      </c>
      <c r="AQ13" s="231">
        <v>1804.08</v>
      </c>
      <c r="AR13" s="228">
        <v>0</v>
      </c>
      <c r="AS13" s="228">
        <v>233</v>
      </c>
      <c r="AT13" s="228">
        <v>233</v>
      </c>
      <c r="AU13" s="228">
        <v>0</v>
      </c>
      <c r="AV13" s="229">
        <v>-5.0000000000000001E-4</v>
      </c>
      <c r="AW13" s="228">
        <v>196</v>
      </c>
      <c r="AX13" s="228">
        <v>196</v>
      </c>
      <c r="AY13" s="228">
        <v>0</v>
      </c>
      <c r="AZ13" s="229">
        <v>-1.6000000000000001E-3</v>
      </c>
      <c r="BA13" s="228">
        <v>36</v>
      </c>
      <c r="BB13" s="228">
        <v>36</v>
      </c>
      <c r="BC13" s="228">
        <v>0</v>
      </c>
      <c r="BD13" s="229">
        <v>-1.0500000000000001E-2</v>
      </c>
      <c r="BE13" s="228">
        <v>1</v>
      </c>
      <c r="BF13" s="228">
        <v>1</v>
      </c>
      <c r="BG13" s="228">
        <v>1</v>
      </c>
      <c r="BH13" s="229">
        <v>0.81820000000000004</v>
      </c>
      <c r="BI13" s="228">
        <v>674</v>
      </c>
      <c r="BJ13" s="230">
        <v>1076</v>
      </c>
      <c r="BK13" s="228">
        <v>-402</v>
      </c>
      <c r="BL13" s="229">
        <v>-0.37380000000000002</v>
      </c>
      <c r="BM13" s="228">
        <v>262</v>
      </c>
      <c r="BN13" s="228">
        <v>345</v>
      </c>
      <c r="BO13" s="228">
        <v>-82</v>
      </c>
      <c r="BP13" s="229">
        <v>-0.23849999999999999</v>
      </c>
      <c r="BQ13" s="230">
        <v>1169</v>
      </c>
      <c r="BR13" s="230">
        <v>1653</v>
      </c>
      <c r="BS13" s="228">
        <v>-484</v>
      </c>
      <c r="BT13" s="229">
        <v>-0.29299999999999998</v>
      </c>
      <c r="BU13" s="230">
        <v>591813</v>
      </c>
      <c r="BV13" s="230">
        <v>768856</v>
      </c>
      <c r="BW13" s="230">
        <v>-177043</v>
      </c>
      <c r="BX13" s="229">
        <v>-0.2303</v>
      </c>
      <c r="BY13" s="230">
        <v>1403</v>
      </c>
      <c r="BZ13" s="230">
        <v>1414</v>
      </c>
      <c r="CA13" s="228">
        <v>-12</v>
      </c>
      <c r="CB13" s="229">
        <v>-8.2000000000000007E-3</v>
      </c>
      <c r="CC13" s="230">
        <v>1335</v>
      </c>
      <c r="CD13" s="230">
        <v>1361</v>
      </c>
      <c r="CE13" s="228">
        <v>-25</v>
      </c>
      <c r="CF13" s="229">
        <v>-1.8599999999999998E-2</v>
      </c>
      <c r="CG13" s="228">
        <v>60</v>
      </c>
      <c r="CH13" s="228">
        <v>46</v>
      </c>
      <c r="CI13" s="228">
        <v>14</v>
      </c>
      <c r="CJ13" s="229">
        <v>0.30320000000000003</v>
      </c>
      <c r="CK13" s="228">
        <v>7</v>
      </c>
      <c r="CL13" s="228">
        <v>8</v>
      </c>
      <c r="CM13" s="228">
        <v>0</v>
      </c>
      <c r="CN13" s="229">
        <v>-3.3300000000000003E-2</v>
      </c>
      <c r="CO13" s="228">
        <v>183</v>
      </c>
      <c r="CP13" s="228">
        <v>206</v>
      </c>
      <c r="CQ13" s="228">
        <v>-23</v>
      </c>
      <c r="CR13" s="229">
        <v>-0.1115</v>
      </c>
      <c r="CS13" s="228">
        <v>153</v>
      </c>
      <c r="CT13" s="228">
        <v>155</v>
      </c>
      <c r="CU13" s="228">
        <v>-2</v>
      </c>
      <c r="CV13" s="229">
        <v>-1.4200000000000001E-2</v>
      </c>
      <c r="CW13" s="230">
        <v>1738</v>
      </c>
      <c r="CX13" s="230">
        <v>1775</v>
      </c>
      <c r="CY13" s="228">
        <v>-37</v>
      </c>
      <c r="CZ13" s="229">
        <v>-2.07E-2</v>
      </c>
      <c r="DA13" s="228">
        <v>18.38</v>
      </c>
      <c r="DB13" s="228">
        <v>19.13</v>
      </c>
      <c r="DC13" s="228">
        <v>-0.75</v>
      </c>
      <c r="DD13" s="228">
        <v>-0.75</v>
      </c>
      <c r="DE13" s="228">
        <v>32.26</v>
      </c>
      <c r="DF13" s="228">
        <v>32.25</v>
      </c>
      <c r="DG13" s="228">
        <v>-13.88</v>
      </c>
      <c r="DH13" s="228">
        <v>0.01</v>
      </c>
      <c r="DI13" s="228">
        <v>17.920000000000002</v>
      </c>
      <c r="DJ13" s="228">
        <v>19.07</v>
      </c>
      <c r="DK13" s="228">
        <v>-1.1499999999999999</v>
      </c>
      <c r="DL13" s="228">
        <v>-1.1499999999999999</v>
      </c>
      <c r="DM13" s="228">
        <v>19.57</v>
      </c>
      <c r="DN13" s="228">
        <v>19.34</v>
      </c>
      <c r="DO13" s="228">
        <v>0.23</v>
      </c>
      <c r="DP13" s="228">
        <v>0.23</v>
      </c>
      <c r="DQ13" s="228">
        <v>0.84</v>
      </c>
      <c r="DR13" s="228">
        <v>0.75</v>
      </c>
      <c r="DS13" s="228">
        <v>0.09</v>
      </c>
      <c r="DT13" s="229">
        <v>0.12</v>
      </c>
      <c r="DU13" s="231">
        <v>1800</v>
      </c>
      <c r="DV13" s="231">
        <v>1760</v>
      </c>
      <c r="DW13" s="228">
        <v>0.39</v>
      </c>
      <c r="DX13" s="228">
        <v>0.32</v>
      </c>
      <c r="DY13" s="228">
        <v>7.0000000000000007E-2</v>
      </c>
      <c r="DZ13" s="229">
        <v>0.21879999999999999</v>
      </c>
      <c r="EA13" s="229">
        <v>4.7899999999999998E-2</v>
      </c>
      <c r="EB13" s="230">
        <v>297150</v>
      </c>
      <c r="EC13" s="229">
        <v>6.1000000000000004E-3</v>
      </c>
      <c r="ED13" s="229">
        <v>4.7899999999999998E-2</v>
      </c>
      <c r="EE13" s="228">
        <v>14.09</v>
      </c>
      <c r="EF13" s="229">
        <v>7.9000000000000008E-3</v>
      </c>
      <c r="EG13" s="230">
        <v>317189</v>
      </c>
      <c r="EH13" s="230">
        <v>407045</v>
      </c>
      <c r="EI13" s="229">
        <v>-0.2208</v>
      </c>
      <c r="EJ13" s="229">
        <v>0.53600000000000003</v>
      </c>
      <c r="EK13" s="228">
        <v>681.18</v>
      </c>
      <c r="EL13" s="228">
        <v>255.22</v>
      </c>
      <c r="EM13" s="228">
        <v>231.54</v>
      </c>
      <c r="EN13" s="228">
        <v>21.88</v>
      </c>
      <c r="EO13" s="231">
        <v>1167.93</v>
      </c>
      <c r="EP13" s="231">
        <v>1640.58</v>
      </c>
      <c r="EQ13" s="228">
        <v>-472.65</v>
      </c>
      <c r="ER13" s="229">
        <v>-0.28810000000000002</v>
      </c>
      <c r="ES13" s="228">
        <v>184.13</v>
      </c>
      <c r="ET13" s="228">
        <v>146.28</v>
      </c>
      <c r="EU13" s="231">
        <v>1403.01</v>
      </c>
      <c r="EV13" s="231">
        <v>27232196</v>
      </c>
      <c r="EW13" s="231">
        <v>1733.43</v>
      </c>
      <c r="EX13" s="231">
        <v>1742.72</v>
      </c>
      <c r="EY13" s="228">
        <v>-9.2899999999999991</v>
      </c>
      <c r="EZ13" s="229">
        <v>-5.3E-3</v>
      </c>
      <c r="FA13" s="229">
        <v>0.35449999999999998</v>
      </c>
      <c r="FB13" s="227" t="s">
        <v>556</v>
      </c>
      <c r="FC13">
        <f t="shared" si="0"/>
        <v>68</v>
      </c>
    </row>
    <row r="14" spans="1:159" ht="17.25" thickBot="1" x14ac:dyDescent="0.3">
      <c r="A14" s="226">
        <v>46009</v>
      </c>
      <c r="B14" s="227" t="s">
        <v>170</v>
      </c>
      <c r="C14" s="227" t="s">
        <v>165</v>
      </c>
      <c r="D14" s="228">
        <v>125</v>
      </c>
      <c r="E14" s="228">
        <v>12</v>
      </c>
      <c r="F14" s="231">
        <v>6933.5</v>
      </c>
      <c r="G14" s="231">
        <v>6927.5</v>
      </c>
      <c r="H14" s="228">
        <v>6</v>
      </c>
      <c r="I14" s="229">
        <v>8.9999999999999998E-4</v>
      </c>
      <c r="J14" s="231">
        <v>6918.5</v>
      </c>
      <c r="K14" s="231">
        <v>6921.5</v>
      </c>
      <c r="L14" s="228">
        <v>-3</v>
      </c>
      <c r="M14" s="229">
        <v>-4.0000000000000002E-4</v>
      </c>
      <c r="N14" s="231">
        <v>6933.5</v>
      </c>
      <c r="O14" s="231">
        <v>6927.5</v>
      </c>
      <c r="P14" s="228">
        <v>6</v>
      </c>
      <c r="Q14" s="229">
        <v>8.9999999999999998E-4</v>
      </c>
      <c r="R14" s="231">
        <v>6978</v>
      </c>
      <c r="S14" s="231">
        <v>6971</v>
      </c>
      <c r="T14" s="228">
        <v>7</v>
      </c>
      <c r="U14" s="229">
        <v>1E-3</v>
      </c>
      <c r="V14" s="231">
        <v>7007</v>
      </c>
      <c r="W14" s="231">
        <v>7003.5</v>
      </c>
      <c r="X14" s="228">
        <v>3.5</v>
      </c>
      <c r="Y14" s="229">
        <v>5.0000000000000001E-4</v>
      </c>
      <c r="Z14" s="228">
        <v>15</v>
      </c>
      <c r="AA14" s="228">
        <v>6</v>
      </c>
      <c r="AB14" s="228">
        <v>9</v>
      </c>
      <c r="AC14" s="229">
        <v>2.2000000000000001E-3</v>
      </c>
      <c r="AD14" s="228">
        <v>15</v>
      </c>
      <c r="AE14" s="228">
        <v>6</v>
      </c>
      <c r="AF14" s="228">
        <v>9</v>
      </c>
      <c r="AG14" s="229">
        <v>2.2000000000000001E-3</v>
      </c>
      <c r="AH14" s="228">
        <v>59.5</v>
      </c>
      <c r="AI14" s="228">
        <v>49.5</v>
      </c>
      <c r="AJ14" s="228">
        <v>10</v>
      </c>
      <c r="AK14" s="229">
        <v>8.6E-3</v>
      </c>
      <c r="AL14" s="228">
        <v>88.5</v>
      </c>
      <c r="AM14" s="228">
        <v>82</v>
      </c>
      <c r="AN14" s="228">
        <v>6.5</v>
      </c>
      <c r="AO14" s="229">
        <v>1.2800000000000001E-2</v>
      </c>
      <c r="AP14" s="231">
        <v>6933.58</v>
      </c>
      <c r="AQ14" s="231">
        <v>6981.31</v>
      </c>
      <c r="AR14" s="228">
        <v>0</v>
      </c>
      <c r="AS14" s="228">
        <v>489</v>
      </c>
      <c r="AT14" s="228">
        <v>366</v>
      </c>
      <c r="AU14" s="228">
        <v>123</v>
      </c>
      <c r="AV14" s="229">
        <v>0.3357</v>
      </c>
      <c r="AW14" s="228">
        <v>310</v>
      </c>
      <c r="AX14" s="228">
        <v>300</v>
      </c>
      <c r="AY14" s="228">
        <v>10</v>
      </c>
      <c r="AZ14" s="229">
        <v>3.4099999999999998E-2</v>
      </c>
      <c r="BA14" s="228">
        <v>176</v>
      </c>
      <c r="BB14" s="228">
        <v>61</v>
      </c>
      <c r="BC14" s="228">
        <v>115</v>
      </c>
      <c r="BD14" s="229">
        <v>1.8698999999999999</v>
      </c>
      <c r="BE14" s="228">
        <v>3</v>
      </c>
      <c r="BF14" s="228">
        <v>5</v>
      </c>
      <c r="BG14" s="228">
        <v>-2</v>
      </c>
      <c r="BH14" s="229">
        <v>-0.41820000000000002</v>
      </c>
      <c r="BI14" s="230">
        <v>1768</v>
      </c>
      <c r="BJ14" s="230">
        <v>2046</v>
      </c>
      <c r="BK14" s="228">
        <v>-278</v>
      </c>
      <c r="BL14" s="229">
        <v>-0.13600000000000001</v>
      </c>
      <c r="BM14" s="228">
        <v>722</v>
      </c>
      <c r="BN14" s="230">
        <v>1108</v>
      </c>
      <c r="BO14" s="228">
        <v>-386</v>
      </c>
      <c r="BP14" s="229">
        <v>-0.34839999999999999</v>
      </c>
      <c r="BQ14" s="230">
        <v>2979</v>
      </c>
      <c r="BR14" s="230">
        <v>3520</v>
      </c>
      <c r="BS14" s="228">
        <v>-541</v>
      </c>
      <c r="BT14" s="229">
        <v>-0.15379999999999999</v>
      </c>
      <c r="BU14" s="230">
        <v>389019</v>
      </c>
      <c r="BV14" s="230">
        <v>362937</v>
      </c>
      <c r="BW14" s="230">
        <v>26082</v>
      </c>
      <c r="BX14" s="229">
        <v>7.1900000000000006E-2</v>
      </c>
      <c r="BY14" s="230">
        <v>2376</v>
      </c>
      <c r="BZ14" s="230">
        <v>2368</v>
      </c>
      <c r="CA14" s="228">
        <v>8</v>
      </c>
      <c r="CB14" s="229">
        <v>3.2000000000000002E-3</v>
      </c>
      <c r="CC14" s="230">
        <v>2060</v>
      </c>
      <c r="CD14" s="230">
        <v>2198</v>
      </c>
      <c r="CE14" s="228">
        <v>-138</v>
      </c>
      <c r="CF14" s="229">
        <v>-6.2700000000000006E-2</v>
      </c>
      <c r="CG14" s="228">
        <v>303</v>
      </c>
      <c r="CH14" s="228">
        <v>159</v>
      </c>
      <c r="CI14" s="228">
        <v>144</v>
      </c>
      <c r="CJ14" s="229">
        <v>0.90739999999999998</v>
      </c>
      <c r="CK14" s="228">
        <v>12</v>
      </c>
      <c r="CL14" s="228">
        <v>12</v>
      </c>
      <c r="CM14" s="228">
        <v>1</v>
      </c>
      <c r="CN14" s="229">
        <v>8.2699999999999996E-2</v>
      </c>
      <c r="CO14" s="230">
        <v>1666</v>
      </c>
      <c r="CP14" s="230">
        <v>1674</v>
      </c>
      <c r="CQ14" s="228">
        <v>-8</v>
      </c>
      <c r="CR14" s="229">
        <v>-4.8999999999999998E-3</v>
      </c>
      <c r="CS14" s="228">
        <v>799</v>
      </c>
      <c r="CT14" s="228">
        <v>785</v>
      </c>
      <c r="CU14" s="228">
        <v>14</v>
      </c>
      <c r="CV14" s="229">
        <v>1.8200000000000001E-2</v>
      </c>
      <c r="CW14" s="230">
        <v>4841</v>
      </c>
      <c r="CX14" s="230">
        <v>4827</v>
      </c>
      <c r="CY14" s="228">
        <v>14</v>
      </c>
      <c r="CZ14" s="229">
        <v>2.8E-3</v>
      </c>
      <c r="DA14" s="228">
        <v>17.5</v>
      </c>
      <c r="DB14" s="228">
        <v>18.34</v>
      </c>
      <c r="DC14" s="228">
        <v>-0.84</v>
      </c>
      <c r="DD14" s="228">
        <v>-0.84</v>
      </c>
      <c r="DE14" s="228">
        <v>24.9</v>
      </c>
      <c r="DF14" s="228">
        <v>24.97</v>
      </c>
      <c r="DG14" s="228">
        <v>-7.4</v>
      </c>
      <c r="DH14" s="228">
        <v>-7.0000000000000007E-2</v>
      </c>
      <c r="DI14" s="228">
        <v>17.8</v>
      </c>
      <c r="DJ14" s="228">
        <v>19.23</v>
      </c>
      <c r="DK14" s="228">
        <v>-1.43</v>
      </c>
      <c r="DL14" s="228">
        <v>-1.43</v>
      </c>
      <c r="DM14" s="228">
        <v>16.760000000000002</v>
      </c>
      <c r="DN14" s="228">
        <v>16.68</v>
      </c>
      <c r="DO14" s="228">
        <v>0.08</v>
      </c>
      <c r="DP14" s="228">
        <v>0.08</v>
      </c>
      <c r="DQ14" s="228">
        <v>0.48</v>
      </c>
      <c r="DR14" s="228">
        <v>0.47</v>
      </c>
      <c r="DS14" s="228">
        <v>0.01</v>
      </c>
      <c r="DT14" s="229">
        <v>2.1299999999999999E-2</v>
      </c>
      <c r="DU14" s="231">
        <v>7500</v>
      </c>
      <c r="DV14" s="231">
        <v>7000</v>
      </c>
      <c r="DW14" s="228">
        <v>0.41</v>
      </c>
      <c r="DX14" s="228">
        <v>0.54</v>
      </c>
      <c r="DY14" s="228">
        <v>-0.13</v>
      </c>
      <c r="DZ14" s="229">
        <v>-0.2407</v>
      </c>
      <c r="EA14" s="229">
        <v>0.13289999999999999</v>
      </c>
      <c r="EB14" s="230">
        <v>246000</v>
      </c>
      <c r="EC14" s="229">
        <v>6.4000000000000003E-3</v>
      </c>
      <c r="ED14" s="229">
        <v>0.13289999999999999</v>
      </c>
      <c r="EE14" s="228">
        <v>47.73</v>
      </c>
      <c r="EF14" s="229">
        <v>6.8999999999999999E-3</v>
      </c>
      <c r="EG14" s="230">
        <v>263945</v>
      </c>
      <c r="EH14" s="230">
        <v>245066</v>
      </c>
      <c r="EI14" s="229">
        <v>7.6999999999999999E-2</v>
      </c>
      <c r="EJ14" s="229">
        <v>0.67849999999999999</v>
      </c>
      <c r="EK14" s="231">
        <v>1831.25</v>
      </c>
      <c r="EL14" s="228">
        <v>716.49</v>
      </c>
      <c r="EM14" s="228">
        <v>489.88</v>
      </c>
      <c r="EN14" s="228">
        <v>32.659999999999997</v>
      </c>
      <c r="EO14" s="231">
        <v>3037.62</v>
      </c>
      <c r="EP14" s="231">
        <v>3625.48</v>
      </c>
      <c r="EQ14" s="228">
        <v>-587.87</v>
      </c>
      <c r="ER14" s="229">
        <v>-0.16209999999999999</v>
      </c>
      <c r="ES14" s="231">
        <v>1776.58</v>
      </c>
      <c r="ET14" s="228">
        <v>811.38</v>
      </c>
      <c r="EU14" s="231">
        <v>2377.7600000000002</v>
      </c>
      <c r="EV14" s="231">
        <v>15240043</v>
      </c>
      <c r="EW14" s="231">
        <v>4965.72</v>
      </c>
      <c r="EX14" s="231">
        <v>4954.6400000000003</v>
      </c>
      <c r="EY14" s="228">
        <v>11.08</v>
      </c>
      <c r="EZ14" s="229">
        <v>2.2000000000000001E-3</v>
      </c>
      <c r="FA14" s="229">
        <v>0.45810000000000001</v>
      </c>
      <c r="FB14" s="227" t="s">
        <v>555</v>
      </c>
      <c r="FC14">
        <f t="shared" si="0"/>
        <v>316</v>
      </c>
    </row>
    <row r="15" spans="1:159" ht="17.25" thickBot="1" x14ac:dyDescent="0.3">
      <c r="A15" s="226">
        <v>46009</v>
      </c>
      <c r="B15" s="227" t="s">
        <v>162</v>
      </c>
      <c r="C15" s="227" t="s">
        <v>167</v>
      </c>
      <c r="D15" s="228">
        <v>5000</v>
      </c>
      <c r="E15" s="228">
        <v>12</v>
      </c>
      <c r="F15" s="228">
        <v>170.12</v>
      </c>
      <c r="G15" s="228">
        <v>166.15</v>
      </c>
      <c r="H15" s="228">
        <v>3.97</v>
      </c>
      <c r="I15" s="229">
        <v>2.3900000000000001E-2</v>
      </c>
      <c r="J15" s="228">
        <v>171.57</v>
      </c>
      <c r="K15" s="228">
        <v>166.14</v>
      </c>
      <c r="L15" s="228">
        <v>5.43</v>
      </c>
      <c r="M15" s="229">
        <v>3.27E-2</v>
      </c>
      <c r="N15" s="228">
        <v>170.12</v>
      </c>
      <c r="O15" s="228">
        <v>166.15</v>
      </c>
      <c r="P15" s="228">
        <v>3.97</v>
      </c>
      <c r="Q15" s="229">
        <v>2.3900000000000001E-2</v>
      </c>
      <c r="R15" s="228">
        <v>169.01</v>
      </c>
      <c r="S15" s="228">
        <v>165.16</v>
      </c>
      <c r="T15" s="228">
        <v>3.85</v>
      </c>
      <c r="U15" s="229">
        <v>2.3300000000000001E-2</v>
      </c>
      <c r="V15" s="228">
        <v>167.5</v>
      </c>
      <c r="W15" s="228">
        <v>164.3</v>
      </c>
      <c r="X15" s="228">
        <v>3.2</v>
      </c>
      <c r="Y15" s="229">
        <v>1.95E-2</v>
      </c>
      <c r="Z15" s="228">
        <v>-1.45</v>
      </c>
      <c r="AA15" s="228">
        <v>0.01</v>
      </c>
      <c r="AB15" s="228">
        <v>-1.46</v>
      </c>
      <c r="AC15" s="229">
        <v>-8.5000000000000006E-3</v>
      </c>
      <c r="AD15" s="228">
        <v>-1.45</v>
      </c>
      <c r="AE15" s="228">
        <v>0.01</v>
      </c>
      <c r="AF15" s="228">
        <v>-1.46</v>
      </c>
      <c r="AG15" s="229">
        <v>-8.5000000000000006E-3</v>
      </c>
      <c r="AH15" s="228">
        <v>-2.56</v>
      </c>
      <c r="AI15" s="228">
        <v>-0.98</v>
      </c>
      <c r="AJ15" s="228">
        <v>-1.58</v>
      </c>
      <c r="AK15" s="229">
        <v>-1.49E-2</v>
      </c>
      <c r="AL15" s="228">
        <v>-4.07</v>
      </c>
      <c r="AM15" s="228">
        <v>-1.84</v>
      </c>
      <c r="AN15" s="228">
        <v>-2.23</v>
      </c>
      <c r="AO15" s="229">
        <v>-2.3699999999999999E-2</v>
      </c>
      <c r="AP15" s="228">
        <v>168.61</v>
      </c>
      <c r="AQ15" s="228">
        <v>166.89</v>
      </c>
      <c r="AR15" s="228">
        <v>0</v>
      </c>
      <c r="AS15" s="228">
        <v>817</v>
      </c>
      <c r="AT15" s="228">
        <v>376</v>
      </c>
      <c r="AU15" s="228">
        <v>441</v>
      </c>
      <c r="AV15" s="229">
        <v>1.1740999999999999</v>
      </c>
      <c r="AW15" s="228">
        <v>629</v>
      </c>
      <c r="AX15" s="228">
        <v>288</v>
      </c>
      <c r="AY15" s="228">
        <v>341</v>
      </c>
      <c r="AZ15" s="229">
        <v>1.1855</v>
      </c>
      <c r="BA15" s="228">
        <v>175</v>
      </c>
      <c r="BB15" s="228">
        <v>86</v>
      </c>
      <c r="BC15" s="228">
        <v>89</v>
      </c>
      <c r="BD15" s="229">
        <v>1.0396000000000001</v>
      </c>
      <c r="BE15" s="228">
        <v>12</v>
      </c>
      <c r="BF15" s="228">
        <v>2</v>
      </c>
      <c r="BG15" s="228">
        <v>10</v>
      </c>
      <c r="BH15" s="229">
        <v>6.05</v>
      </c>
      <c r="BI15" s="230">
        <v>4072</v>
      </c>
      <c r="BJ15" s="230">
        <v>1041</v>
      </c>
      <c r="BK15" s="230">
        <v>3031</v>
      </c>
      <c r="BL15" s="229">
        <v>2.9112</v>
      </c>
      <c r="BM15" s="230">
        <v>1971</v>
      </c>
      <c r="BN15" s="228">
        <v>689</v>
      </c>
      <c r="BO15" s="230">
        <v>1282</v>
      </c>
      <c r="BP15" s="229">
        <v>1.8595999999999999</v>
      </c>
      <c r="BQ15" s="230">
        <v>6859</v>
      </c>
      <c r="BR15" s="230">
        <v>2106</v>
      </c>
      <c r="BS15" s="230">
        <v>4753</v>
      </c>
      <c r="BT15" s="229">
        <v>2.2572000000000001</v>
      </c>
      <c r="BU15" s="230">
        <v>22218784</v>
      </c>
      <c r="BV15" s="230">
        <v>8504503</v>
      </c>
      <c r="BW15" s="230">
        <v>13714281</v>
      </c>
      <c r="BX15" s="229">
        <v>1.6126</v>
      </c>
      <c r="BY15" s="230">
        <v>2900</v>
      </c>
      <c r="BZ15" s="230">
        <v>2719</v>
      </c>
      <c r="CA15" s="228">
        <v>180</v>
      </c>
      <c r="CB15" s="229">
        <v>6.6299999999999998E-2</v>
      </c>
      <c r="CC15" s="230">
        <v>2484</v>
      </c>
      <c r="CD15" s="230">
        <v>2397</v>
      </c>
      <c r="CE15" s="228">
        <v>87</v>
      </c>
      <c r="CF15" s="229">
        <v>3.6299999999999999E-2</v>
      </c>
      <c r="CG15" s="228">
        <v>400</v>
      </c>
      <c r="CH15" s="228">
        <v>309</v>
      </c>
      <c r="CI15" s="228">
        <v>91</v>
      </c>
      <c r="CJ15" s="229">
        <v>0.29310000000000003</v>
      </c>
      <c r="CK15" s="228">
        <v>15</v>
      </c>
      <c r="CL15" s="228">
        <v>13</v>
      </c>
      <c r="CM15" s="228">
        <v>3</v>
      </c>
      <c r="CN15" s="229">
        <v>0.20949999999999999</v>
      </c>
      <c r="CO15" s="230">
        <v>1250</v>
      </c>
      <c r="CP15" s="230">
        <v>1154</v>
      </c>
      <c r="CQ15" s="228">
        <v>96</v>
      </c>
      <c r="CR15" s="229">
        <v>8.3500000000000005E-2</v>
      </c>
      <c r="CS15" s="230">
        <v>1249</v>
      </c>
      <c r="CT15" s="230">
        <v>1126</v>
      </c>
      <c r="CU15" s="228">
        <v>123</v>
      </c>
      <c r="CV15" s="229">
        <v>0.1095</v>
      </c>
      <c r="CW15" s="230">
        <v>5399</v>
      </c>
      <c r="CX15" s="230">
        <v>4999</v>
      </c>
      <c r="CY15" s="228">
        <v>400</v>
      </c>
      <c r="CZ15" s="229">
        <v>0.08</v>
      </c>
      <c r="DA15" s="228">
        <v>23.53</v>
      </c>
      <c r="DB15" s="228">
        <v>22.84</v>
      </c>
      <c r="DC15" s="228">
        <v>0.69</v>
      </c>
      <c r="DD15" s="228">
        <v>0.69</v>
      </c>
      <c r="DE15" s="228">
        <v>35.28</v>
      </c>
      <c r="DF15" s="228">
        <v>35.1</v>
      </c>
      <c r="DG15" s="228">
        <v>-11.75</v>
      </c>
      <c r="DH15" s="228">
        <v>0.18</v>
      </c>
      <c r="DI15" s="228">
        <v>22.77</v>
      </c>
      <c r="DJ15" s="228">
        <v>22.22</v>
      </c>
      <c r="DK15" s="228">
        <v>0.55000000000000004</v>
      </c>
      <c r="DL15" s="228">
        <v>0.55000000000000004</v>
      </c>
      <c r="DM15" s="228">
        <v>25.09</v>
      </c>
      <c r="DN15" s="228">
        <v>23.78</v>
      </c>
      <c r="DO15" s="228">
        <v>1.31</v>
      </c>
      <c r="DP15" s="228">
        <v>1.31</v>
      </c>
      <c r="DQ15" s="228">
        <v>1</v>
      </c>
      <c r="DR15" s="228">
        <v>0.98</v>
      </c>
      <c r="DS15" s="228">
        <v>0.02</v>
      </c>
      <c r="DT15" s="229">
        <v>2.0400000000000001E-2</v>
      </c>
      <c r="DU15" s="228">
        <v>175</v>
      </c>
      <c r="DV15" s="228">
        <v>160</v>
      </c>
      <c r="DW15" s="228">
        <v>0.48</v>
      </c>
      <c r="DX15" s="228">
        <v>0.66</v>
      </c>
      <c r="DY15" s="228">
        <v>-0.18</v>
      </c>
      <c r="DZ15" s="229">
        <v>-0.2727</v>
      </c>
      <c r="EA15" s="229">
        <v>0.14319999999999999</v>
      </c>
      <c r="EB15" s="230">
        <v>18925000</v>
      </c>
      <c r="EC15" s="229">
        <v>-6.4999999999999997E-3</v>
      </c>
      <c r="ED15" s="229">
        <v>0.14319999999999999</v>
      </c>
      <c r="EE15" s="228">
        <v>-1.72</v>
      </c>
      <c r="EF15" s="229">
        <v>-1.0200000000000001E-2</v>
      </c>
      <c r="EG15" s="230">
        <v>11448249</v>
      </c>
      <c r="EH15" s="230">
        <v>4710344</v>
      </c>
      <c r="EI15" s="229">
        <v>1.4303999999999999</v>
      </c>
      <c r="EJ15" s="229">
        <v>0.51529999999999998</v>
      </c>
      <c r="EK15" s="231">
        <v>4158.95</v>
      </c>
      <c r="EL15" s="231">
        <v>1898.87</v>
      </c>
      <c r="EM15" s="228">
        <v>807.45</v>
      </c>
      <c r="EN15" s="228">
        <v>52.34</v>
      </c>
      <c r="EO15" s="231">
        <v>6865.26</v>
      </c>
      <c r="EP15" s="231">
        <v>2066.5500000000002</v>
      </c>
      <c r="EQ15" s="231">
        <v>4798.71</v>
      </c>
      <c r="ER15" s="229">
        <v>2.3220999999999998</v>
      </c>
      <c r="ES15" s="231">
        <v>1227.08</v>
      </c>
      <c r="ET15" s="231">
        <v>1144.52</v>
      </c>
      <c r="EU15" s="231">
        <v>2896.85</v>
      </c>
      <c r="EV15" s="231">
        <v>409181558</v>
      </c>
      <c r="EW15" s="231">
        <v>5268.46</v>
      </c>
      <c r="EX15" s="231">
        <v>4787.3599999999997</v>
      </c>
      <c r="EY15" s="228">
        <v>481.1</v>
      </c>
      <c r="EZ15" s="229">
        <v>0.10050000000000001</v>
      </c>
      <c r="FA15" s="229">
        <v>0.77559999999999996</v>
      </c>
      <c r="FB15" s="227" t="s">
        <v>555</v>
      </c>
      <c r="FC15">
        <f t="shared" si="0"/>
        <v>416</v>
      </c>
    </row>
    <row r="16" spans="1:159" ht="17.25" thickBot="1" x14ac:dyDescent="0.3">
      <c r="A16" s="226">
        <v>46009</v>
      </c>
      <c r="B16" s="227" t="s">
        <v>168</v>
      </c>
      <c r="C16" s="227" t="s">
        <v>169</v>
      </c>
      <c r="D16" s="228">
        <v>250</v>
      </c>
      <c r="E16" s="228">
        <v>12</v>
      </c>
      <c r="F16" s="231">
        <v>2764.1</v>
      </c>
      <c r="G16" s="231">
        <v>2785.6</v>
      </c>
      <c r="H16" s="228">
        <v>-21.5</v>
      </c>
      <c r="I16" s="229">
        <v>-7.7000000000000002E-3</v>
      </c>
      <c r="J16" s="231">
        <v>2759.7</v>
      </c>
      <c r="K16" s="231">
        <v>2785.7</v>
      </c>
      <c r="L16" s="228">
        <v>-26</v>
      </c>
      <c r="M16" s="229">
        <v>-9.2999999999999992E-3</v>
      </c>
      <c r="N16" s="231">
        <v>2764.1</v>
      </c>
      <c r="O16" s="231">
        <v>2785.6</v>
      </c>
      <c r="P16" s="228">
        <v>-21.5</v>
      </c>
      <c r="Q16" s="229">
        <v>-7.7000000000000002E-3</v>
      </c>
      <c r="R16" s="231">
        <v>2782.8</v>
      </c>
      <c r="S16" s="231">
        <v>2803.3</v>
      </c>
      <c r="T16" s="228">
        <v>-20.5</v>
      </c>
      <c r="U16" s="229">
        <v>-7.3000000000000001E-3</v>
      </c>
      <c r="V16" s="231">
        <v>2800</v>
      </c>
      <c r="W16" s="231">
        <v>2818.2</v>
      </c>
      <c r="X16" s="228">
        <v>-18.2</v>
      </c>
      <c r="Y16" s="229">
        <v>-6.4999999999999997E-3</v>
      </c>
      <c r="Z16" s="228">
        <v>4.4000000000000004</v>
      </c>
      <c r="AA16" s="228">
        <v>-0.1</v>
      </c>
      <c r="AB16" s="228">
        <v>4.5</v>
      </c>
      <c r="AC16" s="229">
        <v>1.6000000000000001E-3</v>
      </c>
      <c r="AD16" s="228">
        <v>4.4000000000000004</v>
      </c>
      <c r="AE16" s="228">
        <v>-0.1</v>
      </c>
      <c r="AF16" s="228">
        <v>4.5</v>
      </c>
      <c r="AG16" s="229">
        <v>1.6000000000000001E-3</v>
      </c>
      <c r="AH16" s="228">
        <v>23.1</v>
      </c>
      <c r="AI16" s="228">
        <v>17.600000000000001</v>
      </c>
      <c r="AJ16" s="228">
        <v>5.5</v>
      </c>
      <c r="AK16" s="229">
        <v>8.3999999999999995E-3</v>
      </c>
      <c r="AL16" s="228">
        <v>40.299999999999997</v>
      </c>
      <c r="AM16" s="228">
        <v>32.5</v>
      </c>
      <c r="AN16" s="228">
        <v>7.8</v>
      </c>
      <c r="AO16" s="229">
        <v>1.46E-2</v>
      </c>
      <c r="AP16" s="231">
        <v>2770.24</v>
      </c>
      <c r="AQ16" s="231">
        <v>2788.43</v>
      </c>
      <c r="AR16" s="228">
        <v>0</v>
      </c>
      <c r="AS16" s="228">
        <v>267</v>
      </c>
      <c r="AT16" s="228">
        <v>330</v>
      </c>
      <c r="AU16" s="228">
        <v>-63</v>
      </c>
      <c r="AV16" s="229">
        <v>-0.19089999999999999</v>
      </c>
      <c r="AW16" s="228">
        <v>214</v>
      </c>
      <c r="AX16" s="228">
        <v>262</v>
      </c>
      <c r="AY16" s="228">
        <v>-48</v>
      </c>
      <c r="AZ16" s="229">
        <v>-0.18310000000000001</v>
      </c>
      <c r="BA16" s="228">
        <v>51</v>
      </c>
      <c r="BB16" s="228">
        <v>66</v>
      </c>
      <c r="BC16" s="228">
        <v>-15</v>
      </c>
      <c r="BD16" s="229">
        <v>-0.23269999999999999</v>
      </c>
      <c r="BE16" s="228">
        <v>2</v>
      </c>
      <c r="BF16" s="228">
        <v>2</v>
      </c>
      <c r="BG16" s="228">
        <v>0</v>
      </c>
      <c r="BH16" s="229">
        <v>0.1852</v>
      </c>
      <c r="BI16" s="230">
        <v>1940</v>
      </c>
      <c r="BJ16" s="230">
        <v>1801</v>
      </c>
      <c r="BK16" s="228">
        <v>140</v>
      </c>
      <c r="BL16" s="229">
        <v>7.7600000000000002E-2</v>
      </c>
      <c r="BM16" s="228">
        <v>796</v>
      </c>
      <c r="BN16" s="228">
        <v>687</v>
      </c>
      <c r="BO16" s="228">
        <v>109</v>
      </c>
      <c r="BP16" s="229">
        <v>0.15870000000000001</v>
      </c>
      <c r="BQ16" s="230">
        <v>3003</v>
      </c>
      <c r="BR16" s="230">
        <v>2817</v>
      </c>
      <c r="BS16" s="228">
        <v>186</v>
      </c>
      <c r="BT16" s="229">
        <v>6.6000000000000003E-2</v>
      </c>
      <c r="BU16" s="230">
        <v>424876</v>
      </c>
      <c r="BV16" s="230">
        <v>658830</v>
      </c>
      <c r="BW16" s="230">
        <v>-233954</v>
      </c>
      <c r="BX16" s="229">
        <v>-0.35510000000000003</v>
      </c>
      <c r="BY16" s="230">
        <v>3388</v>
      </c>
      <c r="BZ16" s="230">
        <v>3375</v>
      </c>
      <c r="CA16" s="228">
        <v>13</v>
      </c>
      <c r="CB16" s="229">
        <v>3.7000000000000002E-3</v>
      </c>
      <c r="CC16" s="230">
        <v>3191</v>
      </c>
      <c r="CD16" s="230">
        <v>3212</v>
      </c>
      <c r="CE16" s="228">
        <v>-22</v>
      </c>
      <c r="CF16" s="229">
        <v>-6.7999999999999996E-3</v>
      </c>
      <c r="CG16" s="228">
        <v>177</v>
      </c>
      <c r="CH16" s="228">
        <v>144</v>
      </c>
      <c r="CI16" s="228">
        <v>33</v>
      </c>
      <c r="CJ16" s="229">
        <v>0.23130000000000001</v>
      </c>
      <c r="CK16" s="228">
        <v>20</v>
      </c>
      <c r="CL16" s="228">
        <v>18</v>
      </c>
      <c r="CM16" s="228">
        <v>1</v>
      </c>
      <c r="CN16" s="229">
        <v>5.9900000000000002E-2</v>
      </c>
      <c r="CO16" s="230">
        <v>2504</v>
      </c>
      <c r="CP16" s="230">
        <v>2455</v>
      </c>
      <c r="CQ16" s="228">
        <v>49</v>
      </c>
      <c r="CR16" s="229">
        <v>1.9800000000000002E-2</v>
      </c>
      <c r="CS16" s="230">
        <v>1236</v>
      </c>
      <c r="CT16" s="230">
        <v>1254</v>
      </c>
      <c r="CU16" s="228">
        <v>-18</v>
      </c>
      <c r="CV16" s="229">
        <v>-1.41E-2</v>
      </c>
      <c r="CW16" s="230">
        <v>7128</v>
      </c>
      <c r="CX16" s="230">
        <v>7084</v>
      </c>
      <c r="CY16" s="228">
        <v>44</v>
      </c>
      <c r="CZ16" s="229">
        <v>6.1999999999999998E-3</v>
      </c>
      <c r="DA16" s="228">
        <v>18.86</v>
      </c>
      <c r="DB16" s="228">
        <v>18.27</v>
      </c>
      <c r="DC16" s="228">
        <v>0.59</v>
      </c>
      <c r="DD16" s="228">
        <v>0.59</v>
      </c>
      <c r="DE16" s="228">
        <v>25.16</v>
      </c>
      <c r="DF16" s="228">
        <v>25.19</v>
      </c>
      <c r="DG16" s="228">
        <v>-6.3</v>
      </c>
      <c r="DH16" s="228">
        <v>-0.03</v>
      </c>
      <c r="DI16" s="228">
        <v>19.43</v>
      </c>
      <c r="DJ16" s="228">
        <v>18.38</v>
      </c>
      <c r="DK16" s="228">
        <v>1.05</v>
      </c>
      <c r="DL16" s="228">
        <v>1.05</v>
      </c>
      <c r="DM16" s="228">
        <v>17.45</v>
      </c>
      <c r="DN16" s="228">
        <v>17.97</v>
      </c>
      <c r="DO16" s="228">
        <v>-0.52</v>
      </c>
      <c r="DP16" s="228">
        <v>-0.52</v>
      </c>
      <c r="DQ16" s="228">
        <v>0.49</v>
      </c>
      <c r="DR16" s="228">
        <v>0.51</v>
      </c>
      <c r="DS16" s="228">
        <v>-0.02</v>
      </c>
      <c r="DT16" s="229">
        <v>-3.9199999999999999E-2</v>
      </c>
      <c r="DU16" s="231">
        <v>3000</v>
      </c>
      <c r="DV16" s="231">
        <v>2600</v>
      </c>
      <c r="DW16" s="228">
        <v>0.41</v>
      </c>
      <c r="DX16" s="228">
        <v>0.38</v>
      </c>
      <c r="DY16" s="228">
        <v>0.03</v>
      </c>
      <c r="DZ16" s="229">
        <v>7.8899999999999998E-2</v>
      </c>
      <c r="EA16" s="229">
        <v>5.8099999999999999E-2</v>
      </c>
      <c r="EB16" s="230">
        <v>587750</v>
      </c>
      <c r="EC16" s="229">
        <v>6.7999999999999996E-3</v>
      </c>
      <c r="ED16" s="229">
        <v>5.8099999999999999E-2</v>
      </c>
      <c r="EE16" s="228">
        <v>18.190000000000001</v>
      </c>
      <c r="EF16" s="229">
        <v>6.6E-3</v>
      </c>
      <c r="EG16" s="230">
        <v>211667</v>
      </c>
      <c r="EH16" s="230">
        <v>426649</v>
      </c>
      <c r="EI16" s="229">
        <v>-0.50390000000000001</v>
      </c>
      <c r="EJ16" s="229">
        <v>0.49819999999999998</v>
      </c>
      <c r="EK16" s="231">
        <v>2024.28</v>
      </c>
      <c r="EL16" s="228">
        <v>795.07</v>
      </c>
      <c r="EM16" s="228">
        <v>267.69</v>
      </c>
      <c r="EN16" s="228">
        <v>60.13</v>
      </c>
      <c r="EO16" s="231">
        <v>3087.04</v>
      </c>
      <c r="EP16" s="231">
        <v>2897.44</v>
      </c>
      <c r="EQ16" s="228">
        <v>189.6</v>
      </c>
      <c r="ER16" s="229">
        <v>6.54E-2</v>
      </c>
      <c r="ES16" s="231">
        <v>2663.84</v>
      </c>
      <c r="ET16" s="231">
        <v>1224.5999999999999</v>
      </c>
      <c r="EU16" s="231">
        <v>3389</v>
      </c>
      <c r="EV16" s="231">
        <v>52357280</v>
      </c>
      <c r="EW16" s="231">
        <v>7277.44</v>
      </c>
      <c r="EX16" s="231">
        <v>7261.85</v>
      </c>
      <c r="EY16" s="228">
        <v>15.59</v>
      </c>
      <c r="EZ16" s="229">
        <v>2.0999999999999999E-3</v>
      </c>
      <c r="FA16" s="229">
        <v>0.49249999999999999</v>
      </c>
      <c r="FB16" s="227" t="s">
        <v>567</v>
      </c>
      <c r="FC16">
        <f t="shared" si="0"/>
        <v>197</v>
      </c>
    </row>
    <row r="17" spans="1:159" ht="17.25" thickBot="1" x14ac:dyDescent="0.3">
      <c r="A17" s="226">
        <v>46009</v>
      </c>
      <c r="B17" s="227" t="s">
        <v>184</v>
      </c>
      <c r="C17" s="227" t="s">
        <v>503</v>
      </c>
      <c r="D17" s="228">
        <v>425</v>
      </c>
      <c r="E17" s="228">
        <v>12</v>
      </c>
      <c r="F17" s="231">
        <v>1414</v>
      </c>
      <c r="G17" s="231">
        <v>1430.9</v>
      </c>
      <c r="H17" s="228">
        <v>-16.899999999999999</v>
      </c>
      <c r="I17" s="229">
        <v>-1.18E-2</v>
      </c>
      <c r="J17" s="231">
        <v>1407.9</v>
      </c>
      <c r="K17" s="231">
        <v>1428.9</v>
      </c>
      <c r="L17" s="228">
        <v>-21</v>
      </c>
      <c r="M17" s="229">
        <v>-1.47E-2</v>
      </c>
      <c r="N17" s="231">
        <v>1414</v>
      </c>
      <c r="O17" s="231">
        <v>1430.9</v>
      </c>
      <c r="P17" s="228">
        <v>-16.899999999999999</v>
      </c>
      <c r="Q17" s="229">
        <v>-1.18E-2</v>
      </c>
      <c r="R17" s="231">
        <v>1418.3</v>
      </c>
      <c r="S17" s="231">
        <v>1433.6</v>
      </c>
      <c r="T17" s="228">
        <v>-15.3</v>
      </c>
      <c r="U17" s="229">
        <v>-1.0699999999999999E-2</v>
      </c>
      <c r="V17" s="231">
        <v>1416.7</v>
      </c>
      <c r="W17" s="231">
        <v>1436.3</v>
      </c>
      <c r="X17" s="228">
        <v>-19.600000000000001</v>
      </c>
      <c r="Y17" s="229">
        <v>-1.3599999999999999E-2</v>
      </c>
      <c r="Z17" s="228">
        <v>6.1</v>
      </c>
      <c r="AA17" s="228">
        <v>2</v>
      </c>
      <c r="AB17" s="228">
        <v>4.0999999999999996</v>
      </c>
      <c r="AC17" s="229">
        <v>4.3E-3</v>
      </c>
      <c r="AD17" s="228">
        <v>6.1</v>
      </c>
      <c r="AE17" s="228">
        <v>2</v>
      </c>
      <c r="AF17" s="228">
        <v>4.0999999999999996</v>
      </c>
      <c r="AG17" s="229">
        <v>4.3E-3</v>
      </c>
      <c r="AH17" s="228">
        <v>10.4</v>
      </c>
      <c r="AI17" s="228">
        <v>4.7</v>
      </c>
      <c r="AJ17" s="228">
        <v>5.7</v>
      </c>
      <c r="AK17" s="229">
        <v>7.4000000000000003E-3</v>
      </c>
      <c r="AL17" s="228">
        <v>8.8000000000000007</v>
      </c>
      <c r="AM17" s="228">
        <v>7.4</v>
      </c>
      <c r="AN17" s="228">
        <v>1.4</v>
      </c>
      <c r="AO17" s="229">
        <v>6.3E-3</v>
      </c>
      <c r="AP17" s="231">
        <v>1419.05</v>
      </c>
      <c r="AQ17" s="231">
        <v>1422.3</v>
      </c>
      <c r="AR17" s="228">
        <v>0</v>
      </c>
      <c r="AS17" s="228">
        <v>141</v>
      </c>
      <c r="AT17" s="228">
        <v>177</v>
      </c>
      <c r="AU17" s="228">
        <v>-36</v>
      </c>
      <c r="AV17" s="229">
        <v>-0.20180000000000001</v>
      </c>
      <c r="AW17" s="228">
        <v>118</v>
      </c>
      <c r="AX17" s="228">
        <v>151</v>
      </c>
      <c r="AY17" s="228">
        <v>-33</v>
      </c>
      <c r="AZ17" s="229">
        <v>-0.22070000000000001</v>
      </c>
      <c r="BA17" s="228">
        <v>23</v>
      </c>
      <c r="BB17" s="228">
        <v>24</v>
      </c>
      <c r="BC17" s="228">
        <v>-2</v>
      </c>
      <c r="BD17" s="229">
        <v>-6.4000000000000001E-2</v>
      </c>
      <c r="BE17" s="228">
        <v>1</v>
      </c>
      <c r="BF17" s="228">
        <v>1</v>
      </c>
      <c r="BG17" s="228">
        <v>-1</v>
      </c>
      <c r="BH17" s="229">
        <v>-0.56520000000000004</v>
      </c>
      <c r="BI17" s="228">
        <v>346</v>
      </c>
      <c r="BJ17" s="228">
        <v>609</v>
      </c>
      <c r="BK17" s="228">
        <v>-263</v>
      </c>
      <c r="BL17" s="229">
        <v>-0.43159999999999998</v>
      </c>
      <c r="BM17" s="228">
        <v>243</v>
      </c>
      <c r="BN17" s="228">
        <v>436</v>
      </c>
      <c r="BO17" s="228">
        <v>-193</v>
      </c>
      <c r="BP17" s="229">
        <v>-0.44309999999999999</v>
      </c>
      <c r="BQ17" s="228">
        <v>730</v>
      </c>
      <c r="BR17" s="230">
        <v>1222</v>
      </c>
      <c r="BS17" s="228">
        <v>-492</v>
      </c>
      <c r="BT17" s="229">
        <v>-0.40239999999999998</v>
      </c>
      <c r="BU17" s="230">
        <v>456286</v>
      </c>
      <c r="BV17" s="230">
        <v>377870</v>
      </c>
      <c r="BW17" s="230">
        <v>78416</v>
      </c>
      <c r="BX17" s="229">
        <v>0.20749999999999999</v>
      </c>
      <c r="BY17" s="230">
        <v>1099</v>
      </c>
      <c r="BZ17" s="230">
        <v>1078</v>
      </c>
      <c r="CA17" s="228">
        <v>21</v>
      </c>
      <c r="CB17" s="229">
        <v>1.9599999999999999E-2</v>
      </c>
      <c r="CC17" s="228">
        <v>991</v>
      </c>
      <c r="CD17" s="228">
        <v>977</v>
      </c>
      <c r="CE17" s="228">
        <v>14</v>
      </c>
      <c r="CF17" s="229">
        <v>1.4500000000000001E-2</v>
      </c>
      <c r="CG17" s="228">
        <v>100</v>
      </c>
      <c r="CH17" s="228">
        <v>94</v>
      </c>
      <c r="CI17" s="228">
        <v>7</v>
      </c>
      <c r="CJ17" s="229">
        <v>7.1900000000000006E-2</v>
      </c>
      <c r="CK17" s="228">
        <v>7</v>
      </c>
      <c r="CL17" s="228">
        <v>7</v>
      </c>
      <c r="CM17" s="228">
        <v>0</v>
      </c>
      <c r="CN17" s="229">
        <v>3.3599999999999998E-2</v>
      </c>
      <c r="CO17" s="228">
        <v>528</v>
      </c>
      <c r="CP17" s="228">
        <v>526</v>
      </c>
      <c r="CQ17" s="228">
        <v>2</v>
      </c>
      <c r="CR17" s="229">
        <v>4.5999999999999999E-3</v>
      </c>
      <c r="CS17" s="228">
        <v>279</v>
      </c>
      <c r="CT17" s="228">
        <v>266</v>
      </c>
      <c r="CU17" s="228">
        <v>13</v>
      </c>
      <c r="CV17" s="229">
        <v>5.0200000000000002E-2</v>
      </c>
      <c r="CW17" s="230">
        <v>1906</v>
      </c>
      <c r="CX17" s="230">
        <v>1869</v>
      </c>
      <c r="CY17" s="228">
        <v>37</v>
      </c>
      <c r="CZ17" s="229">
        <v>1.9699999999999999E-2</v>
      </c>
      <c r="DA17" s="228">
        <v>23.33</v>
      </c>
      <c r="DB17" s="228">
        <v>24.27</v>
      </c>
      <c r="DC17" s="228">
        <v>-0.94</v>
      </c>
      <c r="DD17" s="228">
        <v>-0.94</v>
      </c>
      <c r="DE17" s="228">
        <v>33.69</v>
      </c>
      <c r="DF17" s="228">
        <v>33.74</v>
      </c>
      <c r="DG17" s="228">
        <v>-10.36</v>
      </c>
      <c r="DH17" s="228">
        <v>-0.05</v>
      </c>
      <c r="DI17" s="228">
        <v>24.01</v>
      </c>
      <c r="DJ17" s="228">
        <v>24.67</v>
      </c>
      <c r="DK17" s="228">
        <v>-0.66</v>
      </c>
      <c r="DL17" s="228">
        <v>-0.66</v>
      </c>
      <c r="DM17" s="228">
        <v>22.35</v>
      </c>
      <c r="DN17" s="228">
        <v>23.72</v>
      </c>
      <c r="DO17" s="228">
        <v>-1.37</v>
      </c>
      <c r="DP17" s="228">
        <v>-1.37</v>
      </c>
      <c r="DQ17" s="228">
        <v>0.53</v>
      </c>
      <c r="DR17" s="228">
        <v>0.51</v>
      </c>
      <c r="DS17" s="228">
        <v>0.02</v>
      </c>
      <c r="DT17" s="229">
        <v>3.9199999999999999E-2</v>
      </c>
      <c r="DU17" s="231">
        <v>1500</v>
      </c>
      <c r="DV17" s="231">
        <v>1400</v>
      </c>
      <c r="DW17" s="228">
        <v>0.7</v>
      </c>
      <c r="DX17" s="228">
        <v>0.72</v>
      </c>
      <c r="DY17" s="228">
        <v>-0.02</v>
      </c>
      <c r="DZ17" s="229">
        <v>-2.7799999999999998E-2</v>
      </c>
      <c r="EA17" s="229">
        <v>9.8000000000000004E-2</v>
      </c>
      <c r="EB17" s="230">
        <v>712300</v>
      </c>
      <c r="EC17" s="229">
        <v>3.0000000000000001E-3</v>
      </c>
      <c r="ED17" s="229">
        <v>9.8000000000000004E-2</v>
      </c>
      <c r="EE17" s="228">
        <v>3.25</v>
      </c>
      <c r="EF17" s="229">
        <v>2.3E-3</v>
      </c>
      <c r="EG17" s="230">
        <v>241374</v>
      </c>
      <c r="EH17" s="230">
        <v>130901</v>
      </c>
      <c r="EI17" s="229">
        <v>0.84389999999999998</v>
      </c>
      <c r="EJ17" s="229">
        <v>0.52900000000000003</v>
      </c>
      <c r="EK17" s="228">
        <v>365.6</v>
      </c>
      <c r="EL17" s="228">
        <v>242.71</v>
      </c>
      <c r="EM17" s="228">
        <v>141.78</v>
      </c>
      <c r="EN17" s="228">
        <v>35.32</v>
      </c>
      <c r="EO17" s="228">
        <v>750.09</v>
      </c>
      <c r="EP17" s="231">
        <v>1270.31</v>
      </c>
      <c r="EQ17" s="228">
        <v>-520.22</v>
      </c>
      <c r="ER17" s="229">
        <v>-0.40949999999999998</v>
      </c>
      <c r="ES17" s="228">
        <v>569.03</v>
      </c>
      <c r="ET17" s="228">
        <v>277.62</v>
      </c>
      <c r="EU17" s="231">
        <v>1099.04</v>
      </c>
      <c r="EV17" s="231">
        <v>18495534</v>
      </c>
      <c r="EW17" s="231">
        <v>1945.69</v>
      </c>
      <c r="EX17" s="231">
        <v>1923.11</v>
      </c>
      <c r="EY17" s="228">
        <v>22.58</v>
      </c>
      <c r="EZ17" s="229">
        <v>1.17E-2</v>
      </c>
      <c r="FA17" s="229">
        <v>0.7288</v>
      </c>
      <c r="FB17" s="227" t="s">
        <v>567</v>
      </c>
      <c r="FC17">
        <f t="shared" si="0"/>
        <v>108</v>
      </c>
    </row>
    <row r="18" spans="1:159" ht="17.25" thickBot="1" x14ac:dyDescent="0.3">
      <c r="A18" s="226">
        <v>46009</v>
      </c>
      <c r="B18" s="227" t="s">
        <v>172</v>
      </c>
      <c r="C18" s="227" t="s">
        <v>495</v>
      </c>
      <c r="D18" s="228">
        <v>1000</v>
      </c>
      <c r="E18" s="228">
        <v>12</v>
      </c>
      <c r="F18" s="228">
        <v>987.4</v>
      </c>
      <c r="G18" s="228">
        <v>988.7</v>
      </c>
      <c r="H18" s="228">
        <v>-1.3</v>
      </c>
      <c r="I18" s="229">
        <v>-1.2999999999999999E-3</v>
      </c>
      <c r="J18" s="228">
        <v>987.65</v>
      </c>
      <c r="K18" s="228">
        <v>990.3</v>
      </c>
      <c r="L18" s="228">
        <v>-2.65</v>
      </c>
      <c r="M18" s="229">
        <v>-2.7000000000000001E-3</v>
      </c>
      <c r="N18" s="228">
        <v>987.4</v>
      </c>
      <c r="O18" s="228">
        <v>988.7</v>
      </c>
      <c r="P18" s="228">
        <v>-1.3</v>
      </c>
      <c r="Q18" s="229">
        <v>-1.2999999999999999E-3</v>
      </c>
      <c r="R18" s="228">
        <v>990.25</v>
      </c>
      <c r="S18" s="228">
        <v>991.95</v>
      </c>
      <c r="T18" s="228">
        <v>-1.7</v>
      </c>
      <c r="U18" s="229">
        <v>-1.6999999999999999E-3</v>
      </c>
      <c r="V18" s="228">
        <v>993</v>
      </c>
      <c r="W18" s="228">
        <v>994.85</v>
      </c>
      <c r="X18" s="228">
        <v>-1.85</v>
      </c>
      <c r="Y18" s="229">
        <v>-1.9E-3</v>
      </c>
      <c r="Z18" s="228">
        <v>-0.25</v>
      </c>
      <c r="AA18" s="228">
        <v>-1.6</v>
      </c>
      <c r="AB18" s="228">
        <v>1.35</v>
      </c>
      <c r="AC18" s="229">
        <v>-2.9999999999999997E-4</v>
      </c>
      <c r="AD18" s="228">
        <v>-0.25</v>
      </c>
      <c r="AE18" s="228">
        <v>-1.6</v>
      </c>
      <c r="AF18" s="228">
        <v>1.35</v>
      </c>
      <c r="AG18" s="229">
        <v>-2.9999999999999997E-4</v>
      </c>
      <c r="AH18" s="228">
        <v>2.6</v>
      </c>
      <c r="AI18" s="228">
        <v>1.65</v>
      </c>
      <c r="AJ18" s="228">
        <v>0.95</v>
      </c>
      <c r="AK18" s="229">
        <v>2.5999999999999999E-3</v>
      </c>
      <c r="AL18" s="228">
        <v>5.35</v>
      </c>
      <c r="AM18" s="228">
        <v>4.55</v>
      </c>
      <c r="AN18" s="228">
        <v>0.8</v>
      </c>
      <c r="AO18" s="229">
        <v>5.4000000000000003E-3</v>
      </c>
      <c r="AP18" s="228">
        <v>986.49</v>
      </c>
      <c r="AQ18" s="228">
        <v>988.58</v>
      </c>
      <c r="AR18" s="228">
        <v>0</v>
      </c>
      <c r="AS18" s="228">
        <v>464</v>
      </c>
      <c r="AT18" s="228">
        <v>630</v>
      </c>
      <c r="AU18" s="228">
        <v>-166</v>
      </c>
      <c r="AV18" s="229">
        <v>-0.26340000000000002</v>
      </c>
      <c r="AW18" s="228">
        <v>309</v>
      </c>
      <c r="AX18" s="228">
        <v>478</v>
      </c>
      <c r="AY18" s="228">
        <v>-170</v>
      </c>
      <c r="AZ18" s="229">
        <v>-0.35449999999999998</v>
      </c>
      <c r="BA18" s="228">
        <v>154</v>
      </c>
      <c r="BB18" s="228">
        <v>145</v>
      </c>
      <c r="BC18" s="228">
        <v>8</v>
      </c>
      <c r="BD18" s="229">
        <v>5.57E-2</v>
      </c>
      <c r="BE18" s="228">
        <v>2</v>
      </c>
      <c r="BF18" s="228">
        <v>6</v>
      </c>
      <c r="BG18" s="228">
        <v>-4</v>
      </c>
      <c r="BH18" s="229">
        <v>-0.7258</v>
      </c>
      <c r="BI18" s="228">
        <v>622</v>
      </c>
      <c r="BJ18" s="230">
        <v>1890</v>
      </c>
      <c r="BK18" s="230">
        <v>-1268</v>
      </c>
      <c r="BL18" s="229">
        <v>-0.67100000000000004</v>
      </c>
      <c r="BM18" s="228">
        <v>410</v>
      </c>
      <c r="BN18" s="228">
        <v>771</v>
      </c>
      <c r="BO18" s="228">
        <v>-361</v>
      </c>
      <c r="BP18" s="229">
        <v>-0.46860000000000002</v>
      </c>
      <c r="BQ18" s="230">
        <v>1496</v>
      </c>
      <c r="BR18" s="230">
        <v>3291</v>
      </c>
      <c r="BS18" s="230">
        <v>-1795</v>
      </c>
      <c r="BT18" s="229">
        <v>-0.54549999999999998</v>
      </c>
      <c r="BU18" s="230">
        <v>1570224</v>
      </c>
      <c r="BV18" s="230">
        <v>3675195</v>
      </c>
      <c r="BW18" s="230">
        <v>-2104971</v>
      </c>
      <c r="BX18" s="229">
        <v>-0.57279999999999998</v>
      </c>
      <c r="BY18" s="230">
        <v>2214</v>
      </c>
      <c r="BZ18" s="230">
        <v>2105</v>
      </c>
      <c r="CA18" s="228">
        <v>109</v>
      </c>
      <c r="CB18" s="229">
        <v>5.1799999999999999E-2</v>
      </c>
      <c r="CC18" s="230">
        <v>1858</v>
      </c>
      <c r="CD18" s="230">
        <v>1841</v>
      </c>
      <c r="CE18" s="228">
        <v>17</v>
      </c>
      <c r="CF18" s="229">
        <v>8.9999999999999993E-3</v>
      </c>
      <c r="CG18" s="228">
        <v>335</v>
      </c>
      <c r="CH18" s="228">
        <v>243</v>
      </c>
      <c r="CI18" s="228">
        <v>92</v>
      </c>
      <c r="CJ18" s="229">
        <v>0.377</v>
      </c>
      <c r="CK18" s="228">
        <v>21</v>
      </c>
      <c r="CL18" s="228">
        <v>21</v>
      </c>
      <c r="CM18" s="228">
        <v>1</v>
      </c>
      <c r="CN18" s="229">
        <v>3.3300000000000003E-2</v>
      </c>
      <c r="CO18" s="228">
        <v>835</v>
      </c>
      <c r="CP18" s="228">
        <v>855</v>
      </c>
      <c r="CQ18" s="228">
        <v>-20</v>
      </c>
      <c r="CR18" s="229">
        <v>-2.3800000000000002E-2</v>
      </c>
      <c r="CS18" s="228">
        <v>691</v>
      </c>
      <c r="CT18" s="228">
        <v>694</v>
      </c>
      <c r="CU18" s="228">
        <v>-2</v>
      </c>
      <c r="CV18" s="229">
        <v>-3.3E-3</v>
      </c>
      <c r="CW18" s="230">
        <v>3741</v>
      </c>
      <c r="CX18" s="230">
        <v>3654</v>
      </c>
      <c r="CY18" s="228">
        <v>86</v>
      </c>
      <c r="CZ18" s="229">
        <v>2.3599999999999999E-2</v>
      </c>
      <c r="DA18" s="228">
        <v>21.49</v>
      </c>
      <c r="DB18" s="228">
        <v>22.57</v>
      </c>
      <c r="DC18" s="228">
        <v>-1.08</v>
      </c>
      <c r="DD18" s="228">
        <v>-1.08</v>
      </c>
      <c r="DE18" s="228">
        <v>35.61</v>
      </c>
      <c r="DF18" s="228">
        <v>35.700000000000003</v>
      </c>
      <c r="DG18" s="228">
        <v>-14.12</v>
      </c>
      <c r="DH18" s="228">
        <v>-0.09</v>
      </c>
      <c r="DI18" s="228">
        <v>20.94</v>
      </c>
      <c r="DJ18" s="228">
        <v>22.44</v>
      </c>
      <c r="DK18" s="228">
        <v>-1.5</v>
      </c>
      <c r="DL18" s="228">
        <v>-1.5</v>
      </c>
      <c r="DM18" s="228">
        <v>22.32</v>
      </c>
      <c r="DN18" s="228">
        <v>22.9</v>
      </c>
      <c r="DO18" s="228">
        <v>-0.57999999999999996</v>
      </c>
      <c r="DP18" s="228">
        <v>-0.57999999999999996</v>
      </c>
      <c r="DQ18" s="228">
        <v>0.83</v>
      </c>
      <c r="DR18" s="228">
        <v>0.81</v>
      </c>
      <c r="DS18" s="228">
        <v>0.02</v>
      </c>
      <c r="DT18" s="229">
        <v>2.47E-2</v>
      </c>
      <c r="DU18" s="231">
        <v>1000</v>
      </c>
      <c r="DV18" s="228">
        <v>950</v>
      </c>
      <c r="DW18" s="228">
        <v>0.66</v>
      </c>
      <c r="DX18" s="228">
        <v>0.41</v>
      </c>
      <c r="DY18" s="228">
        <v>0.25</v>
      </c>
      <c r="DZ18" s="229">
        <v>0.60980000000000001</v>
      </c>
      <c r="EA18" s="229">
        <v>0.161</v>
      </c>
      <c r="EB18" s="230">
        <v>2674000</v>
      </c>
      <c r="EC18" s="229">
        <v>2.8999999999999998E-3</v>
      </c>
      <c r="ED18" s="229">
        <v>0.161</v>
      </c>
      <c r="EE18" s="228">
        <v>2.09</v>
      </c>
      <c r="EF18" s="229">
        <v>2.0999999999999999E-3</v>
      </c>
      <c r="EG18" s="230">
        <v>975764</v>
      </c>
      <c r="EH18" s="230">
        <v>2388736</v>
      </c>
      <c r="EI18" s="229">
        <v>-0.59150000000000003</v>
      </c>
      <c r="EJ18" s="229">
        <v>0.62139999999999995</v>
      </c>
      <c r="EK18" s="228">
        <v>638.94000000000005</v>
      </c>
      <c r="EL18" s="228">
        <v>404.72</v>
      </c>
      <c r="EM18" s="228">
        <v>463.79</v>
      </c>
      <c r="EN18" s="228">
        <v>46.49</v>
      </c>
      <c r="EO18" s="231">
        <v>1507.44</v>
      </c>
      <c r="EP18" s="231">
        <v>3347.69</v>
      </c>
      <c r="EQ18" s="231">
        <v>-1840.25</v>
      </c>
      <c r="ER18" s="229">
        <v>-0.54969999999999997</v>
      </c>
      <c r="ES18" s="228">
        <v>840.97</v>
      </c>
      <c r="ET18" s="228">
        <v>650.58000000000004</v>
      </c>
      <c r="EU18" s="231">
        <v>2215.5300000000002</v>
      </c>
      <c r="EV18" s="231">
        <v>86234186</v>
      </c>
      <c r="EW18" s="231">
        <v>3707.08</v>
      </c>
      <c r="EX18" s="231">
        <v>3622.39</v>
      </c>
      <c r="EY18" s="228">
        <v>84.69</v>
      </c>
      <c r="EZ18" s="229">
        <v>2.3400000000000001E-2</v>
      </c>
      <c r="FA18" s="229">
        <v>0.43930000000000002</v>
      </c>
      <c r="FB18" s="227" t="s">
        <v>567</v>
      </c>
      <c r="FC18">
        <f t="shared" si="0"/>
        <v>356</v>
      </c>
    </row>
    <row r="19" spans="1:159" ht="17.25" thickBot="1" x14ac:dyDescent="0.3">
      <c r="A19" s="226">
        <v>46009</v>
      </c>
      <c r="B19" s="227" t="s">
        <v>170</v>
      </c>
      <c r="C19" s="227" t="s">
        <v>171</v>
      </c>
      <c r="D19" s="228">
        <v>550</v>
      </c>
      <c r="E19" s="228">
        <v>12</v>
      </c>
      <c r="F19" s="231">
        <v>1210</v>
      </c>
      <c r="G19" s="231">
        <v>1195.3</v>
      </c>
      <c r="H19" s="228">
        <v>14.7</v>
      </c>
      <c r="I19" s="229">
        <v>1.23E-2</v>
      </c>
      <c r="J19" s="231">
        <v>1209.3</v>
      </c>
      <c r="K19" s="231">
        <v>1193</v>
      </c>
      <c r="L19" s="228">
        <v>16.3</v>
      </c>
      <c r="M19" s="229">
        <v>1.37E-2</v>
      </c>
      <c r="N19" s="231">
        <v>1210</v>
      </c>
      <c r="O19" s="231">
        <v>1195.3</v>
      </c>
      <c r="P19" s="228">
        <v>14.7</v>
      </c>
      <c r="Q19" s="229">
        <v>1.23E-2</v>
      </c>
      <c r="R19" s="231">
        <v>1217.7</v>
      </c>
      <c r="S19" s="231">
        <v>1202.2</v>
      </c>
      <c r="T19" s="228">
        <v>15.5</v>
      </c>
      <c r="U19" s="229">
        <v>1.29E-2</v>
      </c>
      <c r="V19" s="231">
        <v>1225.5</v>
      </c>
      <c r="W19" s="231">
        <v>1209.5</v>
      </c>
      <c r="X19" s="228">
        <v>16</v>
      </c>
      <c r="Y19" s="229">
        <v>1.32E-2</v>
      </c>
      <c r="Z19" s="228">
        <v>0.7</v>
      </c>
      <c r="AA19" s="228">
        <v>2.2999999999999998</v>
      </c>
      <c r="AB19" s="228">
        <v>-1.6</v>
      </c>
      <c r="AC19" s="229">
        <v>5.9999999999999995E-4</v>
      </c>
      <c r="AD19" s="228">
        <v>0.7</v>
      </c>
      <c r="AE19" s="228">
        <v>2.2999999999999998</v>
      </c>
      <c r="AF19" s="228">
        <v>-1.6</v>
      </c>
      <c r="AG19" s="229">
        <v>5.9999999999999995E-4</v>
      </c>
      <c r="AH19" s="228">
        <v>8.4</v>
      </c>
      <c r="AI19" s="228">
        <v>9.1999999999999993</v>
      </c>
      <c r="AJ19" s="228">
        <v>-0.8</v>
      </c>
      <c r="AK19" s="229">
        <v>6.8999999999999999E-3</v>
      </c>
      <c r="AL19" s="228">
        <v>16.2</v>
      </c>
      <c r="AM19" s="228">
        <v>16.5</v>
      </c>
      <c r="AN19" s="228">
        <v>-0.3</v>
      </c>
      <c r="AO19" s="229">
        <v>1.34E-2</v>
      </c>
      <c r="AP19" s="231">
        <v>1204.8399999999999</v>
      </c>
      <c r="AQ19" s="231">
        <v>1211.3</v>
      </c>
      <c r="AR19" s="228">
        <v>0</v>
      </c>
      <c r="AS19" s="228">
        <v>345</v>
      </c>
      <c r="AT19" s="228">
        <v>198</v>
      </c>
      <c r="AU19" s="228">
        <v>147</v>
      </c>
      <c r="AV19" s="229">
        <v>0.74490000000000001</v>
      </c>
      <c r="AW19" s="228">
        <v>286</v>
      </c>
      <c r="AX19" s="228">
        <v>166</v>
      </c>
      <c r="AY19" s="228">
        <v>121</v>
      </c>
      <c r="AZ19" s="229">
        <v>0.72889999999999999</v>
      </c>
      <c r="BA19" s="228">
        <v>57</v>
      </c>
      <c r="BB19" s="228">
        <v>31</v>
      </c>
      <c r="BC19" s="228">
        <v>26</v>
      </c>
      <c r="BD19" s="229">
        <v>0.83440000000000003</v>
      </c>
      <c r="BE19" s="228">
        <v>1</v>
      </c>
      <c r="BF19" s="228">
        <v>0</v>
      </c>
      <c r="BG19" s="228">
        <v>0</v>
      </c>
      <c r="BH19" s="229">
        <v>0.42859999999999998</v>
      </c>
      <c r="BI19" s="228">
        <v>722</v>
      </c>
      <c r="BJ19" s="228">
        <v>383</v>
      </c>
      <c r="BK19" s="228">
        <v>339</v>
      </c>
      <c r="BL19" s="229">
        <v>0.88380000000000003</v>
      </c>
      <c r="BM19" s="228">
        <v>428</v>
      </c>
      <c r="BN19" s="228">
        <v>137</v>
      </c>
      <c r="BO19" s="228">
        <v>291</v>
      </c>
      <c r="BP19" s="229">
        <v>2.1204000000000001</v>
      </c>
      <c r="BQ19" s="230">
        <v>1494</v>
      </c>
      <c r="BR19" s="228">
        <v>718</v>
      </c>
      <c r="BS19" s="228">
        <v>776</v>
      </c>
      <c r="BT19" s="229">
        <v>1.0817000000000001</v>
      </c>
      <c r="BU19" s="230">
        <v>1190235</v>
      </c>
      <c r="BV19" s="230">
        <v>749968</v>
      </c>
      <c r="BW19" s="230">
        <v>440267</v>
      </c>
      <c r="BX19" s="229">
        <v>0.58699999999999997</v>
      </c>
      <c r="BY19" s="230">
        <v>2707</v>
      </c>
      <c r="BZ19" s="230">
        <v>2711</v>
      </c>
      <c r="CA19" s="228">
        <v>-4</v>
      </c>
      <c r="CB19" s="229">
        <v>-1.5E-3</v>
      </c>
      <c r="CC19" s="230">
        <v>2592</v>
      </c>
      <c r="CD19" s="230">
        <v>2621</v>
      </c>
      <c r="CE19" s="228">
        <v>-29</v>
      </c>
      <c r="CF19" s="229">
        <v>-1.11E-2</v>
      </c>
      <c r="CG19" s="228">
        <v>112</v>
      </c>
      <c r="CH19" s="228">
        <v>87</v>
      </c>
      <c r="CI19" s="228">
        <v>25</v>
      </c>
      <c r="CJ19" s="229">
        <v>0.28920000000000001</v>
      </c>
      <c r="CK19" s="228">
        <v>3</v>
      </c>
      <c r="CL19" s="228">
        <v>3</v>
      </c>
      <c r="CM19" s="228">
        <v>0</v>
      </c>
      <c r="CN19" s="229">
        <v>4.8800000000000003E-2</v>
      </c>
      <c r="CO19" s="228">
        <v>704</v>
      </c>
      <c r="CP19" s="228">
        <v>724</v>
      </c>
      <c r="CQ19" s="228">
        <v>-19</v>
      </c>
      <c r="CR19" s="229">
        <v>-2.69E-2</v>
      </c>
      <c r="CS19" s="228">
        <v>344</v>
      </c>
      <c r="CT19" s="228">
        <v>322</v>
      </c>
      <c r="CU19" s="228">
        <v>21</v>
      </c>
      <c r="CV19" s="229">
        <v>6.6299999999999998E-2</v>
      </c>
      <c r="CW19" s="230">
        <v>3754</v>
      </c>
      <c r="CX19" s="230">
        <v>3757</v>
      </c>
      <c r="CY19" s="228">
        <v>-2</v>
      </c>
      <c r="CZ19" s="229">
        <v>-5.9999999999999995E-4</v>
      </c>
      <c r="DA19" s="228">
        <v>24.91</v>
      </c>
      <c r="DB19" s="228">
        <v>24.26</v>
      </c>
      <c r="DC19" s="228">
        <v>0.65</v>
      </c>
      <c r="DD19" s="228">
        <v>0.65</v>
      </c>
      <c r="DE19" s="228">
        <v>33.1</v>
      </c>
      <c r="DF19" s="228">
        <v>33.14</v>
      </c>
      <c r="DG19" s="228">
        <v>-8.19</v>
      </c>
      <c r="DH19" s="228">
        <v>-0.04</v>
      </c>
      <c r="DI19" s="228">
        <v>24.92</v>
      </c>
      <c r="DJ19" s="228">
        <v>24.32</v>
      </c>
      <c r="DK19" s="228">
        <v>0.6</v>
      </c>
      <c r="DL19" s="228">
        <v>0.6</v>
      </c>
      <c r="DM19" s="228">
        <v>24.9</v>
      </c>
      <c r="DN19" s="228">
        <v>24.08</v>
      </c>
      <c r="DO19" s="228">
        <v>0.82</v>
      </c>
      <c r="DP19" s="228">
        <v>0.82</v>
      </c>
      <c r="DQ19" s="228">
        <v>0.49</v>
      </c>
      <c r="DR19" s="228">
        <v>0.45</v>
      </c>
      <c r="DS19" s="228">
        <v>0.04</v>
      </c>
      <c r="DT19" s="229">
        <v>8.8900000000000007E-2</v>
      </c>
      <c r="DU19" s="231">
        <v>1240</v>
      </c>
      <c r="DV19" s="231">
        <v>1200</v>
      </c>
      <c r="DW19" s="228">
        <v>0.59</v>
      </c>
      <c r="DX19" s="228">
        <v>0.36</v>
      </c>
      <c r="DY19" s="228">
        <v>0.23</v>
      </c>
      <c r="DZ19" s="229">
        <v>0.63890000000000002</v>
      </c>
      <c r="EA19" s="229">
        <v>4.2299999999999997E-2</v>
      </c>
      <c r="EB19" s="230">
        <v>737550</v>
      </c>
      <c r="EC19" s="229">
        <v>6.4000000000000003E-3</v>
      </c>
      <c r="ED19" s="229">
        <v>4.2299999999999997E-2</v>
      </c>
      <c r="EE19" s="228">
        <v>6.46</v>
      </c>
      <c r="EF19" s="229">
        <v>5.4000000000000003E-3</v>
      </c>
      <c r="EG19" s="230">
        <v>621192</v>
      </c>
      <c r="EH19" s="230">
        <v>333251</v>
      </c>
      <c r="EI19" s="229">
        <v>0.86399999999999999</v>
      </c>
      <c r="EJ19" s="229">
        <v>0.52190000000000003</v>
      </c>
      <c r="EK19" s="228">
        <v>742.33</v>
      </c>
      <c r="EL19" s="228">
        <v>415.77</v>
      </c>
      <c r="EM19" s="228">
        <v>343.51</v>
      </c>
      <c r="EN19" s="228">
        <v>30.91</v>
      </c>
      <c r="EO19" s="231">
        <v>1501.61</v>
      </c>
      <c r="EP19" s="228">
        <v>715.18</v>
      </c>
      <c r="EQ19" s="228">
        <v>786.43</v>
      </c>
      <c r="ER19" s="229">
        <v>1.0995999999999999</v>
      </c>
      <c r="ES19" s="228">
        <v>734.79</v>
      </c>
      <c r="ET19" s="228">
        <v>332.05</v>
      </c>
      <c r="EU19" s="231">
        <v>2707.4</v>
      </c>
      <c r="EV19" s="231">
        <v>41977935</v>
      </c>
      <c r="EW19" s="231">
        <v>3774.24</v>
      </c>
      <c r="EX19" s="231">
        <v>3740.78</v>
      </c>
      <c r="EY19" s="228">
        <v>33.46</v>
      </c>
      <c r="EZ19" s="229">
        <v>8.8999999999999999E-3</v>
      </c>
      <c r="FA19" s="229">
        <v>0.73909999999999998</v>
      </c>
      <c r="FB19" s="227" t="s">
        <v>556</v>
      </c>
      <c r="FC19">
        <f t="shared" si="0"/>
        <v>115</v>
      </c>
    </row>
    <row r="20" spans="1:159" ht="17.25" thickBot="1" x14ac:dyDescent="0.3">
      <c r="A20" s="226">
        <v>46009</v>
      </c>
      <c r="B20" s="227" t="s">
        <v>172</v>
      </c>
      <c r="C20" s="227" t="s">
        <v>173</v>
      </c>
      <c r="D20" s="228">
        <v>625</v>
      </c>
      <c r="E20" s="228">
        <v>12</v>
      </c>
      <c r="F20" s="231">
        <v>1233</v>
      </c>
      <c r="G20" s="231">
        <v>1228.5999999999999</v>
      </c>
      <c r="H20" s="228">
        <v>4.4000000000000004</v>
      </c>
      <c r="I20" s="229">
        <v>3.5999999999999999E-3</v>
      </c>
      <c r="J20" s="231">
        <v>1229.8</v>
      </c>
      <c r="K20" s="231">
        <v>1224.7</v>
      </c>
      <c r="L20" s="228">
        <v>5.0999999999999996</v>
      </c>
      <c r="M20" s="229">
        <v>4.1999999999999997E-3</v>
      </c>
      <c r="N20" s="231">
        <v>1233</v>
      </c>
      <c r="O20" s="231">
        <v>1228.5999999999999</v>
      </c>
      <c r="P20" s="228">
        <v>4.4000000000000004</v>
      </c>
      <c r="Q20" s="229">
        <v>3.5999999999999999E-3</v>
      </c>
      <c r="R20" s="231">
        <v>1240.9000000000001</v>
      </c>
      <c r="S20" s="231">
        <v>1236.0999999999999</v>
      </c>
      <c r="T20" s="228">
        <v>4.8</v>
      </c>
      <c r="U20" s="229">
        <v>3.8999999999999998E-3</v>
      </c>
      <c r="V20" s="231">
        <v>1248.4000000000001</v>
      </c>
      <c r="W20" s="231">
        <v>1242.5999999999999</v>
      </c>
      <c r="X20" s="228">
        <v>5.8</v>
      </c>
      <c r="Y20" s="229">
        <v>4.7000000000000002E-3</v>
      </c>
      <c r="Z20" s="228">
        <v>3.2</v>
      </c>
      <c r="AA20" s="228">
        <v>3.9</v>
      </c>
      <c r="AB20" s="228">
        <v>-0.7</v>
      </c>
      <c r="AC20" s="229">
        <v>2.5999999999999999E-3</v>
      </c>
      <c r="AD20" s="228">
        <v>3.2</v>
      </c>
      <c r="AE20" s="228">
        <v>3.9</v>
      </c>
      <c r="AF20" s="228">
        <v>-0.7</v>
      </c>
      <c r="AG20" s="229">
        <v>2.5999999999999999E-3</v>
      </c>
      <c r="AH20" s="228">
        <v>11.1</v>
      </c>
      <c r="AI20" s="228">
        <v>11.4</v>
      </c>
      <c r="AJ20" s="228">
        <v>-0.3</v>
      </c>
      <c r="AK20" s="229">
        <v>8.9999999999999993E-3</v>
      </c>
      <c r="AL20" s="228">
        <v>18.600000000000001</v>
      </c>
      <c r="AM20" s="228">
        <v>17.899999999999999</v>
      </c>
      <c r="AN20" s="228">
        <v>0.7</v>
      </c>
      <c r="AO20" s="229">
        <v>1.5100000000000001E-2</v>
      </c>
      <c r="AP20" s="231">
        <v>1234.43</v>
      </c>
      <c r="AQ20" s="231">
        <v>1242.21</v>
      </c>
      <c r="AR20" s="228">
        <v>0</v>
      </c>
      <c r="AS20" s="230">
        <v>1191</v>
      </c>
      <c r="AT20" s="230">
        <v>1119</v>
      </c>
      <c r="AU20" s="228">
        <v>72</v>
      </c>
      <c r="AV20" s="229">
        <v>6.4100000000000004E-2</v>
      </c>
      <c r="AW20" s="228">
        <v>784</v>
      </c>
      <c r="AX20" s="228">
        <v>877</v>
      </c>
      <c r="AY20" s="228">
        <v>-93</v>
      </c>
      <c r="AZ20" s="229">
        <v>-0.10630000000000001</v>
      </c>
      <c r="BA20" s="228">
        <v>401</v>
      </c>
      <c r="BB20" s="228">
        <v>236</v>
      </c>
      <c r="BC20" s="228">
        <v>165</v>
      </c>
      <c r="BD20" s="229">
        <v>0.69689999999999996</v>
      </c>
      <c r="BE20" s="228">
        <v>6</v>
      </c>
      <c r="BF20" s="228">
        <v>6</v>
      </c>
      <c r="BG20" s="228">
        <v>0</v>
      </c>
      <c r="BH20" s="229">
        <v>4.1700000000000001E-2</v>
      </c>
      <c r="BI20" s="230">
        <v>3952</v>
      </c>
      <c r="BJ20" s="230">
        <v>6737</v>
      </c>
      <c r="BK20" s="230">
        <v>-2785</v>
      </c>
      <c r="BL20" s="229">
        <v>-0.41339999999999999</v>
      </c>
      <c r="BM20" s="230">
        <v>2152</v>
      </c>
      <c r="BN20" s="230">
        <v>4433</v>
      </c>
      <c r="BO20" s="230">
        <v>-2281</v>
      </c>
      <c r="BP20" s="229">
        <v>-0.51459999999999995</v>
      </c>
      <c r="BQ20" s="230">
        <v>7294</v>
      </c>
      <c r="BR20" s="230">
        <v>12289</v>
      </c>
      <c r="BS20" s="230">
        <v>-4995</v>
      </c>
      <c r="BT20" s="229">
        <v>-0.40639999999999998</v>
      </c>
      <c r="BU20" s="230">
        <v>3808958</v>
      </c>
      <c r="BV20" s="230">
        <v>5294261</v>
      </c>
      <c r="BW20" s="230">
        <v>-1485303</v>
      </c>
      <c r="BX20" s="229">
        <v>-0.28050000000000003</v>
      </c>
      <c r="BY20" s="230">
        <v>9665</v>
      </c>
      <c r="BZ20" s="230">
        <v>9555</v>
      </c>
      <c r="CA20" s="228">
        <v>111</v>
      </c>
      <c r="CB20" s="229">
        <v>1.1599999999999999E-2</v>
      </c>
      <c r="CC20" s="230">
        <v>8211</v>
      </c>
      <c r="CD20" s="230">
        <v>8421</v>
      </c>
      <c r="CE20" s="228">
        <v>-209</v>
      </c>
      <c r="CF20" s="229">
        <v>-2.4899999999999999E-2</v>
      </c>
      <c r="CG20" s="230">
        <v>1412</v>
      </c>
      <c r="CH20" s="230">
        <v>1094</v>
      </c>
      <c r="CI20" s="228">
        <v>318</v>
      </c>
      <c r="CJ20" s="229">
        <v>0.29039999999999999</v>
      </c>
      <c r="CK20" s="228">
        <v>43</v>
      </c>
      <c r="CL20" s="228">
        <v>40</v>
      </c>
      <c r="CM20" s="228">
        <v>2</v>
      </c>
      <c r="CN20" s="229">
        <v>5.9499999999999997E-2</v>
      </c>
      <c r="CO20" s="230">
        <v>3987</v>
      </c>
      <c r="CP20" s="230">
        <v>4490</v>
      </c>
      <c r="CQ20" s="228">
        <v>-503</v>
      </c>
      <c r="CR20" s="229">
        <v>-0.1119</v>
      </c>
      <c r="CS20" s="230">
        <v>1833</v>
      </c>
      <c r="CT20" s="230">
        <v>1980</v>
      </c>
      <c r="CU20" s="228">
        <v>-147</v>
      </c>
      <c r="CV20" s="229">
        <v>-7.3999999999999996E-2</v>
      </c>
      <c r="CW20" s="230">
        <v>15486</v>
      </c>
      <c r="CX20" s="230">
        <v>16024</v>
      </c>
      <c r="CY20" s="228">
        <v>-539</v>
      </c>
      <c r="CZ20" s="229">
        <v>-3.3599999999999998E-2</v>
      </c>
      <c r="DA20" s="228">
        <v>17.100000000000001</v>
      </c>
      <c r="DB20" s="228">
        <v>18.07</v>
      </c>
      <c r="DC20" s="228">
        <v>-0.97</v>
      </c>
      <c r="DD20" s="228">
        <v>-0.97</v>
      </c>
      <c r="DE20" s="228">
        <v>26.15</v>
      </c>
      <c r="DF20" s="228">
        <v>26.21</v>
      </c>
      <c r="DG20" s="228">
        <v>-9.0500000000000007</v>
      </c>
      <c r="DH20" s="228">
        <v>-0.06</v>
      </c>
      <c r="DI20" s="228">
        <v>16.940000000000001</v>
      </c>
      <c r="DJ20" s="228">
        <v>17.670000000000002</v>
      </c>
      <c r="DK20" s="228">
        <v>-0.73</v>
      </c>
      <c r="DL20" s="228">
        <v>-0.73</v>
      </c>
      <c r="DM20" s="228">
        <v>17.38</v>
      </c>
      <c r="DN20" s="228">
        <v>18.670000000000002</v>
      </c>
      <c r="DO20" s="228">
        <v>-1.29</v>
      </c>
      <c r="DP20" s="228">
        <v>-1.29</v>
      </c>
      <c r="DQ20" s="228">
        <v>0.46</v>
      </c>
      <c r="DR20" s="228">
        <v>0.44</v>
      </c>
      <c r="DS20" s="228">
        <v>0.02</v>
      </c>
      <c r="DT20" s="229">
        <v>4.5499999999999999E-2</v>
      </c>
      <c r="DU20" s="231">
        <v>1300</v>
      </c>
      <c r="DV20" s="231">
        <v>1220</v>
      </c>
      <c r="DW20" s="228">
        <v>0.54</v>
      </c>
      <c r="DX20" s="228">
        <v>0.66</v>
      </c>
      <c r="DY20" s="228">
        <v>-0.12</v>
      </c>
      <c r="DZ20" s="229">
        <v>-0.18179999999999999</v>
      </c>
      <c r="EA20" s="229">
        <v>0.15049999999999999</v>
      </c>
      <c r="EB20" s="230">
        <v>9198125</v>
      </c>
      <c r="EC20" s="229">
        <v>6.4000000000000003E-3</v>
      </c>
      <c r="ED20" s="229">
        <v>0.15049999999999999</v>
      </c>
      <c r="EE20" s="228">
        <v>7.78</v>
      </c>
      <c r="EF20" s="229">
        <v>6.3E-3</v>
      </c>
      <c r="EG20" s="230">
        <v>1971729</v>
      </c>
      <c r="EH20" s="230">
        <v>3119473</v>
      </c>
      <c r="EI20" s="229">
        <v>-0.3679</v>
      </c>
      <c r="EJ20" s="229">
        <v>0.51770000000000005</v>
      </c>
      <c r="EK20" s="231">
        <v>4067.55</v>
      </c>
      <c r="EL20" s="231">
        <v>2120.81</v>
      </c>
      <c r="EM20" s="231">
        <v>1195.06</v>
      </c>
      <c r="EN20" s="228">
        <v>145.44999999999999</v>
      </c>
      <c r="EO20" s="231">
        <v>7383.42</v>
      </c>
      <c r="EP20" s="231">
        <v>12400.16</v>
      </c>
      <c r="EQ20" s="231">
        <v>-5016.74</v>
      </c>
      <c r="ER20" s="229">
        <v>-0.40460000000000002</v>
      </c>
      <c r="ES20" s="231">
        <v>4176.71</v>
      </c>
      <c r="ET20" s="231">
        <v>1811.23</v>
      </c>
      <c r="EU20" s="231">
        <v>9675.06</v>
      </c>
      <c r="EV20" s="231">
        <v>316147681</v>
      </c>
      <c r="EW20" s="231">
        <v>15663.01</v>
      </c>
      <c r="EX20" s="231">
        <v>16174.73</v>
      </c>
      <c r="EY20" s="228">
        <v>-511.72</v>
      </c>
      <c r="EZ20" s="229">
        <v>-3.1600000000000003E-2</v>
      </c>
      <c r="FA20" s="229">
        <v>0.39729999999999999</v>
      </c>
      <c r="FB20" s="227" t="s">
        <v>555</v>
      </c>
      <c r="FC20">
        <f t="shared" si="0"/>
        <v>1454</v>
      </c>
    </row>
    <row r="21" spans="1:159" ht="17.25" thickBot="1" x14ac:dyDescent="0.3">
      <c r="A21" s="226">
        <v>46009</v>
      </c>
      <c r="B21" s="227" t="s">
        <v>162</v>
      </c>
      <c r="C21" s="227" t="s">
        <v>174</v>
      </c>
      <c r="D21" s="228">
        <v>75</v>
      </c>
      <c r="E21" s="228">
        <v>12</v>
      </c>
      <c r="F21" s="231">
        <v>8861</v>
      </c>
      <c r="G21" s="231">
        <v>8924.5</v>
      </c>
      <c r="H21" s="228">
        <v>-63.5</v>
      </c>
      <c r="I21" s="229">
        <v>-7.1000000000000004E-3</v>
      </c>
      <c r="J21" s="231">
        <v>8831</v>
      </c>
      <c r="K21" s="231">
        <v>8895</v>
      </c>
      <c r="L21" s="228">
        <v>-64</v>
      </c>
      <c r="M21" s="229">
        <v>-7.1999999999999998E-3</v>
      </c>
      <c r="N21" s="231">
        <v>8861</v>
      </c>
      <c r="O21" s="231">
        <v>8924.5</v>
      </c>
      <c r="P21" s="228">
        <v>-63.5</v>
      </c>
      <c r="Q21" s="229">
        <v>-7.1000000000000004E-3</v>
      </c>
      <c r="R21" s="231">
        <v>8905</v>
      </c>
      <c r="S21" s="231">
        <v>8968</v>
      </c>
      <c r="T21" s="228">
        <v>-63</v>
      </c>
      <c r="U21" s="229">
        <v>-7.0000000000000001E-3</v>
      </c>
      <c r="V21" s="231">
        <v>8941.5</v>
      </c>
      <c r="W21" s="231">
        <v>8997.5</v>
      </c>
      <c r="X21" s="228">
        <v>-56</v>
      </c>
      <c r="Y21" s="229">
        <v>-6.1999999999999998E-3</v>
      </c>
      <c r="Z21" s="228">
        <v>30</v>
      </c>
      <c r="AA21" s="228">
        <v>29.5</v>
      </c>
      <c r="AB21" s="228">
        <v>0.5</v>
      </c>
      <c r="AC21" s="229">
        <v>3.3999999999999998E-3</v>
      </c>
      <c r="AD21" s="228">
        <v>30</v>
      </c>
      <c r="AE21" s="228">
        <v>29.5</v>
      </c>
      <c r="AF21" s="228">
        <v>0.5</v>
      </c>
      <c r="AG21" s="229">
        <v>3.3999999999999998E-3</v>
      </c>
      <c r="AH21" s="228">
        <v>74</v>
      </c>
      <c r="AI21" s="228">
        <v>73</v>
      </c>
      <c r="AJ21" s="228">
        <v>1</v>
      </c>
      <c r="AK21" s="229">
        <v>8.3999999999999995E-3</v>
      </c>
      <c r="AL21" s="228">
        <v>110.5</v>
      </c>
      <c r="AM21" s="228">
        <v>102.5</v>
      </c>
      <c r="AN21" s="228">
        <v>8</v>
      </c>
      <c r="AO21" s="229">
        <v>1.2500000000000001E-2</v>
      </c>
      <c r="AP21" s="231">
        <v>8825.4699999999993</v>
      </c>
      <c r="AQ21" s="231">
        <v>8866.4</v>
      </c>
      <c r="AR21" s="228">
        <v>0</v>
      </c>
      <c r="AS21" s="228">
        <v>526</v>
      </c>
      <c r="AT21" s="228">
        <v>513</v>
      </c>
      <c r="AU21" s="228">
        <v>13</v>
      </c>
      <c r="AV21" s="229">
        <v>2.5399999999999999E-2</v>
      </c>
      <c r="AW21" s="228">
        <v>413</v>
      </c>
      <c r="AX21" s="228">
        <v>376</v>
      </c>
      <c r="AY21" s="228">
        <v>37</v>
      </c>
      <c r="AZ21" s="229">
        <v>9.7199999999999995E-2</v>
      </c>
      <c r="BA21" s="228">
        <v>110</v>
      </c>
      <c r="BB21" s="228">
        <v>135</v>
      </c>
      <c r="BC21" s="228">
        <v>-25</v>
      </c>
      <c r="BD21" s="229">
        <v>-0.18770000000000001</v>
      </c>
      <c r="BE21" s="228">
        <v>4</v>
      </c>
      <c r="BF21" s="228">
        <v>2</v>
      </c>
      <c r="BG21" s="228">
        <v>2</v>
      </c>
      <c r="BH21" s="229">
        <v>0.9</v>
      </c>
      <c r="BI21" s="230">
        <v>2980</v>
      </c>
      <c r="BJ21" s="230">
        <v>1862</v>
      </c>
      <c r="BK21" s="230">
        <v>1118</v>
      </c>
      <c r="BL21" s="229">
        <v>0.60050000000000003</v>
      </c>
      <c r="BM21" s="230">
        <v>1604</v>
      </c>
      <c r="BN21" s="230">
        <v>1366</v>
      </c>
      <c r="BO21" s="228">
        <v>238</v>
      </c>
      <c r="BP21" s="229">
        <v>0.17399999999999999</v>
      </c>
      <c r="BQ21" s="230">
        <v>5110</v>
      </c>
      <c r="BR21" s="230">
        <v>3741</v>
      </c>
      <c r="BS21" s="230">
        <v>1369</v>
      </c>
      <c r="BT21" s="229">
        <v>0.3659</v>
      </c>
      <c r="BU21" s="230">
        <v>371054</v>
      </c>
      <c r="BV21" s="230">
        <v>262275</v>
      </c>
      <c r="BW21" s="230">
        <v>108779</v>
      </c>
      <c r="BX21" s="229">
        <v>0.4148</v>
      </c>
      <c r="BY21" s="230">
        <v>3201</v>
      </c>
      <c r="BZ21" s="230">
        <v>3162</v>
      </c>
      <c r="CA21" s="228">
        <v>40</v>
      </c>
      <c r="CB21" s="229">
        <v>1.2500000000000001E-2</v>
      </c>
      <c r="CC21" s="230">
        <v>2862</v>
      </c>
      <c r="CD21" s="230">
        <v>2899</v>
      </c>
      <c r="CE21" s="228">
        <v>-38</v>
      </c>
      <c r="CF21" s="229">
        <v>-1.2999999999999999E-2</v>
      </c>
      <c r="CG21" s="228">
        <v>327</v>
      </c>
      <c r="CH21" s="228">
        <v>251</v>
      </c>
      <c r="CI21" s="228">
        <v>76</v>
      </c>
      <c r="CJ21" s="229">
        <v>0.30159999999999998</v>
      </c>
      <c r="CK21" s="228">
        <v>13</v>
      </c>
      <c r="CL21" s="228">
        <v>11</v>
      </c>
      <c r="CM21" s="228">
        <v>2</v>
      </c>
      <c r="CN21" s="229">
        <v>0.152</v>
      </c>
      <c r="CO21" s="230">
        <v>2000</v>
      </c>
      <c r="CP21" s="230">
        <v>1936</v>
      </c>
      <c r="CQ21" s="228">
        <v>64</v>
      </c>
      <c r="CR21" s="229">
        <v>3.3099999999999997E-2</v>
      </c>
      <c r="CS21" s="230">
        <v>1017</v>
      </c>
      <c r="CT21" s="230">
        <v>1036</v>
      </c>
      <c r="CU21" s="228">
        <v>-19</v>
      </c>
      <c r="CV21" s="229">
        <v>-1.7999999999999999E-2</v>
      </c>
      <c r="CW21" s="230">
        <v>6219</v>
      </c>
      <c r="CX21" s="230">
        <v>6134</v>
      </c>
      <c r="CY21" s="228">
        <v>85</v>
      </c>
      <c r="CZ21" s="229">
        <v>1.3899999999999999E-2</v>
      </c>
      <c r="DA21" s="228">
        <v>18.68</v>
      </c>
      <c r="DB21" s="228">
        <v>19.55</v>
      </c>
      <c r="DC21" s="228">
        <v>-0.87</v>
      </c>
      <c r="DD21" s="228">
        <v>-0.87</v>
      </c>
      <c r="DE21" s="228">
        <v>28.2</v>
      </c>
      <c r="DF21" s="228">
        <v>28.25</v>
      </c>
      <c r="DG21" s="228">
        <v>-9.52</v>
      </c>
      <c r="DH21" s="228">
        <v>-0.05</v>
      </c>
      <c r="DI21" s="228">
        <v>19.14</v>
      </c>
      <c r="DJ21" s="228">
        <v>19.97</v>
      </c>
      <c r="DK21" s="228">
        <v>-0.83</v>
      </c>
      <c r="DL21" s="228">
        <v>-0.83</v>
      </c>
      <c r="DM21" s="228">
        <v>17.82</v>
      </c>
      <c r="DN21" s="228">
        <v>18.989999999999998</v>
      </c>
      <c r="DO21" s="228">
        <v>-1.17</v>
      </c>
      <c r="DP21" s="228">
        <v>-1.17</v>
      </c>
      <c r="DQ21" s="228">
        <v>0.51</v>
      </c>
      <c r="DR21" s="228">
        <v>0.53</v>
      </c>
      <c r="DS21" s="228">
        <v>-0.02</v>
      </c>
      <c r="DT21" s="229">
        <v>-3.7699999999999997E-2</v>
      </c>
      <c r="DU21" s="231">
        <v>9300</v>
      </c>
      <c r="DV21" s="231">
        <v>9000</v>
      </c>
      <c r="DW21" s="228">
        <v>0.54</v>
      </c>
      <c r="DX21" s="228">
        <v>0.73</v>
      </c>
      <c r="DY21" s="228">
        <v>-0.19</v>
      </c>
      <c r="DZ21" s="229">
        <v>-0.26029999999999998</v>
      </c>
      <c r="EA21" s="229">
        <v>0.1061</v>
      </c>
      <c r="EB21" s="230">
        <v>296100</v>
      </c>
      <c r="EC21" s="229">
        <v>5.0000000000000001E-3</v>
      </c>
      <c r="ED21" s="229">
        <v>0.1061</v>
      </c>
      <c r="EE21" s="228">
        <v>40.93</v>
      </c>
      <c r="EF21" s="229">
        <v>4.5999999999999999E-3</v>
      </c>
      <c r="EG21" s="230">
        <v>204254</v>
      </c>
      <c r="EH21" s="230">
        <v>168790</v>
      </c>
      <c r="EI21" s="229">
        <v>0.21010000000000001</v>
      </c>
      <c r="EJ21" s="229">
        <v>0.55049999999999999</v>
      </c>
      <c r="EK21" s="231">
        <v>3086.52</v>
      </c>
      <c r="EL21" s="231">
        <v>1588.08</v>
      </c>
      <c r="EM21" s="228">
        <v>524.44000000000005</v>
      </c>
      <c r="EN21" s="228">
        <v>56.48</v>
      </c>
      <c r="EO21" s="231">
        <v>5199.04</v>
      </c>
      <c r="EP21" s="231">
        <v>3841.16</v>
      </c>
      <c r="EQ21" s="231">
        <v>1357.89</v>
      </c>
      <c r="ER21" s="229">
        <v>0.35349999999999998</v>
      </c>
      <c r="ES21" s="231">
        <v>2124.42</v>
      </c>
      <c r="ET21" s="231">
        <v>1000.23</v>
      </c>
      <c r="EU21" s="231">
        <v>3203.2</v>
      </c>
      <c r="EV21" s="231">
        <v>12547731</v>
      </c>
      <c r="EW21" s="231">
        <v>6327.85</v>
      </c>
      <c r="EX21" s="231">
        <v>6267.54</v>
      </c>
      <c r="EY21" s="228">
        <v>60.31</v>
      </c>
      <c r="EZ21" s="229">
        <v>9.5999999999999992E-3</v>
      </c>
      <c r="FA21" s="229">
        <v>0.55930000000000002</v>
      </c>
      <c r="FB21" s="227" t="s">
        <v>567</v>
      </c>
      <c r="FC21">
        <f t="shared" si="0"/>
        <v>339</v>
      </c>
    </row>
    <row r="22" spans="1:159" ht="17.25" thickBot="1" x14ac:dyDescent="0.3">
      <c r="A22" s="226">
        <v>46009</v>
      </c>
      <c r="B22" s="227" t="s">
        <v>175</v>
      </c>
      <c r="C22" s="227" t="s">
        <v>176</v>
      </c>
      <c r="D22" s="228">
        <v>250</v>
      </c>
      <c r="E22" s="228">
        <v>12</v>
      </c>
      <c r="F22" s="231">
        <v>2029.1</v>
      </c>
      <c r="G22" s="231">
        <v>2025.9</v>
      </c>
      <c r="H22" s="228">
        <v>3.2</v>
      </c>
      <c r="I22" s="229">
        <v>1.6000000000000001E-3</v>
      </c>
      <c r="J22" s="231">
        <v>2026.3</v>
      </c>
      <c r="K22" s="231">
        <v>2021.2</v>
      </c>
      <c r="L22" s="228">
        <v>5.0999999999999996</v>
      </c>
      <c r="M22" s="229">
        <v>2.5000000000000001E-3</v>
      </c>
      <c r="N22" s="231">
        <v>2029.1</v>
      </c>
      <c r="O22" s="231">
        <v>2025.9</v>
      </c>
      <c r="P22" s="228">
        <v>3.2</v>
      </c>
      <c r="Q22" s="229">
        <v>1.6000000000000001E-3</v>
      </c>
      <c r="R22" s="231">
        <v>2042.9</v>
      </c>
      <c r="S22" s="231">
        <v>2039.1</v>
      </c>
      <c r="T22" s="228">
        <v>3.8</v>
      </c>
      <c r="U22" s="229">
        <v>1.9E-3</v>
      </c>
      <c r="V22" s="231">
        <v>2054.1</v>
      </c>
      <c r="W22" s="231">
        <v>2050.9</v>
      </c>
      <c r="X22" s="228">
        <v>3.2</v>
      </c>
      <c r="Y22" s="229">
        <v>1.6000000000000001E-3</v>
      </c>
      <c r="Z22" s="228">
        <v>2.8</v>
      </c>
      <c r="AA22" s="228">
        <v>4.7</v>
      </c>
      <c r="AB22" s="228">
        <v>-1.9</v>
      </c>
      <c r="AC22" s="229">
        <v>1.4E-3</v>
      </c>
      <c r="AD22" s="228">
        <v>2.8</v>
      </c>
      <c r="AE22" s="228">
        <v>4.7</v>
      </c>
      <c r="AF22" s="228">
        <v>-1.9</v>
      </c>
      <c r="AG22" s="229">
        <v>1.4E-3</v>
      </c>
      <c r="AH22" s="228">
        <v>16.600000000000001</v>
      </c>
      <c r="AI22" s="228">
        <v>17.899999999999999</v>
      </c>
      <c r="AJ22" s="228">
        <v>-1.3</v>
      </c>
      <c r="AK22" s="229">
        <v>8.2000000000000007E-3</v>
      </c>
      <c r="AL22" s="228">
        <v>27.8</v>
      </c>
      <c r="AM22" s="228">
        <v>29.7</v>
      </c>
      <c r="AN22" s="228">
        <v>-1.9</v>
      </c>
      <c r="AO22" s="229">
        <v>1.37E-2</v>
      </c>
      <c r="AP22" s="231">
        <v>2030.35</v>
      </c>
      <c r="AQ22" s="231">
        <v>2044.86</v>
      </c>
      <c r="AR22" s="228">
        <v>0</v>
      </c>
      <c r="AS22" s="228">
        <v>429</v>
      </c>
      <c r="AT22" s="228">
        <v>301</v>
      </c>
      <c r="AU22" s="228">
        <v>128</v>
      </c>
      <c r="AV22" s="229">
        <v>0.42399999999999999</v>
      </c>
      <c r="AW22" s="228">
        <v>285</v>
      </c>
      <c r="AX22" s="228">
        <v>218</v>
      </c>
      <c r="AY22" s="228">
        <v>67</v>
      </c>
      <c r="AZ22" s="229">
        <v>0.30580000000000002</v>
      </c>
      <c r="BA22" s="228">
        <v>140</v>
      </c>
      <c r="BB22" s="228">
        <v>80</v>
      </c>
      <c r="BC22" s="228">
        <v>61</v>
      </c>
      <c r="BD22" s="229">
        <v>0.75839999999999996</v>
      </c>
      <c r="BE22" s="228">
        <v>4</v>
      </c>
      <c r="BF22" s="228">
        <v>3</v>
      </c>
      <c r="BG22" s="228">
        <v>0</v>
      </c>
      <c r="BH22" s="229">
        <v>0.1452</v>
      </c>
      <c r="BI22" s="228">
        <v>686</v>
      </c>
      <c r="BJ22" s="228">
        <v>867</v>
      </c>
      <c r="BK22" s="228">
        <v>-181</v>
      </c>
      <c r="BL22" s="229">
        <v>-0.20860000000000001</v>
      </c>
      <c r="BM22" s="228">
        <v>329</v>
      </c>
      <c r="BN22" s="228">
        <v>584</v>
      </c>
      <c r="BO22" s="228">
        <v>-254</v>
      </c>
      <c r="BP22" s="229">
        <v>-0.43580000000000002</v>
      </c>
      <c r="BQ22" s="230">
        <v>1445</v>
      </c>
      <c r="BR22" s="230">
        <v>1752</v>
      </c>
      <c r="BS22" s="228">
        <v>-308</v>
      </c>
      <c r="BT22" s="229">
        <v>-0.17549999999999999</v>
      </c>
      <c r="BU22" s="230">
        <v>453262</v>
      </c>
      <c r="BV22" s="230">
        <v>615615</v>
      </c>
      <c r="BW22" s="230">
        <v>-162353</v>
      </c>
      <c r="BX22" s="229">
        <v>-0.26369999999999999</v>
      </c>
      <c r="BY22" s="230">
        <v>3759</v>
      </c>
      <c r="BZ22" s="230">
        <v>3766</v>
      </c>
      <c r="CA22" s="228">
        <v>-7</v>
      </c>
      <c r="CB22" s="229">
        <v>-1.8E-3</v>
      </c>
      <c r="CC22" s="230">
        <v>3094</v>
      </c>
      <c r="CD22" s="230">
        <v>3227</v>
      </c>
      <c r="CE22" s="228">
        <v>-133</v>
      </c>
      <c r="CF22" s="229">
        <v>-4.1200000000000001E-2</v>
      </c>
      <c r="CG22" s="228">
        <v>649</v>
      </c>
      <c r="CH22" s="228">
        <v>525</v>
      </c>
      <c r="CI22" s="228">
        <v>124</v>
      </c>
      <c r="CJ22" s="229">
        <v>0.23630000000000001</v>
      </c>
      <c r="CK22" s="228">
        <v>16</v>
      </c>
      <c r="CL22" s="228">
        <v>14</v>
      </c>
      <c r="CM22" s="228">
        <v>2</v>
      </c>
      <c r="CN22" s="229">
        <v>0.15579999999999999</v>
      </c>
      <c r="CO22" s="230">
        <v>1129</v>
      </c>
      <c r="CP22" s="230">
        <v>1134</v>
      </c>
      <c r="CQ22" s="228">
        <v>-5</v>
      </c>
      <c r="CR22" s="229">
        <v>-4.5999999999999999E-3</v>
      </c>
      <c r="CS22" s="228">
        <v>745</v>
      </c>
      <c r="CT22" s="228">
        <v>742</v>
      </c>
      <c r="CU22" s="228">
        <v>3</v>
      </c>
      <c r="CV22" s="229">
        <v>4.1999999999999997E-3</v>
      </c>
      <c r="CW22" s="230">
        <v>5633</v>
      </c>
      <c r="CX22" s="230">
        <v>5642</v>
      </c>
      <c r="CY22" s="228">
        <v>-9</v>
      </c>
      <c r="CZ22" s="229">
        <v>-1.6000000000000001E-3</v>
      </c>
      <c r="DA22" s="228">
        <v>18.07</v>
      </c>
      <c r="DB22" s="228">
        <v>19.05</v>
      </c>
      <c r="DC22" s="228">
        <v>-0.98</v>
      </c>
      <c r="DD22" s="228">
        <v>-0.98</v>
      </c>
      <c r="DE22" s="228">
        <v>28.67</v>
      </c>
      <c r="DF22" s="228">
        <v>28.74</v>
      </c>
      <c r="DG22" s="228">
        <v>-10.6</v>
      </c>
      <c r="DH22" s="228">
        <v>-7.0000000000000007E-2</v>
      </c>
      <c r="DI22" s="228">
        <v>18.309999999999999</v>
      </c>
      <c r="DJ22" s="228">
        <v>19.670000000000002</v>
      </c>
      <c r="DK22" s="228">
        <v>-1.36</v>
      </c>
      <c r="DL22" s="228">
        <v>-1.36</v>
      </c>
      <c r="DM22" s="228">
        <v>17.57</v>
      </c>
      <c r="DN22" s="228">
        <v>18.13</v>
      </c>
      <c r="DO22" s="228">
        <v>-0.56000000000000005</v>
      </c>
      <c r="DP22" s="228">
        <v>-0.56000000000000005</v>
      </c>
      <c r="DQ22" s="228">
        <v>0.66</v>
      </c>
      <c r="DR22" s="228">
        <v>0.65</v>
      </c>
      <c r="DS22" s="228">
        <v>0.01</v>
      </c>
      <c r="DT22" s="229">
        <v>1.54E-2</v>
      </c>
      <c r="DU22" s="231">
        <v>2100</v>
      </c>
      <c r="DV22" s="231">
        <v>2000</v>
      </c>
      <c r="DW22" s="228">
        <v>0.48</v>
      </c>
      <c r="DX22" s="228">
        <v>0.67</v>
      </c>
      <c r="DY22" s="228">
        <v>-0.19</v>
      </c>
      <c r="DZ22" s="229">
        <v>-0.28360000000000002</v>
      </c>
      <c r="EA22" s="229">
        <v>0.1769</v>
      </c>
      <c r="EB22" s="230">
        <v>2654500</v>
      </c>
      <c r="EC22" s="229">
        <v>6.7999999999999996E-3</v>
      </c>
      <c r="ED22" s="229">
        <v>0.1769</v>
      </c>
      <c r="EE22" s="228">
        <v>14.51</v>
      </c>
      <c r="EF22" s="229">
        <v>7.1000000000000004E-3</v>
      </c>
      <c r="EG22" s="230">
        <v>240016</v>
      </c>
      <c r="EH22" s="230">
        <v>393483</v>
      </c>
      <c r="EI22" s="229">
        <v>-0.39</v>
      </c>
      <c r="EJ22" s="229">
        <v>0.52949999999999997</v>
      </c>
      <c r="EK22" s="228">
        <v>706.07</v>
      </c>
      <c r="EL22" s="228">
        <v>328.05</v>
      </c>
      <c r="EM22" s="228">
        <v>430.26</v>
      </c>
      <c r="EN22" s="228">
        <v>65.16</v>
      </c>
      <c r="EO22" s="231">
        <v>1464.38</v>
      </c>
      <c r="EP22" s="231">
        <v>1783.47</v>
      </c>
      <c r="EQ22" s="228">
        <v>-319.08999999999997</v>
      </c>
      <c r="ER22" s="229">
        <v>-0.1789</v>
      </c>
      <c r="ES22" s="231">
        <v>1192.51</v>
      </c>
      <c r="ET22" s="228">
        <v>729.54</v>
      </c>
      <c r="EU22" s="231">
        <v>3763.57</v>
      </c>
      <c r="EV22" s="231">
        <v>65659712</v>
      </c>
      <c r="EW22" s="231">
        <v>5685.62</v>
      </c>
      <c r="EX22" s="231">
        <v>5688.87</v>
      </c>
      <c r="EY22" s="228">
        <v>-3.25</v>
      </c>
      <c r="EZ22" s="229">
        <v>-5.9999999999999995E-4</v>
      </c>
      <c r="FA22" s="229">
        <v>0.42280000000000001</v>
      </c>
      <c r="FB22" s="227" t="s">
        <v>556</v>
      </c>
      <c r="FC22">
        <f t="shared" si="0"/>
        <v>665</v>
      </c>
    </row>
    <row r="23" spans="1:159" ht="17.25" thickBot="1" x14ac:dyDescent="0.3">
      <c r="A23" s="226">
        <v>46009</v>
      </c>
      <c r="B23" s="227" t="s">
        <v>175</v>
      </c>
      <c r="C23" s="227" t="s">
        <v>177</v>
      </c>
      <c r="D23" s="228">
        <v>750</v>
      </c>
      <c r="E23" s="228">
        <v>12</v>
      </c>
      <c r="F23" s="231">
        <v>1002.2</v>
      </c>
      <c r="G23" s="231">
        <v>1003.1</v>
      </c>
      <c r="H23" s="228">
        <v>-0.9</v>
      </c>
      <c r="I23" s="229">
        <v>-8.9999999999999998E-4</v>
      </c>
      <c r="J23" s="231">
        <v>1000.3</v>
      </c>
      <c r="K23" s="228">
        <v>999.6</v>
      </c>
      <c r="L23" s="228">
        <v>0.7</v>
      </c>
      <c r="M23" s="229">
        <v>6.9999999999999999E-4</v>
      </c>
      <c r="N23" s="231">
        <v>1002.2</v>
      </c>
      <c r="O23" s="231">
        <v>1003.1</v>
      </c>
      <c r="P23" s="228">
        <v>-0.9</v>
      </c>
      <c r="Q23" s="229">
        <v>-8.9999999999999998E-4</v>
      </c>
      <c r="R23" s="231">
        <v>1008.7</v>
      </c>
      <c r="S23" s="231">
        <v>1009</v>
      </c>
      <c r="T23" s="228">
        <v>-0.3</v>
      </c>
      <c r="U23" s="229">
        <v>-2.9999999999999997E-4</v>
      </c>
      <c r="V23" s="231">
        <v>1014.4</v>
      </c>
      <c r="W23" s="231">
        <v>1014.6</v>
      </c>
      <c r="X23" s="228">
        <v>-0.2</v>
      </c>
      <c r="Y23" s="229">
        <v>-2.0000000000000001E-4</v>
      </c>
      <c r="Z23" s="228">
        <v>1.9</v>
      </c>
      <c r="AA23" s="228">
        <v>3.5</v>
      </c>
      <c r="AB23" s="228">
        <v>-1.6</v>
      </c>
      <c r="AC23" s="229">
        <v>1.9E-3</v>
      </c>
      <c r="AD23" s="228">
        <v>1.9</v>
      </c>
      <c r="AE23" s="228">
        <v>3.5</v>
      </c>
      <c r="AF23" s="228">
        <v>-1.6</v>
      </c>
      <c r="AG23" s="229">
        <v>1.9E-3</v>
      </c>
      <c r="AH23" s="228">
        <v>8.4</v>
      </c>
      <c r="AI23" s="228">
        <v>9.4</v>
      </c>
      <c r="AJ23" s="228">
        <v>-1</v>
      </c>
      <c r="AK23" s="229">
        <v>8.3999999999999995E-3</v>
      </c>
      <c r="AL23" s="228">
        <v>14.1</v>
      </c>
      <c r="AM23" s="228">
        <v>15</v>
      </c>
      <c r="AN23" s="228">
        <v>-0.9</v>
      </c>
      <c r="AO23" s="229">
        <v>1.41E-2</v>
      </c>
      <c r="AP23" s="231">
        <v>1003.68</v>
      </c>
      <c r="AQ23" s="231">
        <v>1010.18</v>
      </c>
      <c r="AR23" s="228">
        <v>0</v>
      </c>
      <c r="AS23" s="230">
        <v>1014</v>
      </c>
      <c r="AT23" s="228">
        <v>965</v>
      </c>
      <c r="AU23" s="228">
        <v>48</v>
      </c>
      <c r="AV23" s="229">
        <v>4.9700000000000001E-2</v>
      </c>
      <c r="AW23" s="228">
        <v>609</v>
      </c>
      <c r="AX23" s="228">
        <v>698</v>
      </c>
      <c r="AY23" s="228">
        <v>-88</v>
      </c>
      <c r="AZ23" s="229">
        <v>-0.12640000000000001</v>
      </c>
      <c r="BA23" s="228">
        <v>396</v>
      </c>
      <c r="BB23" s="228">
        <v>264</v>
      </c>
      <c r="BC23" s="228">
        <v>132</v>
      </c>
      <c r="BD23" s="229">
        <v>0.5</v>
      </c>
      <c r="BE23" s="228">
        <v>9</v>
      </c>
      <c r="BF23" s="228">
        <v>4</v>
      </c>
      <c r="BG23" s="228">
        <v>4</v>
      </c>
      <c r="BH23" s="229">
        <v>1.0357000000000001</v>
      </c>
      <c r="BI23" s="230">
        <v>2310</v>
      </c>
      <c r="BJ23" s="230">
        <v>2592</v>
      </c>
      <c r="BK23" s="228">
        <v>-282</v>
      </c>
      <c r="BL23" s="229">
        <v>-0.10879999999999999</v>
      </c>
      <c r="BM23" s="230">
        <v>1118</v>
      </c>
      <c r="BN23" s="230">
        <v>1219</v>
      </c>
      <c r="BO23" s="228">
        <v>-101</v>
      </c>
      <c r="BP23" s="229">
        <v>-8.2799999999999999E-2</v>
      </c>
      <c r="BQ23" s="230">
        <v>4441</v>
      </c>
      <c r="BR23" s="230">
        <v>4776</v>
      </c>
      <c r="BS23" s="228">
        <v>-335</v>
      </c>
      <c r="BT23" s="229">
        <v>-7.0099999999999996E-2</v>
      </c>
      <c r="BU23" s="230">
        <v>3733571</v>
      </c>
      <c r="BV23" s="230">
        <v>4883036</v>
      </c>
      <c r="BW23" s="230">
        <v>-1149465</v>
      </c>
      <c r="BX23" s="229">
        <v>-0.2354</v>
      </c>
      <c r="BY23" s="230">
        <v>8904</v>
      </c>
      <c r="BZ23" s="230">
        <v>8838</v>
      </c>
      <c r="CA23" s="228">
        <v>67</v>
      </c>
      <c r="CB23" s="229">
        <v>7.6E-3</v>
      </c>
      <c r="CC23" s="230">
        <v>7483</v>
      </c>
      <c r="CD23" s="230">
        <v>7749</v>
      </c>
      <c r="CE23" s="228">
        <v>-265</v>
      </c>
      <c r="CF23" s="229">
        <v>-3.4200000000000001E-2</v>
      </c>
      <c r="CG23" s="230">
        <v>1357</v>
      </c>
      <c r="CH23" s="230">
        <v>1028</v>
      </c>
      <c r="CI23" s="228">
        <v>329</v>
      </c>
      <c r="CJ23" s="229">
        <v>0.31979999999999997</v>
      </c>
      <c r="CK23" s="228">
        <v>64</v>
      </c>
      <c r="CL23" s="228">
        <v>61</v>
      </c>
      <c r="CM23" s="228">
        <v>3</v>
      </c>
      <c r="CN23" s="229">
        <v>5.0700000000000002E-2</v>
      </c>
      <c r="CO23" s="230">
        <v>3192</v>
      </c>
      <c r="CP23" s="230">
        <v>3251</v>
      </c>
      <c r="CQ23" s="228">
        <v>-59</v>
      </c>
      <c r="CR23" s="229">
        <v>-1.8200000000000001E-2</v>
      </c>
      <c r="CS23" s="230">
        <v>1886</v>
      </c>
      <c r="CT23" s="230">
        <v>1925</v>
      </c>
      <c r="CU23" s="228">
        <v>-39</v>
      </c>
      <c r="CV23" s="229">
        <v>-0.02</v>
      </c>
      <c r="CW23" s="230">
        <v>13982</v>
      </c>
      <c r="CX23" s="230">
        <v>14013</v>
      </c>
      <c r="CY23" s="228">
        <v>-31</v>
      </c>
      <c r="CZ23" s="229">
        <v>-2.2000000000000001E-3</v>
      </c>
      <c r="DA23" s="228">
        <v>21.14</v>
      </c>
      <c r="DB23" s="228">
        <v>21.82</v>
      </c>
      <c r="DC23" s="228">
        <v>-0.68</v>
      </c>
      <c r="DD23" s="228">
        <v>-0.68</v>
      </c>
      <c r="DE23" s="228">
        <v>31.52</v>
      </c>
      <c r="DF23" s="228">
        <v>31.6</v>
      </c>
      <c r="DG23" s="228">
        <v>-10.38</v>
      </c>
      <c r="DH23" s="228">
        <v>-0.08</v>
      </c>
      <c r="DI23" s="228">
        <v>21.82</v>
      </c>
      <c r="DJ23" s="228">
        <v>22.41</v>
      </c>
      <c r="DK23" s="228">
        <v>-0.59</v>
      </c>
      <c r="DL23" s="228">
        <v>-0.59</v>
      </c>
      <c r="DM23" s="228">
        <v>19.739999999999998</v>
      </c>
      <c r="DN23" s="228">
        <v>20.55</v>
      </c>
      <c r="DO23" s="228">
        <v>-0.81</v>
      </c>
      <c r="DP23" s="228">
        <v>-0.81</v>
      </c>
      <c r="DQ23" s="228">
        <v>0.59</v>
      </c>
      <c r="DR23" s="228">
        <v>0.59</v>
      </c>
      <c r="DS23" s="228">
        <v>0</v>
      </c>
      <c r="DT23" s="229">
        <v>0</v>
      </c>
      <c r="DU23" s="231">
        <v>1020</v>
      </c>
      <c r="DV23" s="231">
        <v>1000</v>
      </c>
      <c r="DW23" s="228">
        <v>0.48</v>
      </c>
      <c r="DX23" s="228">
        <v>0.47</v>
      </c>
      <c r="DY23" s="228">
        <v>0.01</v>
      </c>
      <c r="DZ23" s="229">
        <v>2.1299999999999999E-2</v>
      </c>
      <c r="EA23" s="229">
        <v>0.15959999999999999</v>
      </c>
      <c r="EB23" s="230">
        <v>10866750</v>
      </c>
      <c r="EC23" s="229">
        <v>6.4999999999999997E-3</v>
      </c>
      <c r="ED23" s="229">
        <v>0.15959999999999999</v>
      </c>
      <c r="EE23" s="228">
        <v>6.5</v>
      </c>
      <c r="EF23" s="229">
        <v>6.4999999999999997E-3</v>
      </c>
      <c r="EG23" s="230">
        <v>1956957</v>
      </c>
      <c r="EH23" s="230">
        <v>3045407</v>
      </c>
      <c r="EI23" s="229">
        <v>-0.3574</v>
      </c>
      <c r="EJ23" s="229">
        <v>0.5242</v>
      </c>
      <c r="EK23" s="231">
        <v>2408.7600000000002</v>
      </c>
      <c r="EL23" s="231">
        <v>1115.3599999999999</v>
      </c>
      <c r="EM23" s="231">
        <v>1017.69</v>
      </c>
      <c r="EN23" s="228">
        <v>96.42</v>
      </c>
      <c r="EO23" s="231">
        <v>4541.8100000000004</v>
      </c>
      <c r="EP23" s="231">
        <v>4887.41</v>
      </c>
      <c r="EQ23" s="228">
        <v>-345.6</v>
      </c>
      <c r="ER23" s="229">
        <v>-7.0699999999999999E-2</v>
      </c>
      <c r="ES23" s="231">
        <v>3373.22</v>
      </c>
      <c r="ET23" s="231">
        <v>1872.62</v>
      </c>
      <c r="EU23" s="231">
        <v>8914</v>
      </c>
      <c r="EV23" s="231">
        <v>281116345</v>
      </c>
      <c r="EW23" s="231">
        <v>14159.84</v>
      </c>
      <c r="EX23" s="231">
        <v>14203.18</v>
      </c>
      <c r="EY23" s="228">
        <v>-43.34</v>
      </c>
      <c r="EZ23" s="229">
        <v>-3.0999999999999999E-3</v>
      </c>
      <c r="FA23" s="229">
        <v>0.49630000000000002</v>
      </c>
      <c r="FB23" s="227" t="s">
        <v>567</v>
      </c>
      <c r="FC23">
        <f t="shared" si="0"/>
        <v>1421</v>
      </c>
    </row>
    <row r="24" spans="1:159" ht="17.25" thickBot="1" x14ac:dyDescent="0.3">
      <c r="A24" s="226">
        <v>46009</v>
      </c>
      <c r="B24" s="227" t="s">
        <v>172</v>
      </c>
      <c r="C24" s="227" t="s">
        <v>179</v>
      </c>
      <c r="D24" s="228">
        <v>3600</v>
      </c>
      <c r="E24" s="228">
        <v>12</v>
      </c>
      <c r="F24" s="228">
        <v>146.09</v>
      </c>
      <c r="G24" s="228">
        <v>148.63</v>
      </c>
      <c r="H24" s="228">
        <v>-2.54</v>
      </c>
      <c r="I24" s="229">
        <v>-1.7100000000000001E-2</v>
      </c>
      <c r="J24" s="228">
        <v>145.33000000000001</v>
      </c>
      <c r="K24" s="228">
        <v>147.84</v>
      </c>
      <c r="L24" s="228">
        <v>-2.5099999999999998</v>
      </c>
      <c r="M24" s="229">
        <v>-1.7000000000000001E-2</v>
      </c>
      <c r="N24" s="228">
        <v>146.09</v>
      </c>
      <c r="O24" s="228">
        <v>148.63</v>
      </c>
      <c r="P24" s="228">
        <v>-2.54</v>
      </c>
      <c r="Q24" s="229">
        <v>-1.7100000000000001E-2</v>
      </c>
      <c r="R24" s="228">
        <v>147.47999999999999</v>
      </c>
      <c r="S24" s="228">
        <v>149.91999999999999</v>
      </c>
      <c r="T24" s="228">
        <v>-2.44</v>
      </c>
      <c r="U24" s="229">
        <v>-1.6299999999999999E-2</v>
      </c>
      <c r="V24" s="228">
        <v>148.79</v>
      </c>
      <c r="W24" s="228">
        <v>149.30000000000001</v>
      </c>
      <c r="X24" s="228">
        <v>-0.51</v>
      </c>
      <c r="Y24" s="229">
        <v>-3.3999999999999998E-3</v>
      </c>
      <c r="Z24" s="228">
        <v>0.76</v>
      </c>
      <c r="AA24" s="228">
        <v>0.79</v>
      </c>
      <c r="AB24" s="228">
        <v>-0.03</v>
      </c>
      <c r="AC24" s="229">
        <v>5.1999999999999998E-3</v>
      </c>
      <c r="AD24" s="228">
        <v>0.76</v>
      </c>
      <c r="AE24" s="228">
        <v>0.79</v>
      </c>
      <c r="AF24" s="228">
        <v>-0.03</v>
      </c>
      <c r="AG24" s="229">
        <v>5.1999999999999998E-3</v>
      </c>
      <c r="AH24" s="228">
        <v>2.15</v>
      </c>
      <c r="AI24" s="228">
        <v>2.08</v>
      </c>
      <c r="AJ24" s="228">
        <v>7.0000000000000007E-2</v>
      </c>
      <c r="AK24" s="229">
        <v>1.4800000000000001E-2</v>
      </c>
      <c r="AL24" s="228">
        <v>3.46</v>
      </c>
      <c r="AM24" s="228">
        <v>1.46</v>
      </c>
      <c r="AN24" s="228">
        <v>2</v>
      </c>
      <c r="AO24" s="229">
        <v>2.3800000000000002E-2</v>
      </c>
      <c r="AP24" s="228">
        <v>146.55000000000001</v>
      </c>
      <c r="AQ24" s="228">
        <v>147.08000000000001</v>
      </c>
      <c r="AR24" s="228">
        <v>0</v>
      </c>
      <c r="AS24" s="228">
        <v>13</v>
      </c>
      <c r="AT24" s="228">
        <v>5</v>
      </c>
      <c r="AU24" s="228">
        <v>8</v>
      </c>
      <c r="AV24" s="229">
        <v>1.5978000000000001</v>
      </c>
      <c r="AW24" s="228">
        <v>10</v>
      </c>
      <c r="AX24" s="228">
        <v>5</v>
      </c>
      <c r="AY24" s="228">
        <v>6</v>
      </c>
      <c r="AZ24" s="229">
        <v>1.2907</v>
      </c>
      <c r="BA24" s="228">
        <v>2</v>
      </c>
      <c r="BB24" s="228">
        <v>0</v>
      </c>
      <c r="BC24" s="228">
        <v>2</v>
      </c>
      <c r="BD24" s="229">
        <v>6.6</v>
      </c>
      <c r="BE24" s="228">
        <v>0</v>
      </c>
      <c r="BF24" s="228">
        <v>0</v>
      </c>
      <c r="BG24" s="228">
        <v>0</v>
      </c>
      <c r="BH24" s="229">
        <v>3</v>
      </c>
      <c r="BI24" s="228">
        <v>23</v>
      </c>
      <c r="BJ24" s="228">
        <v>25</v>
      </c>
      <c r="BK24" s="228">
        <v>-2</v>
      </c>
      <c r="BL24" s="229">
        <v>-8.5300000000000001E-2</v>
      </c>
      <c r="BM24" s="228">
        <v>6</v>
      </c>
      <c r="BN24" s="228">
        <v>4</v>
      </c>
      <c r="BO24" s="228">
        <v>2</v>
      </c>
      <c r="BP24" s="229">
        <v>0.44159999999999999</v>
      </c>
      <c r="BQ24" s="228">
        <v>41</v>
      </c>
      <c r="BR24" s="228">
        <v>34</v>
      </c>
      <c r="BS24" s="228">
        <v>7</v>
      </c>
      <c r="BT24" s="229">
        <v>0.221</v>
      </c>
      <c r="BU24" s="230">
        <v>5922287</v>
      </c>
      <c r="BV24" s="230">
        <v>4754672</v>
      </c>
      <c r="BW24" s="230">
        <v>1167615</v>
      </c>
      <c r="BX24" s="229">
        <v>0.24560000000000001</v>
      </c>
      <c r="BY24" s="230">
        <v>1650</v>
      </c>
      <c r="BZ24" s="230">
        <v>1655</v>
      </c>
      <c r="CA24" s="228">
        <v>-5</v>
      </c>
      <c r="CB24" s="229">
        <v>-3.0999999999999999E-3</v>
      </c>
      <c r="CC24" s="230">
        <v>1547</v>
      </c>
      <c r="CD24" s="230">
        <v>1552</v>
      </c>
      <c r="CE24" s="228">
        <v>-5</v>
      </c>
      <c r="CF24" s="229">
        <v>-3.0000000000000001E-3</v>
      </c>
      <c r="CG24" s="228">
        <v>93</v>
      </c>
      <c r="CH24" s="228">
        <v>93</v>
      </c>
      <c r="CI24" s="228">
        <v>0</v>
      </c>
      <c r="CJ24" s="229">
        <v>-4.0000000000000001E-3</v>
      </c>
      <c r="CK24" s="228">
        <v>10</v>
      </c>
      <c r="CL24" s="228">
        <v>10</v>
      </c>
      <c r="CM24" s="228">
        <v>0</v>
      </c>
      <c r="CN24" s="229">
        <v>-5.1000000000000004E-3</v>
      </c>
      <c r="CO24" s="228">
        <v>600</v>
      </c>
      <c r="CP24" s="228">
        <v>612</v>
      </c>
      <c r="CQ24" s="228">
        <v>-12</v>
      </c>
      <c r="CR24" s="229">
        <v>-1.95E-2</v>
      </c>
      <c r="CS24" s="228">
        <v>412</v>
      </c>
      <c r="CT24" s="228">
        <v>413</v>
      </c>
      <c r="CU24" s="228">
        <v>-1</v>
      </c>
      <c r="CV24" s="229">
        <v>-1.2999999999999999E-3</v>
      </c>
      <c r="CW24" s="230">
        <v>2662</v>
      </c>
      <c r="CX24" s="230">
        <v>2680</v>
      </c>
      <c r="CY24" s="228">
        <v>-18</v>
      </c>
      <c r="CZ24" s="229">
        <v>-6.6E-3</v>
      </c>
      <c r="DA24" s="228">
        <v>42.43</v>
      </c>
      <c r="DB24" s="228">
        <v>34.520000000000003</v>
      </c>
      <c r="DC24" s="228">
        <v>7.91</v>
      </c>
      <c r="DD24" s="228">
        <v>7.91</v>
      </c>
      <c r="DE24" s="228">
        <v>42.08</v>
      </c>
      <c r="DF24" s="228">
        <v>42.12</v>
      </c>
      <c r="DG24" s="228">
        <v>0.35</v>
      </c>
      <c r="DH24" s="228">
        <v>-0.04</v>
      </c>
      <c r="DI24" s="228">
        <v>42.92</v>
      </c>
      <c r="DJ24" s="228">
        <v>33.28</v>
      </c>
      <c r="DK24" s="228">
        <v>9.64</v>
      </c>
      <c r="DL24" s="228">
        <v>9.64</v>
      </c>
      <c r="DM24" s="228">
        <v>40.53</v>
      </c>
      <c r="DN24" s="228">
        <v>42.1</v>
      </c>
      <c r="DO24" s="228">
        <v>-1.57</v>
      </c>
      <c r="DP24" s="228">
        <v>-1.57</v>
      </c>
      <c r="DQ24" s="228">
        <v>0.69</v>
      </c>
      <c r="DR24" s="228">
        <v>0.67</v>
      </c>
      <c r="DS24" s="228">
        <v>0.02</v>
      </c>
      <c r="DT24" s="229">
        <v>2.9899999999999999E-2</v>
      </c>
      <c r="DU24" s="228">
        <v>150</v>
      </c>
      <c r="DV24" s="228">
        <v>150</v>
      </c>
      <c r="DW24" s="228">
        <v>0.26</v>
      </c>
      <c r="DX24" s="228">
        <v>0.16</v>
      </c>
      <c r="DY24" s="228">
        <v>0.1</v>
      </c>
      <c r="DZ24" s="229">
        <v>0.625</v>
      </c>
      <c r="EA24" s="229">
        <v>6.2399999999999997E-2</v>
      </c>
      <c r="EB24" s="230">
        <v>7074000</v>
      </c>
      <c r="EC24" s="229">
        <v>9.4999999999999998E-3</v>
      </c>
      <c r="ED24" s="229">
        <v>6.2399999999999997E-2</v>
      </c>
      <c r="EE24" s="228">
        <v>0.53</v>
      </c>
      <c r="EF24" s="229">
        <v>3.5999999999999999E-3</v>
      </c>
      <c r="EG24" s="230">
        <v>2655545</v>
      </c>
      <c r="EH24" s="230">
        <v>2193197</v>
      </c>
      <c r="EI24" s="229">
        <v>0.21079999999999999</v>
      </c>
      <c r="EJ24" s="229">
        <v>0.44840000000000002</v>
      </c>
      <c r="EK24" s="228">
        <v>24.95</v>
      </c>
      <c r="EL24" s="228">
        <v>5.63</v>
      </c>
      <c r="EM24" s="228">
        <v>12.62</v>
      </c>
      <c r="EN24" s="228">
        <v>5.65</v>
      </c>
      <c r="EO24" s="228">
        <v>43.19</v>
      </c>
      <c r="EP24" s="228">
        <v>36.18</v>
      </c>
      <c r="EQ24" s="228">
        <v>7.01</v>
      </c>
      <c r="ER24" s="229">
        <v>0.19389999999999999</v>
      </c>
      <c r="ES24" s="228">
        <v>657.85</v>
      </c>
      <c r="ET24" s="228">
        <v>427.89</v>
      </c>
      <c r="EU24" s="231">
        <v>1651.05</v>
      </c>
      <c r="EV24" s="231">
        <v>142752962</v>
      </c>
      <c r="EW24" s="231">
        <v>2736.79</v>
      </c>
      <c r="EX24" s="231">
        <v>2784.25</v>
      </c>
      <c r="EY24" s="228">
        <v>-47.46</v>
      </c>
      <c r="EZ24" s="229">
        <v>-1.7000000000000001E-2</v>
      </c>
      <c r="FA24" s="229">
        <v>1.2765</v>
      </c>
      <c r="FB24" s="227" t="s">
        <v>568</v>
      </c>
      <c r="FC24">
        <f t="shared" si="0"/>
        <v>103</v>
      </c>
    </row>
    <row r="25" spans="1:159" ht="17.25" thickBot="1" x14ac:dyDescent="0.3">
      <c r="A25" s="226">
        <v>46009</v>
      </c>
      <c r="B25" s="227" t="s">
        <v>172</v>
      </c>
      <c r="C25" s="227" t="s">
        <v>180</v>
      </c>
      <c r="D25" s="228">
        <v>2925</v>
      </c>
      <c r="E25" s="228">
        <v>12</v>
      </c>
      <c r="F25" s="228">
        <v>288.3</v>
      </c>
      <c r="G25" s="228">
        <v>288.14999999999998</v>
      </c>
      <c r="H25" s="228">
        <v>0.15</v>
      </c>
      <c r="I25" s="229">
        <v>5.0000000000000001E-4</v>
      </c>
      <c r="J25" s="228">
        <v>288.10000000000002</v>
      </c>
      <c r="K25" s="228">
        <v>287.60000000000002</v>
      </c>
      <c r="L25" s="228">
        <v>0.5</v>
      </c>
      <c r="M25" s="229">
        <v>1.6999999999999999E-3</v>
      </c>
      <c r="N25" s="228">
        <v>288.3</v>
      </c>
      <c r="O25" s="228">
        <v>288.14999999999998</v>
      </c>
      <c r="P25" s="228">
        <v>0.15</v>
      </c>
      <c r="Q25" s="229">
        <v>5.0000000000000001E-4</v>
      </c>
      <c r="R25" s="228">
        <v>290.10000000000002</v>
      </c>
      <c r="S25" s="228">
        <v>289.85000000000002</v>
      </c>
      <c r="T25" s="228">
        <v>0.25</v>
      </c>
      <c r="U25" s="229">
        <v>8.9999999999999998E-4</v>
      </c>
      <c r="V25" s="228">
        <v>291.85000000000002</v>
      </c>
      <c r="W25" s="228">
        <v>291.2</v>
      </c>
      <c r="X25" s="228">
        <v>0.65</v>
      </c>
      <c r="Y25" s="229">
        <v>2.2000000000000001E-3</v>
      </c>
      <c r="Z25" s="228">
        <v>0.2</v>
      </c>
      <c r="AA25" s="228">
        <v>0.55000000000000004</v>
      </c>
      <c r="AB25" s="228">
        <v>-0.35</v>
      </c>
      <c r="AC25" s="229">
        <v>6.9999999999999999E-4</v>
      </c>
      <c r="AD25" s="228">
        <v>0.2</v>
      </c>
      <c r="AE25" s="228">
        <v>0.55000000000000004</v>
      </c>
      <c r="AF25" s="228">
        <v>-0.35</v>
      </c>
      <c r="AG25" s="229">
        <v>6.9999999999999999E-4</v>
      </c>
      <c r="AH25" s="228">
        <v>2</v>
      </c>
      <c r="AI25" s="228">
        <v>2.25</v>
      </c>
      <c r="AJ25" s="228">
        <v>-0.25</v>
      </c>
      <c r="AK25" s="229">
        <v>6.8999999999999999E-3</v>
      </c>
      <c r="AL25" s="228">
        <v>3.75</v>
      </c>
      <c r="AM25" s="228">
        <v>3.6</v>
      </c>
      <c r="AN25" s="228">
        <v>0.15</v>
      </c>
      <c r="AO25" s="229">
        <v>1.2999999999999999E-2</v>
      </c>
      <c r="AP25" s="228">
        <v>288.86</v>
      </c>
      <c r="AQ25" s="228">
        <v>290.49</v>
      </c>
      <c r="AR25" s="228">
        <v>0</v>
      </c>
      <c r="AS25" s="228">
        <v>360</v>
      </c>
      <c r="AT25" s="228">
        <v>557</v>
      </c>
      <c r="AU25" s="228">
        <v>-197</v>
      </c>
      <c r="AV25" s="229">
        <v>-0.35370000000000001</v>
      </c>
      <c r="AW25" s="228">
        <v>294</v>
      </c>
      <c r="AX25" s="228">
        <v>463</v>
      </c>
      <c r="AY25" s="228">
        <v>-169</v>
      </c>
      <c r="AZ25" s="229">
        <v>-0.36409999999999998</v>
      </c>
      <c r="BA25" s="228">
        <v>62</v>
      </c>
      <c r="BB25" s="228">
        <v>90</v>
      </c>
      <c r="BC25" s="228">
        <v>-28</v>
      </c>
      <c r="BD25" s="229">
        <v>-0.31469999999999998</v>
      </c>
      <c r="BE25" s="228">
        <v>4</v>
      </c>
      <c r="BF25" s="228">
        <v>4</v>
      </c>
      <c r="BG25" s="228">
        <v>0</v>
      </c>
      <c r="BH25" s="229">
        <v>-4.1700000000000001E-2</v>
      </c>
      <c r="BI25" s="230">
        <v>1368</v>
      </c>
      <c r="BJ25" s="230">
        <v>1948</v>
      </c>
      <c r="BK25" s="228">
        <v>-580</v>
      </c>
      <c r="BL25" s="229">
        <v>-0.29770000000000002</v>
      </c>
      <c r="BM25" s="228">
        <v>765</v>
      </c>
      <c r="BN25" s="230">
        <v>1019</v>
      </c>
      <c r="BO25" s="228">
        <v>-254</v>
      </c>
      <c r="BP25" s="229">
        <v>-0.2492</v>
      </c>
      <c r="BQ25" s="230">
        <v>2494</v>
      </c>
      <c r="BR25" s="230">
        <v>3525</v>
      </c>
      <c r="BS25" s="230">
        <v>-1031</v>
      </c>
      <c r="BT25" s="229">
        <v>-0.29249999999999998</v>
      </c>
      <c r="BU25" s="230">
        <v>6119283</v>
      </c>
      <c r="BV25" s="230">
        <v>18872083</v>
      </c>
      <c r="BW25" s="230">
        <v>-12752800</v>
      </c>
      <c r="BX25" s="229">
        <v>-0.67569999999999997</v>
      </c>
      <c r="BY25" s="230">
        <v>2498</v>
      </c>
      <c r="BZ25" s="230">
        <v>2526</v>
      </c>
      <c r="CA25" s="228">
        <v>-27</v>
      </c>
      <c r="CB25" s="229">
        <v>-1.09E-2</v>
      </c>
      <c r="CC25" s="230">
        <v>2249</v>
      </c>
      <c r="CD25" s="230">
        <v>2291</v>
      </c>
      <c r="CE25" s="228">
        <v>-42</v>
      </c>
      <c r="CF25" s="229">
        <v>-1.8200000000000001E-2</v>
      </c>
      <c r="CG25" s="228">
        <v>230</v>
      </c>
      <c r="CH25" s="228">
        <v>217</v>
      </c>
      <c r="CI25" s="228">
        <v>13</v>
      </c>
      <c r="CJ25" s="229">
        <v>6.0699999999999997E-2</v>
      </c>
      <c r="CK25" s="228">
        <v>19</v>
      </c>
      <c r="CL25" s="228">
        <v>18</v>
      </c>
      <c r="CM25" s="228">
        <v>1</v>
      </c>
      <c r="CN25" s="229">
        <v>6.4799999999999996E-2</v>
      </c>
      <c r="CO25" s="230">
        <v>1392</v>
      </c>
      <c r="CP25" s="230">
        <v>1460</v>
      </c>
      <c r="CQ25" s="228">
        <v>-67</v>
      </c>
      <c r="CR25" s="229">
        <v>-4.6100000000000002E-2</v>
      </c>
      <c r="CS25" s="230">
        <v>1145</v>
      </c>
      <c r="CT25" s="230">
        <v>1156</v>
      </c>
      <c r="CU25" s="228">
        <v>-12</v>
      </c>
      <c r="CV25" s="229">
        <v>-1.01E-2</v>
      </c>
      <c r="CW25" s="230">
        <v>5035</v>
      </c>
      <c r="CX25" s="230">
        <v>5142</v>
      </c>
      <c r="CY25" s="228">
        <v>-106</v>
      </c>
      <c r="CZ25" s="229">
        <v>-2.07E-2</v>
      </c>
      <c r="DA25" s="228">
        <v>22.35</v>
      </c>
      <c r="DB25" s="228">
        <v>23.26</v>
      </c>
      <c r="DC25" s="228">
        <v>-0.91</v>
      </c>
      <c r="DD25" s="228">
        <v>-0.91</v>
      </c>
      <c r="DE25" s="228">
        <v>33.950000000000003</v>
      </c>
      <c r="DF25" s="228">
        <v>34.03</v>
      </c>
      <c r="DG25" s="228">
        <v>-11.6</v>
      </c>
      <c r="DH25" s="228">
        <v>-0.08</v>
      </c>
      <c r="DI25" s="228">
        <v>21.94</v>
      </c>
      <c r="DJ25" s="228">
        <v>23.07</v>
      </c>
      <c r="DK25" s="228">
        <v>-1.1299999999999999</v>
      </c>
      <c r="DL25" s="228">
        <v>-1.1299999999999999</v>
      </c>
      <c r="DM25" s="228">
        <v>23.08</v>
      </c>
      <c r="DN25" s="228">
        <v>23.63</v>
      </c>
      <c r="DO25" s="228">
        <v>-0.55000000000000004</v>
      </c>
      <c r="DP25" s="228">
        <v>-0.55000000000000004</v>
      </c>
      <c r="DQ25" s="228">
        <v>0.82</v>
      </c>
      <c r="DR25" s="228">
        <v>0.79</v>
      </c>
      <c r="DS25" s="228">
        <v>0.03</v>
      </c>
      <c r="DT25" s="229">
        <v>3.7999999999999999E-2</v>
      </c>
      <c r="DU25" s="228">
        <v>300</v>
      </c>
      <c r="DV25" s="228">
        <v>285</v>
      </c>
      <c r="DW25" s="228">
        <v>0.56000000000000005</v>
      </c>
      <c r="DX25" s="228">
        <v>0.52</v>
      </c>
      <c r="DY25" s="228">
        <v>0.04</v>
      </c>
      <c r="DZ25" s="229">
        <v>7.6899999999999996E-2</v>
      </c>
      <c r="EA25" s="229">
        <v>9.98E-2</v>
      </c>
      <c r="EB25" s="230">
        <v>8151975</v>
      </c>
      <c r="EC25" s="229">
        <v>6.1999999999999998E-3</v>
      </c>
      <c r="ED25" s="229">
        <v>9.98E-2</v>
      </c>
      <c r="EE25" s="228">
        <v>1.63</v>
      </c>
      <c r="EF25" s="229">
        <v>5.5999999999999999E-3</v>
      </c>
      <c r="EG25" s="230">
        <v>3178789</v>
      </c>
      <c r="EH25" s="230">
        <v>13005809</v>
      </c>
      <c r="EI25" s="229">
        <v>-0.75560000000000005</v>
      </c>
      <c r="EJ25" s="229">
        <v>0.51949999999999996</v>
      </c>
      <c r="EK25" s="231">
        <v>1409.97</v>
      </c>
      <c r="EL25" s="228">
        <v>757.95</v>
      </c>
      <c r="EM25" s="228">
        <v>361.34</v>
      </c>
      <c r="EN25" s="228">
        <v>50.83</v>
      </c>
      <c r="EO25" s="231">
        <v>2529.2600000000002</v>
      </c>
      <c r="EP25" s="231">
        <v>3563.96</v>
      </c>
      <c r="EQ25" s="231">
        <v>-1034.7</v>
      </c>
      <c r="ER25" s="229">
        <v>-0.2903</v>
      </c>
      <c r="ES25" s="231">
        <v>1436.42</v>
      </c>
      <c r="ET25" s="231">
        <v>1119.7</v>
      </c>
      <c r="EU25" s="231">
        <v>2500.0500000000002</v>
      </c>
      <c r="EV25" s="231">
        <v>257509827</v>
      </c>
      <c r="EW25" s="231">
        <v>5056.18</v>
      </c>
      <c r="EX25" s="231">
        <v>5161.6099999999997</v>
      </c>
      <c r="EY25" s="228">
        <v>-105.43</v>
      </c>
      <c r="EZ25" s="229">
        <v>-2.0400000000000001E-2</v>
      </c>
      <c r="FA25" s="229">
        <v>0.67820000000000003</v>
      </c>
      <c r="FB25" s="227" t="s">
        <v>556</v>
      </c>
      <c r="FC25">
        <f t="shared" si="0"/>
        <v>249</v>
      </c>
    </row>
    <row r="26" spans="1:159" ht="17.25" thickBot="1" x14ac:dyDescent="0.3">
      <c r="A26" s="226">
        <v>46009</v>
      </c>
      <c r="B26" s="227" t="s">
        <v>172</v>
      </c>
      <c r="C26" s="227" t="s">
        <v>602</v>
      </c>
      <c r="D26" s="228">
        <v>5200</v>
      </c>
      <c r="E26" s="228">
        <v>12</v>
      </c>
      <c r="F26" s="228">
        <v>142.37</v>
      </c>
      <c r="G26" s="228">
        <v>142.44</v>
      </c>
      <c r="H26" s="228">
        <v>-7.0000000000000007E-2</v>
      </c>
      <c r="I26" s="229">
        <v>-5.0000000000000001E-4</v>
      </c>
      <c r="J26" s="228">
        <v>142.30000000000001</v>
      </c>
      <c r="K26" s="228">
        <v>141.96</v>
      </c>
      <c r="L26" s="228">
        <v>0.34</v>
      </c>
      <c r="M26" s="229">
        <v>2.3999999999999998E-3</v>
      </c>
      <c r="N26" s="228">
        <v>142.37</v>
      </c>
      <c r="O26" s="228">
        <v>142.44</v>
      </c>
      <c r="P26" s="228">
        <v>-7.0000000000000007E-2</v>
      </c>
      <c r="Q26" s="229">
        <v>-5.0000000000000001E-4</v>
      </c>
      <c r="R26" s="228">
        <v>143.16</v>
      </c>
      <c r="S26" s="228">
        <v>143.27000000000001</v>
      </c>
      <c r="T26" s="228">
        <v>-0.11</v>
      </c>
      <c r="U26" s="229">
        <v>-8.0000000000000004E-4</v>
      </c>
      <c r="V26" s="228">
        <v>143.5</v>
      </c>
      <c r="W26" s="228">
        <v>143.9</v>
      </c>
      <c r="X26" s="228">
        <v>-0.4</v>
      </c>
      <c r="Y26" s="229">
        <v>-2.8E-3</v>
      </c>
      <c r="Z26" s="228">
        <v>7.0000000000000007E-2</v>
      </c>
      <c r="AA26" s="228">
        <v>0.48</v>
      </c>
      <c r="AB26" s="228">
        <v>-0.41</v>
      </c>
      <c r="AC26" s="229">
        <v>5.0000000000000001E-4</v>
      </c>
      <c r="AD26" s="228">
        <v>7.0000000000000007E-2</v>
      </c>
      <c r="AE26" s="228">
        <v>0.48</v>
      </c>
      <c r="AF26" s="228">
        <v>-0.41</v>
      </c>
      <c r="AG26" s="229">
        <v>5.0000000000000001E-4</v>
      </c>
      <c r="AH26" s="228">
        <v>0.86</v>
      </c>
      <c r="AI26" s="228">
        <v>1.31</v>
      </c>
      <c r="AJ26" s="228">
        <v>-0.45</v>
      </c>
      <c r="AK26" s="229">
        <v>6.0000000000000001E-3</v>
      </c>
      <c r="AL26" s="228">
        <v>1.2</v>
      </c>
      <c r="AM26" s="228">
        <v>1.94</v>
      </c>
      <c r="AN26" s="228">
        <v>-0.74</v>
      </c>
      <c r="AO26" s="229">
        <v>8.3999999999999995E-3</v>
      </c>
      <c r="AP26" s="228">
        <v>142.62</v>
      </c>
      <c r="AQ26" s="228">
        <v>143.46</v>
      </c>
      <c r="AR26" s="228">
        <v>0</v>
      </c>
      <c r="AS26" s="228">
        <v>118</v>
      </c>
      <c r="AT26" s="228">
        <v>157</v>
      </c>
      <c r="AU26" s="228">
        <v>-39</v>
      </c>
      <c r="AV26" s="229">
        <v>-0.24660000000000001</v>
      </c>
      <c r="AW26" s="228">
        <v>98</v>
      </c>
      <c r="AX26" s="228">
        <v>134</v>
      </c>
      <c r="AY26" s="228">
        <v>-36</v>
      </c>
      <c r="AZ26" s="229">
        <v>-0.26769999999999999</v>
      </c>
      <c r="BA26" s="228">
        <v>19</v>
      </c>
      <c r="BB26" s="228">
        <v>21</v>
      </c>
      <c r="BC26" s="228">
        <v>-2</v>
      </c>
      <c r="BD26" s="229">
        <v>-0.1123</v>
      </c>
      <c r="BE26" s="228">
        <v>1</v>
      </c>
      <c r="BF26" s="228">
        <v>1</v>
      </c>
      <c r="BG26" s="228">
        <v>0</v>
      </c>
      <c r="BH26" s="229">
        <v>-0.25</v>
      </c>
      <c r="BI26" s="228">
        <v>195</v>
      </c>
      <c r="BJ26" s="228">
        <v>480</v>
      </c>
      <c r="BK26" s="228">
        <v>-285</v>
      </c>
      <c r="BL26" s="229">
        <v>-0.59370000000000001</v>
      </c>
      <c r="BM26" s="228">
        <v>143</v>
      </c>
      <c r="BN26" s="228">
        <v>173</v>
      </c>
      <c r="BO26" s="228">
        <v>-31</v>
      </c>
      <c r="BP26" s="229">
        <v>-0.17660000000000001</v>
      </c>
      <c r="BQ26" s="228">
        <v>456</v>
      </c>
      <c r="BR26" s="228">
        <v>810</v>
      </c>
      <c r="BS26" s="228">
        <v>-354</v>
      </c>
      <c r="BT26" s="229">
        <v>-0.43740000000000001</v>
      </c>
      <c r="BU26" s="230">
        <v>5778728</v>
      </c>
      <c r="BV26" s="230">
        <v>6836385</v>
      </c>
      <c r="BW26" s="230">
        <v>-1057657</v>
      </c>
      <c r="BX26" s="229">
        <v>-0.1547</v>
      </c>
      <c r="BY26" s="228">
        <v>704</v>
      </c>
      <c r="BZ26" s="228">
        <v>714</v>
      </c>
      <c r="CA26" s="228">
        <v>-11</v>
      </c>
      <c r="CB26" s="229">
        <v>-1.47E-2</v>
      </c>
      <c r="CC26" s="228">
        <v>659</v>
      </c>
      <c r="CD26" s="228">
        <v>671</v>
      </c>
      <c r="CE26" s="228">
        <v>-12</v>
      </c>
      <c r="CF26" s="229">
        <v>-1.7999999999999999E-2</v>
      </c>
      <c r="CG26" s="228">
        <v>41</v>
      </c>
      <c r="CH26" s="228">
        <v>39</v>
      </c>
      <c r="CI26" s="228">
        <v>2</v>
      </c>
      <c r="CJ26" s="229">
        <v>4.5199999999999997E-2</v>
      </c>
      <c r="CK26" s="228">
        <v>4</v>
      </c>
      <c r="CL26" s="228">
        <v>4</v>
      </c>
      <c r="CM26" s="228">
        <v>0</v>
      </c>
      <c r="CN26" s="229">
        <v>-5.0799999999999998E-2</v>
      </c>
      <c r="CO26" s="228">
        <v>390</v>
      </c>
      <c r="CP26" s="228">
        <v>393</v>
      </c>
      <c r="CQ26" s="228">
        <v>-3</v>
      </c>
      <c r="CR26" s="229">
        <v>-8.3000000000000001E-3</v>
      </c>
      <c r="CS26" s="228">
        <v>292</v>
      </c>
      <c r="CT26" s="228">
        <v>284</v>
      </c>
      <c r="CU26" s="228">
        <v>8</v>
      </c>
      <c r="CV26" s="229">
        <v>2.8199999999999999E-2</v>
      </c>
      <c r="CW26" s="230">
        <v>1386</v>
      </c>
      <c r="CX26" s="230">
        <v>1391</v>
      </c>
      <c r="CY26" s="228">
        <v>-6</v>
      </c>
      <c r="CZ26" s="229">
        <v>-4.1999999999999997E-3</v>
      </c>
      <c r="DA26" s="228">
        <v>25.78</v>
      </c>
      <c r="DB26" s="228">
        <v>25.53</v>
      </c>
      <c r="DC26" s="228">
        <v>0.25</v>
      </c>
      <c r="DD26" s="228">
        <v>0.25</v>
      </c>
      <c r="DE26" s="228">
        <v>38.53</v>
      </c>
      <c r="DF26" s="228">
        <v>38.630000000000003</v>
      </c>
      <c r="DG26" s="228">
        <v>-12.75</v>
      </c>
      <c r="DH26" s="228">
        <v>-0.1</v>
      </c>
      <c r="DI26" s="228">
        <v>23.63</v>
      </c>
      <c r="DJ26" s="228">
        <v>24.61</v>
      </c>
      <c r="DK26" s="228">
        <v>-0.98</v>
      </c>
      <c r="DL26" s="228">
        <v>-0.98</v>
      </c>
      <c r="DM26" s="228">
        <v>28.72</v>
      </c>
      <c r="DN26" s="228">
        <v>28.08</v>
      </c>
      <c r="DO26" s="228">
        <v>0.64</v>
      </c>
      <c r="DP26" s="228">
        <v>0.64</v>
      </c>
      <c r="DQ26" s="228">
        <v>0.75</v>
      </c>
      <c r="DR26" s="228">
        <v>0.72</v>
      </c>
      <c r="DS26" s="228">
        <v>0.03</v>
      </c>
      <c r="DT26" s="229">
        <v>4.1700000000000001E-2</v>
      </c>
      <c r="DU26" s="228">
        <v>150</v>
      </c>
      <c r="DV26" s="228">
        <v>140</v>
      </c>
      <c r="DW26" s="228">
        <v>0.73</v>
      </c>
      <c r="DX26" s="228">
        <v>0.36</v>
      </c>
      <c r="DY26" s="228">
        <v>0.37</v>
      </c>
      <c r="DZ26" s="229">
        <v>1.0278</v>
      </c>
      <c r="EA26" s="229">
        <v>6.4299999999999996E-2</v>
      </c>
      <c r="EB26" s="230">
        <v>3068000</v>
      </c>
      <c r="EC26" s="229">
        <v>5.4999999999999997E-3</v>
      </c>
      <c r="ED26" s="229">
        <v>6.4299999999999996E-2</v>
      </c>
      <c r="EE26" s="228">
        <v>0.84</v>
      </c>
      <c r="EF26" s="229">
        <v>5.8999999999999999E-3</v>
      </c>
      <c r="EG26" s="230">
        <v>2912295</v>
      </c>
      <c r="EH26" s="230">
        <v>2369150</v>
      </c>
      <c r="EI26" s="229">
        <v>0.2293</v>
      </c>
      <c r="EJ26" s="229">
        <v>0.504</v>
      </c>
      <c r="EK26" s="228">
        <v>201.78</v>
      </c>
      <c r="EL26" s="228">
        <v>136.4</v>
      </c>
      <c r="EM26" s="228">
        <v>118.41</v>
      </c>
      <c r="EN26" s="228">
        <v>14.94</v>
      </c>
      <c r="EO26" s="228">
        <v>456.59</v>
      </c>
      <c r="EP26" s="228">
        <v>820.37</v>
      </c>
      <c r="EQ26" s="228">
        <v>-363.78</v>
      </c>
      <c r="ER26" s="229">
        <v>-0.44340000000000002</v>
      </c>
      <c r="ES26" s="228">
        <v>406.81</v>
      </c>
      <c r="ET26" s="228">
        <v>284.87</v>
      </c>
      <c r="EU26" s="228">
        <v>704.23</v>
      </c>
      <c r="EV26" s="231">
        <v>181770921</v>
      </c>
      <c r="EW26" s="231">
        <v>1395.92</v>
      </c>
      <c r="EX26" s="231">
        <v>1402.45</v>
      </c>
      <c r="EY26" s="228">
        <v>-6.53</v>
      </c>
      <c r="EZ26" s="229">
        <v>-4.7000000000000002E-3</v>
      </c>
      <c r="FA26" s="229">
        <v>0.53539999999999999</v>
      </c>
      <c r="FB26" s="227" t="s">
        <v>568</v>
      </c>
      <c r="FC26">
        <f t="shared" si="0"/>
        <v>45</v>
      </c>
    </row>
    <row r="27" spans="1:159" ht="17.25" thickBot="1" x14ac:dyDescent="0.3">
      <c r="A27" s="226">
        <v>46009</v>
      </c>
      <c r="B27" s="227" t="s">
        <v>181</v>
      </c>
      <c r="C27" s="227" t="s">
        <v>182</v>
      </c>
      <c r="D27" s="228">
        <v>35</v>
      </c>
      <c r="E27" s="228">
        <v>12</v>
      </c>
      <c r="F27" s="231">
        <v>59074.2</v>
      </c>
      <c r="G27" s="231">
        <v>59146.8</v>
      </c>
      <c r="H27" s="228">
        <v>-72.599999999999994</v>
      </c>
      <c r="I27" s="229">
        <v>-1.1999999999999999E-3</v>
      </c>
      <c r="J27" s="231">
        <v>58912.85</v>
      </c>
      <c r="K27" s="231">
        <v>58926.75</v>
      </c>
      <c r="L27" s="228">
        <v>-13.9</v>
      </c>
      <c r="M27" s="229">
        <v>-2.0000000000000001E-4</v>
      </c>
      <c r="N27" s="231">
        <v>59074.2</v>
      </c>
      <c r="O27" s="231">
        <v>59146.8</v>
      </c>
      <c r="P27" s="228">
        <v>-72.599999999999994</v>
      </c>
      <c r="Q27" s="229">
        <v>-1.1999999999999999E-3</v>
      </c>
      <c r="R27" s="231">
        <v>59458.6</v>
      </c>
      <c r="S27" s="231">
        <v>59496.2</v>
      </c>
      <c r="T27" s="228">
        <v>-37.6</v>
      </c>
      <c r="U27" s="229">
        <v>-5.9999999999999995E-4</v>
      </c>
      <c r="V27" s="231">
        <v>59824.800000000003</v>
      </c>
      <c r="W27" s="231">
        <v>59864</v>
      </c>
      <c r="X27" s="228">
        <v>-39.200000000000003</v>
      </c>
      <c r="Y27" s="229">
        <v>-6.9999999999999999E-4</v>
      </c>
      <c r="Z27" s="228">
        <v>161.35</v>
      </c>
      <c r="AA27" s="228">
        <v>220.05</v>
      </c>
      <c r="AB27" s="228">
        <v>-58.7</v>
      </c>
      <c r="AC27" s="229">
        <v>2.7000000000000001E-3</v>
      </c>
      <c r="AD27" s="228">
        <v>161.35</v>
      </c>
      <c r="AE27" s="228">
        <v>220.05</v>
      </c>
      <c r="AF27" s="228">
        <v>-58.7</v>
      </c>
      <c r="AG27" s="229">
        <v>2.7000000000000001E-3</v>
      </c>
      <c r="AH27" s="228">
        <v>545.75</v>
      </c>
      <c r="AI27" s="228">
        <v>569.45000000000005</v>
      </c>
      <c r="AJ27" s="228">
        <v>-23.7</v>
      </c>
      <c r="AK27" s="229">
        <v>9.2999999999999992E-3</v>
      </c>
      <c r="AL27" s="228">
        <v>911.95</v>
      </c>
      <c r="AM27" s="228">
        <v>937.25</v>
      </c>
      <c r="AN27" s="228">
        <v>-25.3</v>
      </c>
      <c r="AO27" s="229">
        <v>1.55E-2</v>
      </c>
      <c r="AP27" s="231">
        <v>59166.95</v>
      </c>
      <c r="AQ27" s="231">
        <v>59511.37</v>
      </c>
      <c r="AR27" s="228">
        <v>0</v>
      </c>
      <c r="AS27" s="230">
        <v>5497</v>
      </c>
      <c r="AT27" s="230">
        <v>4543</v>
      </c>
      <c r="AU27" s="228">
        <v>954</v>
      </c>
      <c r="AV27" s="229">
        <v>0.2099</v>
      </c>
      <c r="AW27" s="230">
        <v>4825</v>
      </c>
      <c r="AX27" s="230">
        <v>3807</v>
      </c>
      <c r="AY27" s="230">
        <v>1019</v>
      </c>
      <c r="AZ27" s="229">
        <v>0.2676</v>
      </c>
      <c r="BA27" s="228">
        <v>552</v>
      </c>
      <c r="BB27" s="228">
        <v>621</v>
      </c>
      <c r="BC27" s="228">
        <v>-69</v>
      </c>
      <c r="BD27" s="229">
        <v>-0.11119999999999999</v>
      </c>
      <c r="BE27" s="228">
        <v>119</v>
      </c>
      <c r="BF27" s="228">
        <v>115</v>
      </c>
      <c r="BG27" s="228">
        <v>4</v>
      </c>
      <c r="BH27" s="229">
        <v>3.5900000000000001E-2</v>
      </c>
      <c r="BI27" s="230">
        <v>361309</v>
      </c>
      <c r="BJ27" s="230">
        <v>293232</v>
      </c>
      <c r="BK27" s="230">
        <v>68077</v>
      </c>
      <c r="BL27" s="229">
        <v>0.23219999999999999</v>
      </c>
      <c r="BM27" s="230">
        <v>332389</v>
      </c>
      <c r="BN27" s="230">
        <v>282172</v>
      </c>
      <c r="BO27" s="230">
        <v>50218</v>
      </c>
      <c r="BP27" s="229">
        <v>0.17799999999999999</v>
      </c>
      <c r="BQ27" s="230">
        <v>699195</v>
      </c>
      <c r="BR27" s="230">
        <v>579947</v>
      </c>
      <c r="BS27" s="230">
        <v>119249</v>
      </c>
      <c r="BT27" s="229">
        <v>0.2056</v>
      </c>
      <c r="BU27" s="228">
        <v>0</v>
      </c>
      <c r="BV27" s="228">
        <v>0</v>
      </c>
      <c r="BW27" s="228">
        <v>0</v>
      </c>
      <c r="BX27" s="229">
        <v>0</v>
      </c>
      <c r="BY27" s="230">
        <v>12069</v>
      </c>
      <c r="BZ27" s="230">
        <v>12385</v>
      </c>
      <c r="CA27" s="228">
        <v>-316</v>
      </c>
      <c r="CB27" s="229">
        <v>-2.5499999999999998E-2</v>
      </c>
      <c r="CC27" s="230">
        <v>10457</v>
      </c>
      <c r="CD27" s="230">
        <v>10897</v>
      </c>
      <c r="CE27" s="228">
        <v>-440</v>
      </c>
      <c r="CF27" s="229">
        <v>-4.0399999999999998E-2</v>
      </c>
      <c r="CG27" s="230">
        <v>1341</v>
      </c>
      <c r="CH27" s="230">
        <v>1217</v>
      </c>
      <c r="CI27" s="228">
        <v>124</v>
      </c>
      <c r="CJ27" s="229">
        <v>0.1022</v>
      </c>
      <c r="CK27" s="228">
        <v>270</v>
      </c>
      <c r="CL27" s="228">
        <v>271</v>
      </c>
      <c r="CM27" s="228">
        <v>0</v>
      </c>
      <c r="CN27" s="229">
        <v>-1.2999999999999999E-3</v>
      </c>
      <c r="CO27" s="230">
        <v>138564</v>
      </c>
      <c r="CP27" s="230">
        <v>134115</v>
      </c>
      <c r="CQ27" s="230">
        <v>4448</v>
      </c>
      <c r="CR27" s="229">
        <v>3.32E-2</v>
      </c>
      <c r="CS27" s="230">
        <v>103678</v>
      </c>
      <c r="CT27" s="230">
        <v>100705</v>
      </c>
      <c r="CU27" s="230">
        <v>2973</v>
      </c>
      <c r="CV27" s="229">
        <v>2.9499999999999998E-2</v>
      </c>
      <c r="CW27" s="230">
        <v>254310</v>
      </c>
      <c r="CX27" s="230">
        <v>247205</v>
      </c>
      <c r="CY27" s="230">
        <v>7105</v>
      </c>
      <c r="CZ27" s="229">
        <v>2.87E-2</v>
      </c>
      <c r="DA27" s="228">
        <v>10.9</v>
      </c>
      <c r="DB27" s="228">
        <v>10.82</v>
      </c>
      <c r="DC27" s="228">
        <v>0.08</v>
      </c>
      <c r="DD27" s="228">
        <v>0.08</v>
      </c>
      <c r="DE27" s="228">
        <v>15.98</v>
      </c>
      <c r="DF27" s="228">
        <v>16.02</v>
      </c>
      <c r="DG27" s="228">
        <v>-5.08</v>
      </c>
      <c r="DH27" s="228">
        <v>-0.04</v>
      </c>
      <c r="DI27" s="228">
        <v>11.08</v>
      </c>
      <c r="DJ27" s="228">
        <v>10.76</v>
      </c>
      <c r="DK27" s="228">
        <v>0.32</v>
      </c>
      <c r="DL27" s="228">
        <v>0.32</v>
      </c>
      <c r="DM27" s="228">
        <v>10.71</v>
      </c>
      <c r="DN27" s="228">
        <v>10.89</v>
      </c>
      <c r="DO27" s="228">
        <v>-0.18</v>
      </c>
      <c r="DP27" s="228">
        <v>-0.18</v>
      </c>
      <c r="DQ27" s="228">
        <v>0.75</v>
      </c>
      <c r="DR27" s="228">
        <v>0.75</v>
      </c>
      <c r="DS27" s="228">
        <v>0</v>
      </c>
      <c r="DT27" s="229">
        <v>0</v>
      </c>
      <c r="DU27" s="231">
        <v>59500</v>
      </c>
      <c r="DV27" s="231">
        <v>59000</v>
      </c>
      <c r="DW27" s="228">
        <v>0.92</v>
      </c>
      <c r="DX27" s="228">
        <v>0.96</v>
      </c>
      <c r="DY27" s="228">
        <v>-0.04</v>
      </c>
      <c r="DZ27" s="229">
        <v>-4.1700000000000001E-2</v>
      </c>
      <c r="EA27" s="229">
        <v>0.13350000000000001</v>
      </c>
      <c r="EB27" s="230">
        <v>251820</v>
      </c>
      <c r="EC27" s="229">
        <v>6.4999999999999997E-3</v>
      </c>
      <c r="ED27" s="229">
        <v>0.13350000000000001</v>
      </c>
      <c r="EE27" s="228">
        <v>344.42</v>
      </c>
      <c r="EF27" s="229">
        <v>5.7999999999999996E-3</v>
      </c>
      <c r="EG27" s="228">
        <v>0</v>
      </c>
      <c r="EH27" s="228">
        <v>0</v>
      </c>
      <c r="EI27" s="229">
        <v>0</v>
      </c>
      <c r="EJ27" s="229">
        <v>0</v>
      </c>
      <c r="EK27" s="231">
        <v>367910.81</v>
      </c>
      <c r="EL27" s="231">
        <v>327410.53000000003</v>
      </c>
      <c r="EM27" s="231">
        <v>5413.23</v>
      </c>
      <c r="EN27" s="228">
        <v>0</v>
      </c>
      <c r="EO27" s="231">
        <v>700734.58</v>
      </c>
      <c r="EP27" s="231">
        <v>582125.37</v>
      </c>
      <c r="EQ27" s="231">
        <v>118609.21</v>
      </c>
      <c r="ER27" s="229">
        <v>0.20380000000000001</v>
      </c>
      <c r="ES27" s="231">
        <v>142008.17000000001</v>
      </c>
      <c r="ET27" s="231">
        <v>101487.1</v>
      </c>
      <c r="EU27" s="231">
        <v>12080.9</v>
      </c>
      <c r="EV27" s="228">
        <v>0</v>
      </c>
      <c r="EW27" s="231">
        <v>255576.17</v>
      </c>
      <c r="EX27" s="231">
        <v>248257.45</v>
      </c>
      <c r="EY27" s="231">
        <v>7318.72</v>
      </c>
      <c r="EZ27" s="229">
        <v>2.9499999999999998E-2</v>
      </c>
      <c r="FA27" s="229">
        <v>0</v>
      </c>
      <c r="FB27" s="227" t="s">
        <v>568</v>
      </c>
      <c r="FC27">
        <f t="shared" si="0"/>
        <v>1612</v>
      </c>
    </row>
    <row r="28" spans="1:159" ht="17.25" thickBot="1" x14ac:dyDescent="0.3">
      <c r="A28" s="226">
        <v>46009</v>
      </c>
      <c r="B28" s="227" t="s">
        <v>184</v>
      </c>
      <c r="C28" s="227" t="s">
        <v>672</v>
      </c>
      <c r="D28" s="228">
        <v>325</v>
      </c>
      <c r="E28" s="228">
        <v>12</v>
      </c>
      <c r="F28" s="231">
        <v>1343.4</v>
      </c>
      <c r="G28" s="231">
        <v>1328</v>
      </c>
      <c r="H28" s="228">
        <v>15.4</v>
      </c>
      <c r="I28" s="229">
        <v>1.1599999999999999E-2</v>
      </c>
      <c r="J28" s="231">
        <v>1342.5</v>
      </c>
      <c r="K28" s="231">
        <v>1324.3</v>
      </c>
      <c r="L28" s="228">
        <v>18.2</v>
      </c>
      <c r="M28" s="229">
        <v>1.37E-2</v>
      </c>
      <c r="N28" s="231">
        <v>1343.4</v>
      </c>
      <c r="O28" s="231">
        <v>1328</v>
      </c>
      <c r="P28" s="228">
        <v>15.4</v>
      </c>
      <c r="Q28" s="229">
        <v>1.1599999999999999E-2</v>
      </c>
      <c r="R28" s="231">
        <v>1351.8</v>
      </c>
      <c r="S28" s="231">
        <v>1335.6</v>
      </c>
      <c r="T28" s="228">
        <v>16.2</v>
      </c>
      <c r="U28" s="229">
        <v>1.21E-2</v>
      </c>
      <c r="V28" s="231">
        <v>1357.5</v>
      </c>
      <c r="W28" s="231">
        <v>1338.6</v>
      </c>
      <c r="X28" s="228">
        <v>18.899999999999999</v>
      </c>
      <c r="Y28" s="229">
        <v>1.41E-2</v>
      </c>
      <c r="Z28" s="228">
        <v>0.9</v>
      </c>
      <c r="AA28" s="228">
        <v>3.7</v>
      </c>
      <c r="AB28" s="228">
        <v>-2.8</v>
      </c>
      <c r="AC28" s="229">
        <v>6.9999999999999999E-4</v>
      </c>
      <c r="AD28" s="228">
        <v>0.9</v>
      </c>
      <c r="AE28" s="228">
        <v>3.7</v>
      </c>
      <c r="AF28" s="228">
        <v>-2.8</v>
      </c>
      <c r="AG28" s="229">
        <v>6.9999999999999999E-4</v>
      </c>
      <c r="AH28" s="228">
        <v>9.3000000000000007</v>
      </c>
      <c r="AI28" s="228">
        <v>11.3</v>
      </c>
      <c r="AJ28" s="228">
        <v>-2</v>
      </c>
      <c r="AK28" s="229">
        <v>6.8999999999999999E-3</v>
      </c>
      <c r="AL28" s="228">
        <v>15</v>
      </c>
      <c r="AM28" s="228">
        <v>14.3</v>
      </c>
      <c r="AN28" s="228">
        <v>0.7</v>
      </c>
      <c r="AO28" s="229">
        <v>1.12E-2</v>
      </c>
      <c r="AP28" s="231">
        <v>1331.15</v>
      </c>
      <c r="AQ28" s="231">
        <v>1339.01</v>
      </c>
      <c r="AR28" s="228">
        <v>0</v>
      </c>
      <c r="AS28" s="228">
        <v>215</v>
      </c>
      <c r="AT28" s="228">
        <v>188</v>
      </c>
      <c r="AU28" s="228">
        <v>27</v>
      </c>
      <c r="AV28" s="229">
        <v>0.14180000000000001</v>
      </c>
      <c r="AW28" s="228">
        <v>170</v>
      </c>
      <c r="AX28" s="228">
        <v>153</v>
      </c>
      <c r="AY28" s="228">
        <v>18</v>
      </c>
      <c r="AZ28" s="229">
        <v>0.11700000000000001</v>
      </c>
      <c r="BA28" s="228">
        <v>41</v>
      </c>
      <c r="BB28" s="228">
        <v>30</v>
      </c>
      <c r="BC28" s="228">
        <v>10</v>
      </c>
      <c r="BD28" s="229">
        <v>0.34339999999999998</v>
      </c>
      <c r="BE28" s="228">
        <v>3</v>
      </c>
      <c r="BF28" s="228">
        <v>5</v>
      </c>
      <c r="BG28" s="228">
        <v>-2</v>
      </c>
      <c r="BH28" s="229">
        <v>-0.33929999999999999</v>
      </c>
      <c r="BI28" s="230">
        <v>1430</v>
      </c>
      <c r="BJ28" s="230">
        <v>1327</v>
      </c>
      <c r="BK28" s="228">
        <v>103</v>
      </c>
      <c r="BL28" s="229">
        <v>7.7700000000000005E-2</v>
      </c>
      <c r="BM28" s="228">
        <v>701</v>
      </c>
      <c r="BN28" s="228">
        <v>837</v>
      </c>
      <c r="BO28" s="228">
        <v>-137</v>
      </c>
      <c r="BP28" s="229">
        <v>-0.1633</v>
      </c>
      <c r="BQ28" s="230">
        <v>2346</v>
      </c>
      <c r="BR28" s="230">
        <v>2353</v>
      </c>
      <c r="BS28" s="228">
        <v>-7</v>
      </c>
      <c r="BT28" s="229">
        <v>-3.0000000000000001E-3</v>
      </c>
      <c r="BU28" s="230">
        <v>1158229</v>
      </c>
      <c r="BV28" s="230">
        <v>1102874</v>
      </c>
      <c r="BW28" s="230">
        <v>55355</v>
      </c>
      <c r="BX28" s="229">
        <v>5.0200000000000002E-2</v>
      </c>
      <c r="BY28" s="228">
        <v>641</v>
      </c>
      <c r="BZ28" s="228">
        <v>647</v>
      </c>
      <c r="CA28" s="228">
        <v>-7</v>
      </c>
      <c r="CB28" s="229">
        <v>-1.01E-2</v>
      </c>
      <c r="CC28" s="228">
        <v>543</v>
      </c>
      <c r="CD28" s="228">
        <v>560</v>
      </c>
      <c r="CE28" s="228">
        <v>-17</v>
      </c>
      <c r="CF28" s="229">
        <v>-3.0300000000000001E-2</v>
      </c>
      <c r="CG28" s="228">
        <v>85</v>
      </c>
      <c r="CH28" s="228">
        <v>76</v>
      </c>
      <c r="CI28" s="228">
        <v>9</v>
      </c>
      <c r="CJ28" s="229">
        <v>0.1142</v>
      </c>
      <c r="CK28" s="228">
        <v>13</v>
      </c>
      <c r="CL28" s="228">
        <v>11</v>
      </c>
      <c r="CM28" s="228">
        <v>2</v>
      </c>
      <c r="CN28" s="229">
        <v>0.1535</v>
      </c>
      <c r="CO28" s="228">
        <v>997</v>
      </c>
      <c r="CP28" s="230">
        <v>1004</v>
      </c>
      <c r="CQ28" s="228">
        <v>-7</v>
      </c>
      <c r="CR28" s="229">
        <v>-7.1999999999999998E-3</v>
      </c>
      <c r="CS28" s="228">
        <v>400</v>
      </c>
      <c r="CT28" s="228">
        <v>397</v>
      </c>
      <c r="CU28" s="228">
        <v>3</v>
      </c>
      <c r="CV28" s="229">
        <v>6.4000000000000003E-3</v>
      </c>
      <c r="CW28" s="230">
        <v>2038</v>
      </c>
      <c r="CX28" s="230">
        <v>2049</v>
      </c>
      <c r="CY28" s="228">
        <v>-11</v>
      </c>
      <c r="CZ28" s="229">
        <v>-5.4999999999999997E-3</v>
      </c>
      <c r="DA28" s="228">
        <v>31.18</v>
      </c>
      <c r="DB28" s="228">
        <v>32.04</v>
      </c>
      <c r="DC28" s="228">
        <v>-0.86</v>
      </c>
      <c r="DD28" s="228">
        <v>-0.86</v>
      </c>
      <c r="DE28" s="228">
        <v>51.28</v>
      </c>
      <c r="DF28" s="228">
        <v>51.39</v>
      </c>
      <c r="DG28" s="228">
        <v>-20.100000000000001</v>
      </c>
      <c r="DH28" s="228">
        <v>-0.11</v>
      </c>
      <c r="DI28" s="228">
        <v>31.47</v>
      </c>
      <c r="DJ28" s="228">
        <v>33.450000000000003</v>
      </c>
      <c r="DK28" s="228">
        <v>-1.98</v>
      </c>
      <c r="DL28" s="228">
        <v>-1.98</v>
      </c>
      <c r="DM28" s="228">
        <v>30.59</v>
      </c>
      <c r="DN28" s="228">
        <v>29.81</v>
      </c>
      <c r="DO28" s="228">
        <v>0.78</v>
      </c>
      <c r="DP28" s="228">
        <v>0.78</v>
      </c>
      <c r="DQ28" s="228">
        <v>0.4</v>
      </c>
      <c r="DR28" s="228">
        <v>0.4</v>
      </c>
      <c r="DS28" s="228">
        <v>0</v>
      </c>
      <c r="DT28" s="229">
        <v>0</v>
      </c>
      <c r="DU28" s="231">
        <v>1500</v>
      </c>
      <c r="DV28" s="231">
        <v>1340</v>
      </c>
      <c r="DW28" s="228">
        <v>0.49</v>
      </c>
      <c r="DX28" s="228">
        <v>0.63</v>
      </c>
      <c r="DY28" s="228">
        <v>-0.14000000000000001</v>
      </c>
      <c r="DZ28" s="229">
        <v>-0.22220000000000001</v>
      </c>
      <c r="EA28" s="229">
        <v>0.15290000000000001</v>
      </c>
      <c r="EB28" s="230">
        <v>651350</v>
      </c>
      <c r="EC28" s="229">
        <v>6.3E-3</v>
      </c>
      <c r="ED28" s="229">
        <v>0.15290000000000001</v>
      </c>
      <c r="EE28" s="228">
        <v>7.86</v>
      </c>
      <c r="EF28" s="229">
        <v>5.8999999999999999E-3</v>
      </c>
      <c r="EG28" s="230">
        <v>251794</v>
      </c>
      <c r="EH28" s="230">
        <v>297120</v>
      </c>
      <c r="EI28" s="229">
        <v>-0.15260000000000001</v>
      </c>
      <c r="EJ28" s="229">
        <v>0.21740000000000001</v>
      </c>
      <c r="EK28" s="231">
        <v>1524.5</v>
      </c>
      <c r="EL28" s="228">
        <v>693.74</v>
      </c>
      <c r="EM28" s="228">
        <v>216.2</v>
      </c>
      <c r="EN28" s="228">
        <v>36.22</v>
      </c>
      <c r="EO28" s="231">
        <v>2434.44</v>
      </c>
      <c r="EP28" s="231">
        <v>2459.65</v>
      </c>
      <c r="EQ28" s="228">
        <v>-25.21</v>
      </c>
      <c r="ER28" s="229">
        <v>-1.0200000000000001E-2</v>
      </c>
      <c r="ES28" s="231">
        <v>1116.3699999999999</v>
      </c>
      <c r="ET28" s="228">
        <v>408.26</v>
      </c>
      <c r="EU28" s="228">
        <v>641.30999999999995</v>
      </c>
      <c r="EV28" s="231">
        <v>13786716</v>
      </c>
      <c r="EW28" s="231">
        <v>2165.94</v>
      </c>
      <c r="EX28" s="231">
        <v>2174.85</v>
      </c>
      <c r="EY28" s="228">
        <v>-8.91</v>
      </c>
      <c r="EZ28" s="229">
        <v>-4.1000000000000003E-3</v>
      </c>
      <c r="FA28" s="229">
        <v>1.1001000000000001</v>
      </c>
      <c r="FB28" s="227" t="s">
        <v>556</v>
      </c>
      <c r="FC28">
        <f t="shared" si="0"/>
        <v>98</v>
      </c>
    </row>
    <row r="29" spans="1:159" s="195" customFormat="1" ht="17.25" thickBot="1" x14ac:dyDescent="0.3">
      <c r="A29" s="226">
        <v>46009</v>
      </c>
      <c r="B29" s="227" t="s">
        <v>184</v>
      </c>
      <c r="C29" s="227" t="s">
        <v>185</v>
      </c>
      <c r="D29" s="228">
        <v>1425</v>
      </c>
      <c r="E29" s="228">
        <v>12</v>
      </c>
      <c r="F29" s="228">
        <v>384.35</v>
      </c>
      <c r="G29" s="228">
        <v>386.85</v>
      </c>
      <c r="H29" s="228">
        <v>-2.5</v>
      </c>
      <c r="I29" s="229">
        <v>-6.4999999999999997E-3</v>
      </c>
      <c r="J29" s="228">
        <v>383.45</v>
      </c>
      <c r="K29" s="228">
        <v>385.6</v>
      </c>
      <c r="L29" s="228">
        <v>-2.15</v>
      </c>
      <c r="M29" s="229">
        <v>-5.5999999999999999E-3</v>
      </c>
      <c r="N29" s="228">
        <v>384.35</v>
      </c>
      <c r="O29" s="228">
        <v>386.85</v>
      </c>
      <c r="P29" s="228">
        <v>-2.5</v>
      </c>
      <c r="Q29" s="229">
        <v>-6.4999999999999997E-3</v>
      </c>
      <c r="R29" s="228">
        <v>386.7</v>
      </c>
      <c r="S29" s="228">
        <v>389.15</v>
      </c>
      <c r="T29" s="228">
        <v>-2.4500000000000002</v>
      </c>
      <c r="U29" s="229">
        <v>-6.3E-3</v>
      </c>
      <c r="V29" s="228">
        <v>388.75</v>
      </c>
      <c r="W29" s="228">
        <v>391.1</v>
      </c>
      <c r="X29" s="228">
        <v>-2.35</v>
      </c>
      <c r="Y29" s="229">
        <v>-6.0000000000000001E-3</v>
      </c>
      <c r="Z29" s="228">
        <v>0.9</v>
      </c>
      <c r="AA29" s="228">
        <v>1.25</v>
      </c>
      <c r="AB29" s="228">
        <v>-0.35</v>
      </c>
      <c r="AC29" s="229">
        <v>2.3E-3</v>
      </c>
      <c r="AD29" s="228">
        <v>0.9</v>
      </c>
      <c r="AE29" s="228">
        <v>1.25</v>
      </c>
      <c r="AF29" s="228">
        <v>-0.35</v>
      </c>
      <c r="AG29" s="229">
        <v>2.3E-3</v>
      </c>
      <c r="AH29" s="228">
        <v>3.25</v>
      </c>
      <c r="AI29" s="228">
        <v>3.55</v>
      </c>
      <c r="AJ29" s="228">
        <v>-0.3</v>
      </c>
      <c r="AK29" s="229">
        <v>8.5000000000000006E-3</v>
      </c>
      <c r="AL29" s="228">
        <v>5.3</v>
      </c>
      <c r="AM29" s="228">
        <v>5.5</v>
      </c>
      <c r="AN29" s="228">
        <v>-0.2</v>
      </c>
      <c r="AO29" s="229">
        <v>1.38E-2</v>
      </c>
      <c r="AP29" s="228">
        <v>384.1</v>
      </c>
      <c r="AQ29" s="228">
        <v>386.5</v>
      </c>
      <c r="AR29" s="228">
        <v>0</v>
      </c>
      <c r="AS29" s="228">
        <v>751</v>
      </c>
      <c r="AT29" s="228">
        <v>548</v>
      </c>
      <c r="AU29" s="228">
        <v>203</v>
      </c>
      <c r="AV29" s="229">
        <v>0.3695</v>
      </c>
      <c r="AW29" s="228">
        <v>506</v>
      </c>
      <c r="AX29" s="228">
        <v>366</v>
      </c>
      <c r="AY29" s="228">
        <v>139</v>
      </c>
      <c r="AZ29" s="229">
        <v>0.38069999999999998</v>
      </c>
      <c r="BA29" s="228">
        <v>229</v>
      </c>
      <c r="BB29" s="228">
        <v>176</v>
      </c>
      <c r="BC29" s="228">
        <v>53</v>
      </c>
      <c r="BD29" s="229">
        <v>0.3029</v>
      </c>
      <c r="BE29" s="228">
        <v>16</v>
      </c>
      <c r="BF29" s="228">
        <v>6</v>
      </c>
      <c r="BG29" s="228">
        <v>10</v>
      </c>
      <c r="BH29" s="229">
        <v>1.6215999999999999</v>
      </c>
      <c r="BI29" s="230">
        <v>3329</v>
      </c>
      <c r="BJ29" s="230">
        <v>2513</v>
      </c>
      <c r="BK29" s="228">
        <v>816</v>
      </c>
      <c r="BL29" s="229">
        <v>0.3246</v>
      </c>
      <c r="BM29" s="230">
        <v>1609</v>
      </c>
      <c r="BN29" s="228">
        <v>990</v>
      </c>
      <c r="BO29" s="228">
        <v>619</v>
      </c>
      <c r="BP29" s="229">
        <v>0.62519999999999998</v>
      </c>
      <c r="BQ29" s="230">
        <v>5689</v>
      </c>
      <c r="BR29" s="230">
        <v>4051</v>
      </c>
      <c r="BS29" s="230">
        <v>1637</v>
      </c>
      <c r="BT29" s="229">
        <v>0.40410000000000001</v>
      </c>
      <c r="BU29" s="230">
        <v>8067054</v>
      </c>
      <c r="BV29" s="230">
        <v>6814295</v>
      </c>
      <c r="BW29" s="230">
        <v>1252759</v>
      </c>
      <c r="BX29" s="229">
        <v>0.18379999999999999</v>
      </c>
      <c r="BY29" s="230">
        <v>4749</v>
      </c>
      <c r="BZ29" s="230">
        <v>4718</v>
      </c>
      <c r="CA29" s="228">
        <v>31</v>
      </c>
      <c r="CB29" s="229">
        <v>6.6E-3</v>
      </c>
      <c r="CC29" s="230">
        <v>3832</v>
      </c>
      <c r="CD29" s="230">
        <v>3969</v>
      </c>
      <c r="CE29" s="228">
        <v>-136</v>
      </c>
      <c r="CF29" s="229">
        <v>-3.4299999999999997E-2</v>
      </c>
      <c r="CG29" s="228">
        <v>848</v>
      </c>
      <c r="CH29" s="228">
        <v>684</v>
      </c>
      <c r="CI29" s="228">
        <v>164</v>
      </c>
      <c r="CJ29" s="229">
        <v>0.24</v>
      </c>
      <c r="CK29" s="228">
        <v>69</v>
      </c>
      <c r="CL29" s="228">
        <v>66</v>
      </c>
      <c r="CM29" s="228">
        <v>3</v>
      </c>
      <c r="CN29" s="229">
        <v>4.7500000000000001E-2</v>
      </c>
      <c r="CO29" s="230">
        <v>3541</v>
      </c>
      <c r="CP29" s="230">
        <v>3579</v>
      </c>
      <c r="CQ29" s="228">
        <v>-39</v>
      </c>
      <c r="CR29" s="229">
        <v>-1.0800000000000001E-2</v>
      </c>
      <c r="CS29" s="230">
        <v>1640</v>
      </c>
      <c r="CT29" s="230">
        <v>1631</v>
      </c>
      <c r="CU29" s="228">
        <v>9</v>
      </c>
      <c r="CV29" s="229">
        <v>5.3E-3</v>
      </c>
      <c r="CW29" s="230">
        <v>9930</v>
      </c>
      <c r="CX29" s="230">
        <v>9929</v>
      </c>
      <c r="CY29" s="228">
        <v>1</v>
      </c>
      <c r="CZ29" s="229">
        <v>1E-4</v>
      </c>
      <c r="DA29" s="228">
        <v>23.55</v>
      </c>
      <c r="DB29" s="228">
        <v>24.13</v>
      </c>
      <c r="DC29" s="228">
        <v>-0.57999999999999996</v>
      </c>
      <c r="DD29" s="228">
        <v>-0.57999999999999996</v>
      </c>
      <c r="DE29" s="228">
        <v>36.090000000000003</v>
      </c>
      <c r="DF29" s="228">
        <v>36.17</v>
      </c>
      <c r="DG29" s="228">
        <v>-12.54</v>
      </c>
      <c r="DH29" s="228">
        <v>-0.08</v>
      </c>
      <c r="DI29" s="228">
        <v>24.5</v>
      </c>
      <c r="DJ29" s="228">
        <v>25.08</v>
      </c>
      <c r="DK29" s="228">
        <v>-0.57999999999999996</v>
      </c>
      <c r="DL29" s="228">
        <v>-0.57999999999999996</v>
      </c>
      <c r="DM29" s="228">
        <v>21.61</v>
      </c>
      <c r="DN29" s="228">
        <v>21.72</v>
      </c>
      <c r="DO29" s="228">
        <v>-0.11</v>
      </c>
      <c r="DP29" s="228">
        <v>-0.11</v>
      </c>
      <c r="DQ29" s="228">
        <v>0.46</v>
      </c>
      <c r="DR29" s="228">
        <v>0.46</v>
      </c>
      <c r="DS29" s="228">
        <v>0</v>
      </c>
      <c r="DT29" s="229">
        <v>0</v>
      </c>
      <c r="DU29" s="228">
        <v>420</v>
      </c>
      <c r="DV29" s="228">
        <v>410</v>
      </c>
      <c r="DW29" s="228">
        <v>0.48</v>
      </c>
      <c r="DX29" s="228">
        <v>0.39</v>
      </c>
      <c r="DY29" s="228">
        <v>0.09</v>
      </c>
      <c r="DZ29" s="229">
        <v>0.23080000000000001</v>
      </c>
      <c r="EA29" s="229">
        <v>0.193</v>
      </c>
      <c r="EB29" s="230">
        <v>19492575</v>
      </c>
      <c r="EC29" s="229">
        <v>6.1000000000000004E-3</v>
      </c>
      <c r="ED29" s="229">
        <v>0.193</v>
      </c>
      <c r="EE29" s="228">
        <v>2.4</v>
      </c>
      <c r="EF29" s="229">
        <v>6.1999999999999998E-3</v>
      </c>
      <c r="EG29" s="230">
        <v>3579916</v>
      </c>
      <c r="EH29" s="230">
        <v>4126732</v>
      </c>
      <c r="EI29" s="229">
        <v>-0.13250000000000001</v>
      </c>
      <c r="EJ29" s="229">
        <v>0.44379999999999997</v>
      </c>
      <c r="EK29" s="231">
        <v>3520.79</v>
      </c>
      <c r="EL29" s="231">
        <v>1614.21</v>
      </c>
      <c r="EM29" s="228">
        <v>751.94</v>
      </c>
      <c r="EN29" s="228">
        <v>86.12</v>
      </c>
      <c r="EO29" s="231">
        <v>5886.93</v>
      </c>
      <c r="EP29" s="231">
        <v>4234.9799999999996</v>
      </c>
      <c r="EQ29" s="231">
        <v>1651.95</v>
      </c>
      <c r="ER29" s="229">
        <v>0.3901</v>
      </c>
      <c r="ES29" s="231">
        <v>3837.06</v>
      </c>
      <c r="ET29" s="231">
        <v>1679.45</v>
      </c>
      <c r="EU29" s="231">
        <v>4754.79</v>
      </c>
      <c r="EV29" s="231">
        <v>535778534</v>
      </c>
      <c r="EW29" s="231">
        <v>10271.299999999999</v>
      </c>
      <c r="EX29" s="231">
        <v>10318.74</v>
      </c>
      <c r="EY29" s="228">
        <v>-47.44</v>
      </c>
      <c r="EZ29" s="229">
        <v>-4.5999999999999999E-3</v>
      </c>
      <c r="FA29" s="229">
        <v>0.48220000000000002</v>
      </c>
      <c r="FB29" s="227" t="s">
        <v>567</v>
      </c>
      <c r="FC29" s="195">
        <f t="shared" si="0"/>
        <v>917</v>
      </c>
    </row>
    <row r="30" spans="1:159" ht="17.25" thickBot="1" x14ac:dyDescent="0.3">
      <c r="A30" s="226">
        <v>46009</v>
      </c>
      <c r="B30" s="227" t="s">
        <v>162</v>
      </c>
      <c r="C30" s="227" t="s">
        <v>187</v>
      </c>
      <c r="D30" s="228">
        <v>500</v>
      </c>
      <c r="E30" s="228">
        <v>12</v>
      </c>
      <c r="F30" s="231">
        <v>1409.8</v>
      </c>
      <c r="G30" s="231">
        <v>1417.3</v>
      </c>
      <c r="H30" s="228">
        <v>-7.5</v>
      </c>
      <c r="I30" s="229">
        <v>-5.3E-3</v>
      </c>
      <c r="J30" s="231">
        <v>1407.5</v>
      </c>
      <c r="K30" s="231">
        <v>1413.3</v>
      </c>
      <c r="L30" s="228">
        <v>-5.8</v>
      </c>
      <c r="M30" s="229">
        <v>-4.1000000000000003E-3</v>
      </c>
      <c r="N30" s="231">
        <v>1409.8</v>
      </c>
      <c r="O30" s="231">
        <v>1417.3</v>
      </c>
      <c r="P30" s="228">
        <v>-7.5</v>
      </c>
      <c r="Q30" s="229">
        <v>-5.3E-3</v>
      </c>
      <c r="R30" s="231">
        <v>1416.2</v>
      </c>
      <c r="S30" s="231">
        <v>1422.5</v>
      </c>
      <c r="T30" s="228">
        <v>-6.3</v>
      </c>
      <c r="U30" s="229">
        <v>-4.4000000000000003E-3</v>
      </c>
      <c r="V30" s="231">
        <v>1419</v>
      </c>
      <c r="W30" s="231">
        <v>1422.8</v>
      </c>
      <c r="X30" s="228">
        <v>-3.8</v>
      </c>
      <c r="Y30" s="229">
        <v>-2.7000000000000001E-3</v>
      </c>
      <c r="Z30" s="228">
        <v>2.2999999999999998</v>
      </c>
      <c r="AA30" s="228">
        <v>4</v>
      </c>
      <c r="AB30" s="228">
        <v>-1.7</v>
      </c>
      <c r="AC30" s="229">
        <v>1.6000000000000001E-3</v>
      </c>
      <c r="AD30" s="228">
        <v>2.2999999999999998</v>
      </c>
      <c r="AE30" s="228">
        <v>4</v>
      </c>
      <c r="AF30" s="228">
        <v>-1.7</v>
      </c>
      <c r="AG30" s="229">
        <v>1.6000000000000001E-3</v>
      </c>
      <c r="AH30" s="228">
        <v>8.6999999999999993</v>
      </c>
      <c r="AI30" s="228">
        <v>9.1999999999999993</v>
      </c>
      <c r="AJ30" s="228">
        <v>-0.5</v>
      </c>
      <c r="AK30" s="229">
        <v>6.1999999999999998E-3</v>
      </c>
      <c r="AL30" s="228">
        <v>11.5</v>
      </c>
      <c r="AM30" s="228">
        <v>9.5</v>
      </c>
      <c r="AN30" s="228">
        <v>2</v>
      </c>
      <c r="AO30" s="229">
        <v>8.2000000000000007E-3</v>
      </c>
      <c r="AP30" s="231">
        <v>1404.33</v>
      </c>
      <c r="AQ30" s="231">
        <v>1412.05</v>
      </c>
      <c r="AR30" s="228">
        <v>0</v>
      </c>
      <c r="AS30" s="228">
        <v>174</v>
      </c>
      <c r="AT30" s="228">
        <v>194</v>
      </c>
      <c r="AU30" s="228">
        <v>-20</v>
      </c>
      <c r="AV30" s="229">
        <v>-0.1016</v>
      </c>
      <c r="AW30" s="228">
        <v>143</v>
      </c>
      <c r="AX30" s="228">
        <v>158</v>
      </c>
      <c r="AY30" s="228">
        <v>-14</v>
      </c>
      <c r="AZ30" s="229">
        <v>-9.1600000000000001E-2</v>
      </c>
      <c r="BA30" s="228">
        <v>30</v>
      </c>
      <c r="BB30" s="228">
        <v>35</v>
      </c>
      <c r="BC30" s="228">
        <v>-5</v>
      </c>
      <c r="BD30" s="229">
        <v>-0.14169999999999999</v>
      </c>
      <c r="BE30" s="228">
        <v>1</v>
      </c>
      <c r="BF30" s="228">
        <v>1</v>
      </c>
      <c r="BG30" s="228">
        <v>0</v>
      </c>
      <c r="BH30" s="229">
        <v>-0.30769999999999997</v>
      </c>
      <c r="BI30" s="228">
        <v>480</v>
      </c>
      <c r="BJ30" s="228">
        <v>519</v>
      </c>
      <c r="BK30" s="228">
        <v>-38</v>
      </c>
      <c r="BL30" s="229">
        <v>-7.4200000000000002E-2</v>
      </c>
      <c r="BM30" s="228">
        <v>354</v>
      </c>
      <c r="BN30" s="228">
        <v>227</v>
      </c>
      <c r="BO30" s="228">
        <v>128</v>
      </c>
      <c r="BP30" s="229">
        <v>0.5635</v>
      </c>
      <c r="BQ30" s="230">
        <v>1008</v>
      </c>
      <c r="BR30" s="228">
        <v>939</v>
      </c>
      <c r="BS30" s="228">
        <v>70</v>
      </c>
      <c r="BT30" s="229">
        <v>7.3999999999999996E-2</v>
      </c>
      <c r="BU30" s="230">
        <v>450035</v>
      </c>
      <c r="BV30" s="230">
        <v>287755</v>
      </c>
      <c r="BW30" s="230">
        <v>162280</v>
      </c>
      <c r="BX30" s="229">
        <v>0.56399999999999995</v>
      </c>
      <c r="BY30" s="230">
        <v>1123</v>
      </c>
      <c r="BZ30" s="230">
        <v>1116</v>
      </c>
      <c r="CA30" s="228">
        <v>8</v>
      </c>
      <c r="CB30" s="229">
        <v>7.0000000000000001E-3</v>
      </c>
      <c r="CC30" s="230">
        <v>1012</v>
      </c>
      <c r="CD30" s="230">
        <v>1018</v>
      </c>
      <c r="CE30" s="228">
        <v>-6</v>
      </c>
      <c r="CF30" s="229">
        <v>-5.5999999999999999E-3</v>
      </c>
      <c r="CG30" s="228">
        <v>102</v>
      </c>
      <c r="CH30" s="228">
        <v>88</v>
      </c>
      <c r="CI30" s="228">
        <v>13</v>
      </c>
      <c r="CJ30" s="229">
        <v>0.15279999999999999</v>
      </c>
      <c r="CK30" s="228">
        <v>9</v>
      </c>
      <c r="CL30" s="228">
        <v>9</v>
      </c>
      <c r="CM30" s="228">
        <v>0</v>
      </c>
      <c r="CN30" s="229">
        <v>0</v>
      </c>
      <c r="CO30" s="228">
        <v>506</v>
      </c>
      <c r="CP30" s="228">
        <v>509</v>
      </c>
      <c r="CQ30" s="228">
        <v>-2</v>
      </c>
      <c r="CR30" s="229">
        <v>-4.1999999999999997E-3</v>
      </c>
      <c r="CS30" s="228">
        <v>320</v>
      </c>
      <c r="CT30" s="228">
        <v>318</v>
      </c>
      <c r="CU30" s="228">
        <v>3</v>
      </c>
      <c r="CV30" s="229">
        <v>8.6999999999999994E-3</v>
      </c>
      <c r="CW30" s="230">
        <v>1950</v>
      </c>
      <c r="CX30" s="230">
        <v>1942</v>
      </c>
      <c r="CY30" s="228">
        <v>8</v>
      </c>
      <c r="CZ30" s="229">
        <v>4.3E-3</v>
      </c>
      <c r="DA30" s="228">
        <v>23.34</v>
      </c>
      <c r="DB30" s="228">
        <v>24</v>
      </c>
      <c r="DC30" s="228">
        <v>-0.66</v>
      </c>
      <c r="DD30" s="228">
        <v>-0.66</v>
      </c>
      <c r="DE30" s="228">
        <v>37.06</v>
      </c>
      <c r="DF30" s="228">
        <v>37.15</v>
      </c>
      <c r="DG30" s="228">
        <v>-13.72</v>
      </c>
      <c r="DH30" s="228">
        <v>-0.09</v>
      </c>
      <c r="DI30" s="228">
        <v>23.04</v>
      </c>
      <c r="DJ30" s="228">
        <v>23.78</v>
      </c>
      <c r="DK30" s="228">
        <v>-0.74</v>
      </c>
      <c r="DL30" s="228">
        <v>-0.74</v>
      </c>
      <c r="DM30" s="228">
        <v>23.76</v>
      </c>
      <c r="DN30" s="228">
        <v>24.51</v>
      </c>
      <c r="DO30" s="228">
        <v>-0.75</v>
      </c>
      <c r="DP30" s="228">
        <v>-0.75</v>
      </c>
      <c r="DQ30" s="228">
        <v>0.63</v>
      </c>
      <c r="DR30" s="228">
        <v>0.62</v>
      </c>
      <c r="DS30" s="228">
        <v>0.01</v>
      </c>
      <c r="DT30" s="229">
        <v>1.61E-2</v>
      </c>
      <c r="DU30" s="231">
        <v>1400</v>
      </c>
      <c r="DV30" s="231">
        <v>1400</v>
      </c>
      <c r="DW30" s="228">
        <v>0.74</v>
      </c>
      <c r="DX30" s="228">
        <v>0.44</v>
      </c>
      <c r="DY30" s="228">
        <v>0.3</v>
      </c>
      <c r="DZ30" s="229">
        <v>0.68179999999999996</v>
      </c>
      <c r="EA30" s="229">
        <v>9.8799999999999999E-2</v>
      </c>
      <c r="EB30" s="230">
        <v>691500</v>
      </c>
      <c r="EC30" s="229">
        <v>4.4999999999999997E-3</v>
      </c>
      <c r="ED30" s="229">
        <v>9.8799999999999999E-2</v>
      </c>
      <c r="EE30" s="228">
        <v>7.72</v>
      </c>
      <c r="EF30" s="229">
        <v>5.4999999999999997E-3</v>
      </c>
      <c r="EG30" s="230">
        <v>187870</v>
      </c>
      <c r="EH30" s="230">
        <v>101321</v>
      </c>
      <c r="EI30" s="229">
        <v>0.85419999999999996</v>
      </c>
      <c r="EJ30" s="229">
        <v>0.41749999999999998</v>
      </c>
      <c r="EK30" s="228">
        <v>493.91</v>
      </c>
      <c r="EL30" s="228">
        <v>348.09</v>
      </c>
      <c r="EM30" s="228">
        <v>173.39</v>
      </c>
      <c r="EN30" s="228">
        <v>29.85</v>
      </c>
      <c r="EO30" s="231">
        <v>1015.39</v>
      </c>
      <c r="EP30" s="228">
        <v>953.08</v>
      </c>
      <c r="EQ30" s="228">
        <v>62.31</v>
      </c>
      <c r="ER30" s="229">
        <v>6.54E-2</v>
      </c>
      <c r="ES30" s="228">
        <v>526.38</v>
      </c>
      <c r="ET30" s="228">
        <v>308.67</v>
      </c>
      <c r="EU30" s="231">
        <v>1123.8499999999999</v>
      </c>
      <c r="EV30" s="231">
        <v>35155737</v>
      </c>
      <c r="EW30" s="231">
        <v>1958.89</v>
      </c>
      <c r="EX30" s="231">
        <v>1956.16</v>
      </c>
      <c r="EY30" s="228">
        <v>2.73</v>
      </c>
      <c r="EZ30" s="229">
        <v>1.4E-3</v>
      </c>
      <c r="FA30" s="229">
        <v>0.39350000000000002</v>
      </c>
      <c r="FB30" s="227" t="s">
        <v>567</v>
      </c>
      <c r="FC30">
        <f t="shared" si="0"/>
        <v>111</v>
      </c>
    </row>
    <row r="31" spans="1:159" ht="17.25" thickBot="1" x14ac:dyDescent="0.3">
      <c r="A31" s="226">
        <v>46009</v>
      </c>
      <c r="B31" s="227" t="s">
        <v>188</v>
      </c>
      <c r="C31" s="227" t="s">
        <v>189</v>
      </c>
      <c r="D31" s="228">
        <v>475</v>
      </c>
      <c r="E31" s="228">
        <v>12</v>
      </c>
      <c r="F31" s="231">
        <v>2095.1999999999998</v>
      </c>
      <c r="G31" s="231">
        <v>2109.1</v>
      </c>
      <c r="H31" s="228">
        <v>-13.9</v>
      </c>
      <c r="I31" s="229">
        <v>-6.6E-3</v>
      </c>
      <c r="J31" s="231">
        <v>2092</v>
      </c>
      <c r="K31" s="231">
        <v>2108</v>
      </c>
      <c r="L31" s="228">
        <v>-16</v>
      </c>
      <c r="M31" s="229">
        <v>-7.6E-3</v>
      </c>
      <c r="N31" s="231">
        <v>2095.1999999999998</v>
      </c>
      <c r="O31" s="231">
        <v>2109.1</v>
      </c>
      <c r="P31" s="228">
        <v>-13.9</v>
      </c>
      <c r="Q31" s="229">
        <v>-6.6E-3</v>
      </c>
      <c r="R31" s="231">
        <v>2109.4</v>
      </c>
      <c r="S31" s="231">
        <v>2122.5</v>
      </c>
      <c r="T31" s="228">
        <v>-13.1</v>
      </c>
      <c r="U31" s="229">
        <v>-6.1999999999999998E-3</v>
      </c>
      <c r="V31" s="231">
        <v>2121.6</v>
      </c>
      <c r="W31" s="231">
        <v>2135</v>
      </c>
      <c r="X31" s="228">
        <v>-13.4</v>
      </c>
      <c r="Y31" s="229">
        <v>-6.3E-3</v>
      </c>
      <c r="Z31" s="228">
        <v>3.2</v>
      </c>
      <c r="AA31" s="228">
        <v>1.1000000000000001</v>
      </c>
      <c r="AB31" s="228">
        <v>2.1</v>
      </c>
      <c r="AC31" s="229">
        <v>1.5E-3</v>
      </c>
      <c r="AD31" s="228">
        <v>3.2</v>
      </c>
      <c r="AE31" s="228">
        <v>1.1000000000000001</v>
      </c>
      <c r="AF31" s="228">
        <v>2.1</v>
      </c>
      <c r="AG31" s="229">
        <v>1.5E-3</v>
      </c>
      <c r="AH31" s="228">
        <v>17.399999999999999</v>
      </c>
      <c r="AI31" s="228">
        <v>14.5</v>
      </c>
      <c r="AJ31" s="228">
        <v>2.9</v>
      </c>
      <c r="AK31" s="229">
        <v>8.3000000000000001E-3</v>
      </c>
      <c r="AL31" s="228">
        <v>29.6</v>
      </c>
      <c r="AM31" s="228">
        <v>27</v>
      </c>
      <c r="AN31" s="228">
        <v>2.6</v>
      </c>
      <c r="AO31" s="229">
        <v>1.41E-2</v>
      </c>
      <c r="AP31" s="231">
        <v>2103.46</v>
      </c>
      <c r="AQ31" s="231">
        <v>2118.31</v>
      </c>
      <c r="AR31" s="228">
        <v>0</v>
      </c>
      <c r="AS31" s="230">
        <v>1099</v>
      </c>
      <c r="AT31" s="228">
        <v>845</v>
      </c>
      <c r="AU31" s="228">
        <v>254</v>
      </c>
      <c r="AV31" s="229">
        <v>0.30059999999999998</v>
      </c>
      <c r="AW31" s="228">
        <v>752</v>
      </c>
      <c r="AX31" s="228">
        <v>724</v>
      </c>
      <c r="AY31" s="228">
        <v>28</v>
      </c>
      <c r="AZ31" s="229">
        <v>3.9300000000000002E-2</v>
      </c>
      <c r="BA31" s="228">
        <v>339</v>
      </c>
      <c r="BB31" s="228">
        <v>120</v>
      </c>
      <c r="BC31" s="228">
        <v>219</v>
      </c>
      <c r="BD31" s="229">
        <v>1.8180000000000001</v>
      </c>
      <c r="BE31" s="228">
        <v>8</v>
      </c>
      <c r="BF31" s="228">
        <v>1</v>
      </c>
      <c r="BG31" s="228">
        <v>7</v>
      </c>
      <c r="BH31" s="229">
        <v>6.2727000000000004</v>
      </c>
      <c r="BI31" s="230">
        <v>3557</v>
      </c>
      <c r="BJ31" s="230">
        <v>4604</v>
      </c>
      <c r="BK31" s="230">
        <v>-1047</v>
      </c>
      <c r="BL31" s="229">
        <v>-0.22739999999999999</v>
      </c>
      <c r="BM31" s="230">
        <v>1846</v>
      </c>
      <c r="BN31" s="230">
        <v>2350</v>
      </c>
      <c r="BO31" s="228">
        <v>-503</v>
      </c>
      <c r="BP31" s="229">
        <v>-0.2142</v>
      </c>
      <c r="BQ31" s="230">
        <v>6503</v>
      </c>
      <c r="BR31" s="230">
        <v>7799</v>
      </c>
      <c r="BS31" s="230">
        <v>-1296</v>
      </c>
      <c r="BT31" s="229">
        <v>-0.16619999999999999</v>
      </c>
      <c r="BU31" s="230">
        <v>4410359</v>
      </c>
      <c r="BV31" s="230">
        <v>6493502</v>
      </c>
      <c r="BW31" s="230">
        <v>-2083143</v>
      </c>
      <c r="BX31" s="229">
        <v>-0.32079999999999997</v>
      </c>
      <c r="BY31" s="230">
        <v>9855</v>
      </c>
      <c r="BZ31" s="230">
        <v>9759</v>
      </c>
      <c r="CA31" s="228">
        <v>95</v>
      </c>
      <c r="CB31" s="229">
        <v>9.7999999999999997E-3</v>
      </c>
      <c r="CC31" s="230">
        <v>8536</v>
      </c>
      <c r="CD31" s="230">
        <v>8737</v>
      </c>
      <c r="CE31" s="228">
        <v>-201</v>
      </c>
      <c r="CF31" s="229">
        <v>-2.3E-2</v>
      </c>
      <c r="CG31" s="230">
        <v>1256</v>
      </c>
      <c r="CH31" s="228">
        <v>960</v>
      </c>
      <c r="CI31" s="228">
        <v>296</v>
      </c>
      <c r="CJ31" s="229">
        <v>0.30790000000000001</v>
      </c>
      <c r="CK31" s="228">
        <v>63</v>
      </c>
      <c r="CL31" s="228">
        <v>62</v>
      </c>
      <c r="CM31" s="228">
        <v>1</v>
      </c>
      <c r="CN31" s="229">
        <v>1.29E-2</v>
      </c>
      <c r="CO31" s="230">
        <v>4048</v>
      </c>
      <c r="CP31" s="230">
        <v>4032</v>
      </c>
      <c r="CQ31" s="228">
        <v>16</v>
      </c>
      <c r="CR31" s="229">
        <v>4.0000000000000001E-3</v>
      </c>
      <c r="CS31" s="230">
        <v>1967</v>
      </c>
      <c r="CT31" s="230">
        <v>2010</v>
      </c>
      <c r="CU31" s="228">
        <v>-43</v>
      </c>
      <c r="CV31" s="229">
        <v>-2.1600000000000001E-2</v>
      </c>
      <c r="CW31" s="230">
        <v>15870</v>
      </c>
      <c r="CX31" s="230">
        <v>15802</v>
      </c>
      <c r="CY31" s="228">
        <v>68</v>
      </c>
      <c r="CZ31" s="229">
        <v>4.3E-3</v>
      </c>
      <c r="DA31" s="228">
        <v>15.97</v>
      </c>
      <c r="DB31" s="228">
        <v>16.13</v>
      </c>
      <c r="DC31" s="228">
        <v>-0.16</v>
      </c>
      <c r="DD31" s="228">
        <v>-0.16</v>
      </c>
      <c r="DE31" s="228">
        <v>24.55</v>
      </c>
      <c r="DF31" s="228">
        <v>24.59</v>
      </c>
      <c r="DG31" s="228">
        <v>-8.58</v>
      </c>
      <c r="DH31" s="228">
        <v>-0.04</v>
      </c>
      <c r="DI31" s="228">
        <v>16.22</v>
      </c>
      <c r="DJ31" s="228">
        <v>15.98</v>
      </c>
      <c r="DK31" s="228">
        <v>0.24</v>
      </c>
      <c r="DL31" s="228">
        <v>0.24</v>
      </c>
      <c r="DM31" s="228">
        <v>15.5</v>
      </c>
      <c r="DN31" s="228">
        <v>16.41</v>
      </c>
      <c r="DO31" s="228">
        <v>-0.91</v>
      </c>
      <c r="DP31" s="228">
        <v>-0.91</v>
      </c>
      <c r="DQ31" s="228">
        <v>0.49</v>
      </c>
      <c r="DR31" s="228">
        <v>0.5</v>
      </c>
      <c r="DS31" s="228">
        <v>-0.01</v>
      </c>
      <c r="DT31" s="229">
        <v>-0.02</v>
      </c>
      <c r="DU31" s="231">
        <v>2100</v>
      </c>
      <c r="DV31" s="231">
        <v>2100</v>
      </c>
      <c r="DW31" s="228">
        <v>0.52</v>
      </c>
      <c r="DX31" s="228">
        <v>0.51</v>
      </c>
      <c r="DY31" s="228">
        <v>0.01</v>
      </c>
      <c r="DZ31" s="229">
        <v>1.9599999999999999E-2</v>
      </c>
      <c r="EA31" s="229">
        <v>0.1338</v>
      </c>
      <c r="EB31" s="230">
        <v>4878725</v>
      </c>
      <c r="EC31" s="229">
        <v>6.7999999999999996E-3</v>
      </c>
      <c r="ED31" s="229">
        <v>0.1338</v>
      </c>
      <c r="EE31" s="228">
        <v>14.85</v>
      </c>
      <c r="EF31" s="229">
        <v>7.1000000000000004E-3</v>
      </c>
      <c r="EG31" s="230">
        <v>2540244</v>
      </c>
      <c r="EH31" s="230">
        <v>4295437</v>
      </c>
      <c r="EI31" s="229">
        <v>-0.40860000000000002</v>
      </c>
      <c r="EJ31" s="229">
        <v>0.57599999999999996</v>
      </c>
      <c r="EK31" s="231">
        <v>3654.09</v>
      </c>
      <c r="EL31" s="231">
        <v>1834.95</v>
      </c>
      <c r="EM31" s="231">
        <v>1106.25</v>
      </c>
      <c r="EN31" s="228">
        <v>88.74</v>
      </c>
      <c r="EO31" s="231">
        <v>6595.29</v>
      </c>
      <c r="EP31" s="231">
        <v>7923.78</v>
      </c>
      <c r="EQ31" s="231">
        <v>-1328.48</v>
      </c>
      <c r="ER31" s="229">
        <v>-0.16769999999999999</v>
      </c>
      <c r="ES31" s="231">
        <v>4183.25</v>
      </c>
      <c r="ET31" s="231">
        <v>1925.82</v>
      </c>
      <c r="EU31" s="231">
        <v>9863.9699999999993</v>
      </c>
      <c r="EV31" s="231">
        <v>314058656</v>
      </c>
      <c r="EW31" s="231">
        <v>15973.04</v>
      </c>
      <c r="EX31" s="231">
        <v>15970.81</v>
      </c>
      <c r="EY31" s="228">
        <v>2.23</v>
      </c>
      <c r="EZ31" s="229">
        <v>1E-4</v>
      </c>
      <c r="FA31" s="229">
        <v>0.2412</v>
      </c>
      <c r="FB31" s="227" t="s">
        <v>567</v>
      </c>
      <c r="FC31">
        <f t="shared" si="0"/>
        <v>1319</v>
      </c>
    </row>
    <row r="32" spans="1:159" ht="17.25" thickBot="1" x14ac:dyDescent="0.3">
      <c r="A32" s="226">
        <v>46009</v>
      </c>
      <c r="B32" s="227" t="s">
        <v>184</v>
      </c>
      <c r="C32" s="227" t="s">
        <v>190</v>
      </c>
      <c r="D32" s="228">
        <v>2625</v>
      </c>
      <c r="E32" s="228">
        <v>12</v>
      </c>
      <c r="F32" s="228">
        <v>275.5</v>
      </c>
      <c r="G32" s="228">
        <v>278.75</v>
      </c>
      <c r="H32" s="228">
        <v>-3.25</v>
      </c>
      <c r="I32" s="229">
        <v>-1.17E-2</v>
      </c>
      <c r="J32" s="228">
        <v>275.05</v>
      </c>
      <c r="K32" s="228">
        <v>277.85000000000002</v>
      </c>
      <c r="L32" s="228">
        <v>-2.8</v>
      </c>
      <c r="M32" s="229">
        <v>-1.01E-2</v>
      </c>
      <c r="N32" s="228">
        <v>275.5</v>
      </c>
      <c r="O32" s="228">
        <v>278.75</v>
      </c>
      <c r="P32" s="228">
        <v>-3.25</v>
      </c>
      <c r="Q32" s="229">
        <v>-1.17E-2</v>
      </c>
      <c r="R32" s="228">
        <v>277.45</v>
      </c>
      <c r="S32" s="228">
        <v>280.55</v>
      </c>
      <c r="T32" s="228">
        <v>-3.1</v>
      </c>
      <c r="U32" s="229">
        <v>-1.0999999999999999E-2</v>
      </c>
      <c r="V32" s="228">
        <v>278.5</v>
      </c>
      <c r="W32" s="228">
        <v>280.64999999999998</v>
      </c>
      <c r="X32" s="228">
        <v>-2.15</v>
      </c>
      <c r="Y32" s="229">
        <v>-7.7000000000000002E-3</v>
      </c>
      <c r="Z32" s="228">
        <v>0.45</v>
      </c>
      <c r="AA32" s="228">
        <v>0.9</v>
      </c>
      <c r="AB32" s="228">
        <v>-0.45</v>
      </c>
      <c r="AC32" s="229">
        <v>1.6000000000000001E-3</v>
      </c>
      <c r="AD32" s="228">
        <v>0.45</v>
      </c>
      <c r="AE32" s="228">
        <v>0.9</v>
      </c>
      <c r="AF32" s="228">
        <v>-0.45</v>
      </c>
      <c r="AG32" s="229">
        <v>1.6000000000000001E-3</v>
      </c>
      <c r="AH32" s="228">
        <v>2.4</v>
      </c>
      <c r="AI32" s="228">
        <v>2.7</v>
      </c>
      <c r="AJ32" s="228">
        <v>-0.3</v>
      </c>
      <c r="AK32" s="229">
        <v>8.6999999999999994E-3</v>
      </c>
      <c r="AL32" s="228">
        <v>3.45</v>
      </c>
      <c r="AM32" s="228">
        <v>2.8</v>
      </c>
      <c r="AN32" s="228">
        <v>0.65</v>
      </c>
      <c r="AO32" s="229">
        <v>1.2500000000000001E-2</v>
      </c>
      <c r="AP32" s="228">
        <v>274.45</v>
      </c>
      <c r="AQ32" s="228">
        <v>276.58</v>
      </c>
      <c r="AR32" s="228">
        <v>0</v>
      </c>
      <c r="AS32" s="228">
        <v>319</v>
      </c>
      <c r="AT32" s="228">
        <v>220</v>
      </c>
      <c r="AU32" s="228">
        <v>99</v>
      </c>
      <c r="AV32" s="229">
        <v>0.45069999999999999</v>
      </c>
      <c r="AW32" s="228">
        <v>263</v>
      </c>
      <c r="AX32" s="228">
        <v>192</v>
      </c>
      <c r="AY32" s="228">
        <v>71</v>
      </c>
      <c r="AZ32" s="229">
        <v>0.37030000000000002</v>
      </c>
      <c r="BA32" s="228">
        <v>53</v>
      </c>
      <c r="BB32" s="228">
        <v>26</v>
      </c>
      <c r="BC32" s="228">
        <v>27</v>
      </c>
      <c r="BD32" s="229">
        <v>1.0193000000000001</v>
      </c>
      <c r="BE32" s="228">
        <v>3</v>
      </c>
      <c r="BF32" s="228">
        <v>2</v>
      </c>
      <c r="BG32" s="228">
        <v>1</v>
      </c>
      <c r="BH32" s="229">
        <v>0.8095</v>
      </c>
      <c r="BI32" s="230">
        <v>1650</v>
      </c>
      <c r="BJ32" s="230">
        <v>1100</v>
      </c>
      <c r="BK32" s="228">
        <v>551</v>
      </c>
      <c r="BL32" s="229">
        <v>0.50060000000000004</v>
      </c>
      <c r="BM32" s="228">
        <v>758</v>
      </c>
      <c r="BN32" s="228">
        <v>353</v>
      </c>
      <c r="BO32" s="228">
        <v>405</v>
      </c>
      <c r="BP32" s="229">
        <v>1.1484000000000001</v>
      </c>
      <c r="BQ32" s="230">
        <v>2727</v>
      </c>
      <c r="BR32" s="230">
        <v>1672</v>
      </c>
      <c r="BS32" s="230">
        <v>1055</v>
      </c>
      <c r="BT32" s="229">
        <v>0.63070000000000004</v>
      </c>
      <c r="BU32" s="230">
        <v>4479083</v>
      </c>
      <c r="BV32" s="230">
        <v>3358254</v>
      </c>
      <c r="BW32" s="230">
        <v>1120829</v>
      </c>
      <c r="BX32" s="229">
        <v>0.33379999999999999</v>
      </c>
      <c r="BY32" s="230">
        <v>1777</v>
      </c>
      <c r="BZ32" s="230">
        <v>1753</v>
      </c>
      <c r="CA32" s="228">
        <v>24</v>
      </c>
      <c r="CB32" s="229">
        <v>1.3899999999999999E-2</v>
      </c>
      <c r="CC32" s="230">
        <v>1639</v>
      </c>
      <c r="CD32" s="230">
        <v>1639</v>
      </c>
      <c r="CE32" s="228">
        <v>-1</v>
      </c>
      <c r="CF32" s="229">
        <v>-2.9999999999999997E-4</v>
      </c>
      <c r="CG32" s="228">
        <v>123</v>
      </c>
      <c r="CH32" s="228">
        <v>99</v>
      </c>
      <c r="CI32" s="228">
        <v>24</v>
      </c>
      <c r="CJ32" s="229">
        <v>0.2445</v>
      </c>
      <c r="CK32" s="228">
        <v>15</v>
      </c>
      <c r="CL32" s="228">
        <v>14</v>
      </c>
      <c r="CM32" s="228">
        <v>1</v>
      </c>
      <c r="CN32" s="229">
        <v>4.0399999999999998E-2</v>
      </c>
      <c r="CO32" s="230">
        <v>1484</v>
      </c>
      <c r="CP32" s="230">
        <v>1438</v>
      </c>
      <c r="CQ32" s="228">
        <v>46</v>
      </c>
      <c r="CR32" s="229">
        <v>3.2000000000000001E-2</v>
      </c>
      <c r="CS32" s="228">
        <v>688</v>
      </c>
      <c r="CT32" s="228">
        <v>686</v>
      </c>
      <c r="CU32" s="228">
        <v>2</v>
      </c>
      <c r="CV32" s="229">
        <v>3.3E-3</v>
      </c>
      <c r="CW32" s="230">
        <v>3949</v>
      </c>
      <c r="CX32" s="230">
        <v>3876</v>
      </c>
      <c r="CY32" s="228">
        <v>73</v>
      </c>
      <c r="CZ32" s="229">
        <v>1.8700000000000001E-2</v>
      </c>
      <c r="DA32" s="228">
        <v>27.84</v>
      </c>
      <c r="DB32" s="228">
        <v>28.95</v>
      </c>
      <c r="DC32" s="228">
        <v>-1.1100000000000001</v>
      </c>
      <c r="DD32" s="228">
        <v>-1.1100000000000001</v>
      </c>
      <c r="DE32" s="228">
        <v>44.25</v>
      </c>
      <c r="DF32" s="228">
        <v>44.34</v>
      </c>
      <c r="DG32" s="228">
        <v>-16.41</v>
      </c>
      <c r="DH32" s="228">
        <v>-0.09</v>
      </c>
      <c r="DI32" s="228">
        <v>28.23</v>
      </c>
      <c r="DJ32" s="228">
        <v>29.41</v>
      </c>
      <c r="DK32" s="228">
        <v>-1.18</v>
      </c>
      <c r="DL32" s="228">
        <v>-1.18</v>
      </c>
      <c r="DM32" s="228">
        <v>26.97</v>
      </c>
      <c r="DN32" s="228">
        <v>27.51</v>
      </c>
      <c r="DO32" s="228">
        <v>-0.54</v>
      </c>
      <c r="DP32" s="228">
        <v>-0.54</v>
      </c>
      <c r="DQ32" s="228">
        <v>0.46</v>
      </c>
      <c r="DR32" s="228">
        <v>0.48</v>
      </c>
      <c r="DS32" s="228">
        <v>-0.02</v>
      </c>
      <c r="DT32" s="229">
        <v>-4.1700000000000001E-2</v>
      </c>
      <c r="DU32" s="228">
        <v>300</v>
      </c>
      <c r="DV32" s="228">
        <v>260</v>
      </c>
      <c r="DW32" s="228">
        <v>0.46</v>
      </c>
      <c r="DX32" s="228">
        <v>0.32</v>
      </c>
      <c r="DY32" s="228">
        <v>0.14000000000000001</v>
      </c>
      <c r="DZ32" s="229">
        <v>0.4375</v>
      </c>
      <c r="EA32" s="229">
        <v>7.7799999999999994E-2</v>
      </c>
      <c r="EB32" s="230">
        <v>4116000</v>
      </c>
      <c r="EC32" s="229">
        <v>7.1000000000000004E-3</v>
      </c>
      <c r="ED32" s="229">
        <v>7.7799999999999994E-2</v>
      </c>
      <c r="EE32" s="228">
        <v>2.13</v>
      </c>
      <c r="EF32" s="229">
        <v>7.7999999999999996E-3</v>
      </c>
      <c r="EG32" s="230">
        <v>998770</v>
      </c>
      <c r="EH32" s="230">
        <v>846697</v>
      </c>
      <c r="EI32" s="229">
        <v>0.17960000000000001</v>
      </c>
      <c r="EJ32" s="229">
        <v>0.223</v>
      </c>
      <c r="EK32" s="231">
        <v>1736.88</v>
      </c>
      <c r="EL32" s="228">
        <v>752.96</v>
      </c>
      <c r="EM32" s="228">
        <v>318.14999999999998</v>
      </c>
      <c r="EN32" s="228">
        <v>48.98</v>
      </c>
      <c r="EO32" s="231">
        <v>2807.99</v>
      </c>
      <c r="EP32" s="231">
        <v>1745.71</v>
      </c>
      <c r="EQ32" s="231">
        <v>1062.28</v>
      </c>
      <c r="ER32" s="229">
        <v>0.60850000000000004</v>
      </c>
      <c r="ES32" s="231">
        <v>1588.46</v>
      </c>
      <c r="ET32" s="228">
        <v>678.4</v>
      </c>
      <c r="EU32" s="231">
        <v>1778.05</v>
      </c>
      <c r="EV32" s="231">
        <v>169029877</v>
      </c>
      <c r="EW32" s="231">
        <v>4044.91</v>
      </c>
      <c r="EX32" s="231">
        <v>3994.03</v>
      </c>
      <c r="EY32" s="228">
        <v>50.88</v>
      </c>
      <c r="EZ32" s="229">
        <v>1.2699999999999999E-2</v>
      </c>
      <c r="FA32" s="229">
        <v>0.84799999999999998</v>
      </c>
      <c r="FB32" s="227" t="s">
        <v>567</v>
      </c>
      <c r="FC32">
        <f t="shared" si="0"/>
        <v>138</v>
      </c>
    </row>
    <row r="33" spans="1:159" ht="17.25" thickBot="1" x14ac:dyDescent="0.3">
      <c r="A33" s="226">
        <v>46009</v>
      </c>
      <c r="B33" s="227" t="s">
        <v>170</v>
      </c>
      <c r="C33" s="227" t="s">
        <v>191</v>
      </c>
      <c r="D33" s="228">
        <v>2500</v>
      </c>
      <c r="E33" s="228">
        <v>12</v>
      </c>
      <c r="F33" s="228">
        <v>393.55</v>
      </c>
      <c r="G33" s="228">
        <v>386.85</v>
      </c>
      <c r="H33" s="228">
        <v>6.7</v>
      </c>
      <c r="I33" s="229">
        <v>1.7299999999999999E-2</v>
      </c>
      <c r="J33" s="228">
        <v>392.25</v>
      </c>
      <c r="K33" s="228">
        <v>386.1</v>
      </c>
      <c r="L33" s="228">
        <v>6.15</v>
      </c>
      <c r="M33" s="229">
        <v>1.5900000000000001E-2</v>
      </c>
      <c r="N33" s="228">
        <v>393.55</v>
      </c>
      <c r="O33" s="228">
        <v>386.85</v>
      </c>
      <c r="P33" s="228">
        <v>6.7</v>
      </c>
      <c r="Q33" s="229">
        <v>1.7299999999999999E-2</v>
      </c>
      <c r="R33" s="228">
        <v>395.6</v>
      </c>
      <c r="S33" s="228">
        <v>389.4</v>
      </c>
      <c r="T33" s="228">
        <v>6.2</v>
      </c>
      <c r="U33" s="229">
        <v>1.5900000000000001E-2</v>
      </c>
      <c r="V33" s="228">
        <v>397.05</v>
      </c>
      <c r="W33" s="228">
        <v>391.5</v>
      </c>
      <c r="X33" s="228">
        <v>5.55</v>
      </c>
      <c r="Y33" s="229">
        <v>1.4200000000000001E-2</v>
      </c>
      <c r="Z33" s="228">
        <v>1.3</v>
      </c>
      <c r="AA33" s="228">
        <v>0.75</v>
      </c>
      <c r="AB33" s="228">
        <v>0.55000000000000004</v>
      </c>
      <c r="AC33" s="229">
        <v>3.3E-3</v>
      </c>
      <c r="AD33" s="228">
        <v>1.3</v>
      </c>
      <c r="AE33" s="228">
        <v>0.75</v>
      </c>
      <c r="AF33" s="228">
        <v>0.55000000000000004</v>
      </c>
      <c r="AG33" s="229">
        <v>3.3E-3</v>
      </c>
      <c r="AH33" s="228">
        <v>3.35</v>
      </c>
      <c r="AI33" s="228">
        <v>3.3</v>
      </c>
      <c r="AJ33" s="228">
        <v>0.05</v>
      </c>
      <c r="AK33" s="229">
        <v>8.5000000000000006E-3</v>
      </c>
      <c r="AL33" s="228">
        <v>4.8</v>
      </c>
      <c r="AM33" s="228">
        <v>5.4</v>
      </c>
      <c r="AN33" s="228">
        <v>-0.6</v>
      </c>
      <c r="AO33" s="229">
        <v>1.2200000000000001E-2</v>
      </c>
      <c r="AP33" s="228">
        <v>392.56</v>
      </c>
      <c r="AQ33" s="228">
        <v>395.91</v>
      </c>
      <c r="AR33" s="228">
        <v>0</v>
      </c>
      <c r="AS33" s="228">
        <v>396</v>
      </c>
      <c r="AT33" s="228">
        <v>146</v>
      </c>
      <c r="AU33" s="228">
        <v>250</v>
      </c>
      <c r="AV33" s="229">
        <v>1.7145999999999999</v>
      </c>
      <c r="AW33" s="228">
        <v>313</v>
      </c>
      <c r="AX33" s="228">
        <v>127</v>
      </c>
      <c r="AY33" s="228">
        <v>187</v>
      </c>
      <c r="AZ33" s="229">
        <v>1.4728000000000001</v>
      </c>
      <c r="BA33" s="228">
        <v>79</v>
      </c>
      <c r="BB33" s="228">
        <v>18</v>
      </c>
      <c r="BC33" s="228">
        <v>61</v>
      </c>
      <c r="BD33" s="229">
        <v>3.3117999999999999</v>
      </c>
      <c r="BE33" s="228">
        <v>4</v>
      </c>
      <c r="BF33" s="228">
        <v>1</v>
      </c>
      <c r="BG33" s="228">
        <v>3</v>
      </c>
      <c r="BH33" s="229">
        <v>3.5</v>
      </c>
      <c r="BI33" s="230">
        <v>1559</v>
      </c>
      <c r="BJ33" s="228">
        <v>726</v>
      </c>
      <c r="BK33" s="228">
        <v>833</v>
      </c>
      <c r="BL33" s="229">
        <v>1.1479999999999999</v>
      </c>
      <c r="BM33" s="228">
        <v>702</v>
      </c>
      <c r="BN33" s="228">
        <v>245</v>
      </c>
      <c r="BO33" s="228">
        <v>458</v>
      </c>
      <c r="BP33" s="229">
        <v>1.8701000000000001</v>
      </c>
      <c r="BQ33" s="230">
        <v>2657</v>
      </c>
      <c r="BR33" s="230">
        <v>1116</v>
      </c>
      <c r="BS33" s="230">
        <v>1541</v>
      </c>
      <c r="BT33" s="229">
        <v>1.3803000000000001</v>
      </c>
      <c r="BU33" s="230">
        <v>3877660</v>
      </c>
      <c r="BV33" s="230">
        <v>1340360</v>
      </c>
      <c r="BW33" s="230">
        <v>2537300</v>
      </c>
      <c r="BX33" s="229">
        <v>1.893</v>
      </c>
      <c r="BY33" s="230">
        <v>1877</v>
      </c>
      <c r="BZ33" s="230">
        <v>1910</v>
      </c>
      <c r="CA33" s="228">
        <v>-33</v>
      </c>
      <c r="CB33" s="229">
        <v>-1.72E-2</v>
      </c>
      <c r="CC33" s="230">
        <v>1750</v>
      </c>
      <c r="CD33" s="230">
        <v>1813</v>
      </c>
      <c r="CE33" s="228">
        <v>-63</v>
      </c>
      <c r="CF33" s="229">
        <v>-3.4799999999999998E-2</v>
      </c>
      <c r="CG33" s="228">
        <v>117</v>
      </c>
      <c r="CH33" s="228">
        <v>88</v>
      </c>
      <c r="CI33" s="228">
        <v>30</v>
      </c>
      <c r="CJ33" s="229">
        <v>0.33739999999999998</v>
      </c>
      <c r="CK33" s="228">
        <v>10</v>
      </c>
      <c r="CL33" s="228">
        <v>10</v>
      </c>
      <c r="CM33" s="228">
        <v>1</v>
      </c>
      <c r="CN33" s="229">
        <v>6.1899999999999997E-2</v>
      </c>
      <c r="CO33" s="230">
        <v>1225</v>
      </c>
      <c r="CP33" s="230">
        <v>1298</v>
      </c>
      <c r="CQ33" s="228">
        <v>-73</v>
      </c>
      <c r="CR33" s="229">
        <v>-5.6099999999999997E-2</v>
      </c>
      <c r="CS33" s="228">
        <v>638</v>
      </c>
      <c r="CT33" s="228">
        <v>658</v>
      </c>
      <c r="CU33" s="228">
        <v>-20</v>
      </c>
      <c r="CV33" s="229">
        <v>-2.9899999999999999E-2</v>
      </c>
      <c r="CW33" s="230">
        <v>3741</v>
      </c>
      <c r="CX33" s="230">
        <v>3866</v>
      </c>
      <c r="CY33" s="228">
        <v>-125</v>
      </c>
      <c r="CZ33" s="229">
        <v>-3.2399999999999998E-2</v>
      </c>
      <c r="DA33" s="228">
        <v>25.07</v>
      </c>
      <c r="DB33" s="228">
        <v>25.88</v>
      </c>
      <c r="DC33" s="228">
        <v>-0.81</v>
      </c>
      <c r="DD33" s="228">
        <v>-0.81</v>
      </c>
      <c r="DE33" s="228">
        <v>38.53</v>
      </c>
      <c r="DF33" s="228">
        <v>38.56</v>
      </c>
      <c r="DG33" s="228">
        <v>-13.46</v>
      </c>
      <c r="DH33" s="228">
        <v>-0.03</v>
      </c>
      <c r="DI33" s="228">
        <v>24.74</v>
      </c>
      <c r="DJ33" s="228">
        <v>26.3</v>
      </c>
      <c r="DK33" s="228">
        <v>-1.56</v>
      </c>
      <c r="DL33" s="228">
        <v>-1.56</v>
      </c>
      <c r="DM33" s="228">
        <v>25.81</v>
      </c>
      <c r="DN33" s="228">
        <v>24.62</v>
      </c>
      <c r="DO33" s="228">
        <v>1.19</v>
      </c>
      <c r="DP33" s="228">
        <v>1.19</v>
      </c>
      <c r="DQ33" s="228">
        <v>0.52</v>
      </c>
      <c r="DR33" s="228">
        <v>0.51</v>
      </c>
      <c r="DS33" s="228">
        <v>0.01</v>
      </c>
      <c r="DT33" s="229">
        <v>1.9599999999999999E-2</v>
      </c>
      <c r="DU33" s="228">
        <v>400</v>
      </c>
      <c r="DV33" s="228">
        <v>370</v>
      </c>
      <c r="DW33" s="228">
        <v>0.45</v>
      </c>
      <c r="DX33" s="228">
        <v>0.34</v>
      </c>
      <c r="DY33" s="228">
        <v>0.11</v>
      </c>
      <c r="DZ33" s="229">
        <v>0.32350000000000001</v>
      </c>
      <c r="EA33" s="229">
        <v>6.7900000000000002E-2</v>
      </c>
      <c r="EB33" s="230">
        <v>2472500</v>
      </c>
      <c r="EC33" s="229">
        <v>5.1999999999999998E-3</v>
      </c>
      <c r="ED33" s="229">
        <v>6.7900000000000002E-2</v>
      </c>
      <c r="EE33" s="228">
        <v>3.35</v>
      </c>
      <c r="EF33" s="229">
        <v>8.5000000000000006E-3</v>
      </c>
      <c r="EG33" s="230">
        <v>1820347</v>
      </c>
      <c r="EH33" s="230">
        <v>635232</v>
      </c>
      <c r="EI33" s="229">
        <v>1.8655999999999999</v>
      </c>
      <c r="EJ33" s="229">
        <v>0.46939999999999998</v>
      </c>
      <c r="EK33" s="231">
        <v>1606.45</v>
      </c>
      <c r="EL33" s="228">
        <v>686.02</v>
      </c>
      <c r="EM33" s="228">
        <v>395.55</v>
      </c>
      <c r="EN33" s="228">
        <v>20.46</v>
      </c>
      <c r="EO33" s="231">
        <v>2688.02</v>
      </c>
      <c r="EP33" s="231">
        <v>1130.8</v>
      </c>
      <c r="EQ33" s="231">
        <v>1557.22</v>
      </c>
      <c r="ER33" s="229">
        <v>1.3771</v>
      </c>
      <c r="ES33" s="231">
        <v>1288.5</v>
      </c>
      <c r="ET33" s="228">
        <v>616.48</v>
      </c>
      <c r="EU33" s="231">
        <v>1878.13</v>
      </c>
      <c r="EV33" s="231">
        <v>90981174</v>
      </c>
      <c r="EW33" s="231">
        <v>3783.11</v>
      </c>
      <c r="EX33" s="231">
        <v>3874.85</v>
      </c>
      <c r="EY33" s="228">
        <v>-91.74</v>
      </c>
      <c r="EZ33" s="229">
        <v>-2.3699999999999999E-2</v>
      </c>
      <c r="FA33" s="229">
        <v>1.0447</v>
      </c>
      <c r="FB33" s="227" t="s">
        <v>556</v>
      </c>
      <c r="FC33">
        <f t="shared" si="0"/>
        <v>127</v>
      </c>
    </row>
    <row r="34" spans="1:159" ht="17.25" thickBot="1" x14ac:dyDescent="0.3">
      <c r="A34" s="226">
        <v>46009</v>
      </c>
      <c r="B34" s="227" t="s">
        <v>184</v>
      </c>
      <c r="C34" s="227" t="s">
        <v>680</v>
      </c>
      <c r="D34" s="228">
        <v>325</v>
      </c>
      <c r="E34" s="228">
        <v>12</v>
      </c>
      <c r="F34" s="231">
        <v>1855.3</v>
      </c>
      <c r="G34" s="231">
        <v>1825.9</v>
      </c>
      <c r="H34" s="228">
        <v>29.4</v>
      </c>
      <c r="I34" s="229">
        <v>1.61E-2</v>
      </c>
      <c r="J34" s="231">
        <v>1854.6</v>
      </c>
      <c r="K34" s="231">
        <v>1826.8</v>
      </c>
      <c r="L34" s="228">
        <v>27.8</v>
      </c>
      <c r="M34" s="229">
        <v>1.52E-2</v>
      </c>
      <c r="N34" s="231">
        <v>1855.3</v>
      </c>
      <c r="O34" s="231">
        <v>1825.9</v>
      </c>
      <c r="P34" s="228">
        <v>29.4</v>
      </c>
      <c r="Q34" s="229">
        <v>1.61E-2</v>
      </c>
      <c r="R34" s="231">
        <v>1860</v>
      </c>
      <c r="S34" s="231">
        <v>1830.3</v>
      </c>
      <c r="T34" s="228">
        <v>29.7</v>
      </c>
      <c r="U34" s="229">
        <v>1.6199999999999999E-2</v>
      </c>
      <c r="V34" s="231">
        <v>1745</v>
      </c>
      <c r="W34" s="231">
        <v>1745</v>
      </c>
      <c r="X34" s="228">
        <v>0</v>
      </c>
      <c r="Y34" s="229">
        <v>0</v>
      </c>
      <c r="Z34" s="228">
        <v>0.7</v>
      </c>
      <c r="AA34" s="228">
        <v>-0.9</v>
      </c>
      <c r="AB34" s="228">
        <v>1.6</v>
      </c>
      <c r="AC34" s="229">
        <v>4.0000000000000002E-4</v>
      </c>
      <c r="AD34" s="228">
        <v>0.7</v>
      </c>
      <c r="AE34" s="228">
        <v>-0.9</v>
      </c>
      <c r="AF34" s="228">
        <v>1.6</v>
      </c>
      <c r="AG34" s="229">
        <v>4.0000000000000002E-4</v>
      </c>
      <c r="AH34" s="228">
        <v>5.4</v>
      </c>
      <c r="AI34" s="228">
        <v>3.5</v>
      </c>
      <c r="AJ34" s="228">
        <v>1.9</v>
      </c>
      <c r="AK34" s="229">
        <v>2.8999999999999998E-3</v>
      </c>
      <c r="AL34" s="228">
        <v>-109.6</v>
      </c>
      <c r="AM34" s="228">
        <v>-81.8</v>
      </c>
      <c r="AN34" s="228">
        <v>-27.8</v>
      </c>
      <c r="AO34" s="229">
        <v>-5.91E-2</v>
      </c>
      <c r="AP34" s="231">
        <v>1847.85</v>
      </c>
      <c r="AQ34" s="231">
        <v>1854.1</v>
      </c>
      <c r="AR34" s="228">
        <v>0</v>
      </c>
      <c r="AS34" s="228">
        <v>99</v>
      </c>
      <c r="AT34" s="228">
        <v>49</v>
      </c>
      <c r="AU34" s="228">
        <v>50</v>
      </c>
      <c r="AV34" s="229">
        <v>1.0123</v>
      </c>
      <c r="AW34" s="228">
        <v>79</v>
      </c>
      <c r="AX34" s="228">
        <v>44</v>
      </c>
      <c r="AY34" s="228">
        <v>35</v>
      </c>
      <c r="AZ34" s="229">
        <v>0.79859999999999998</v>
      </c>
      <c r="BA34" s="228">
        <v>20</v>
      </c>
      <c r="BB34" s="228">
        <v>5</v>
      </c>
      <c r="BC34" s="228">
        <v>15</v>
      </c>
      <c r="BD34" s="229">
        <v>2.7332999999999998</v>
      </c>
      <c r="BE34" s="228">
        <v>0</v>
      </c>
      <c r="BF34" s="228">
        <v>0</v>
      </c>
      <c r="BG34" s="228">
        <v>0</v>
      </c>
      <c r="BH34" s="229">
        <v>0</v>
      </c>
      <c r="BI34" s="228">
        <v>321</v>
      </c>
      <c r="BJ34" s="228">
        <v>191</v>
      </c>
      <c r="BK34" s="228">
        <v>130</v>
      </c>
      <c r="BL34" s="229">
        <v>0.67879999999999996</v>
      </c>
      <c r="BM34" s="228">
        <v>209</v>
      </c>
      <c r="BN34" s="228">
        <v>44</v>
      </c>
      <c r="BO34" s="228">
        <v>165</v>
      </c>
      <c r="BP34" s="229">
        <v>3.7703000000000002</v>
      </c>
      <c r="BQ34" s="228">
        <v>629</v>
      </c>
      <c r="BR34" s="228">
        <v>284</v>
      </c>
      <c r="BS34" s="228">
        <v>345</v>
      </c>
      <c r="BT34" s="229">
        <v>1.2135</v>
      </c>
      <c r="BU34" s="230">
        <v>264277</v>
      </c>
      <c r="BV34" s="230">
        <v>143765</v>
      </c>
      <c r="BW34" s="230">
        <v>120512</v>
      </c>
      <c r="BX34" s="229">
        <v>0.83830000000000005</v>
      </c>
      <c r="BY34" s="228">
        <v>459</v>
      </c>
      <c r="BZ34" s="228">
        <v>443</v>
      </c>
      <c r="CA34" s="228">
        <v>16</v>
      </c>
      <c r="CB34" s="229">
        <v>3.56E-2</v>
      </c>
      <c r="CC34" s="228">
        <v>416</v>
      </c>
      <c r="CD34" s="228">
        <v>408</v>
      </c>
      <c r="CE34" s="228">
        <v>7</v>
      </c>
      <c r="CF34" s="229">
        <v>1.83E-2</v>
      </c>
      <c r="CG34" s="228">
        <v>43</v>
      </c>
      <c r="CH34" s="228">
        <v>35</v>
      </c>
      <c r="CI34" s="228">
        <v>8</v>
      </c>
      <c r="CJ34" s="229">
        <v>0.2379</v>
      </c>
      <c r="CK34" s="228">
        <v>0</v>
      </c>
      <c r="CL34" s="228">
        <v>0</v>
      </c>
      <c r="CM34" s="228">
        <v>0</v>
      </c>
      <c r="CN34" s="229">
        <v>0</v>
      </c>
      <c r="CO34" s="228">
        <v>113</v>
      </c>
      <c r="CP34" s="228">
        <v>138</v>
      </c>
      <c r="CQ34" s="228">
        <v>-25</v>
      </c>
      <c r="CR34" s="229">
        <v>-0.1822</v>
      </c>
      <c r="CS34" s="228">
        <v>107</v>
      </c>
      <c r="CT34" s="228">
        <v>97</v>
      </c>
      <c r="CU34" s="228">
        <v>11</v>
      </c>
      <c r="CV34" s="229">
        <v>0.11169999999999999</v>
      </c>
      <c r="CW34" s="228">
        <v>679</v>
      </c>
      <c r="CX34" s="228">
        <v>678</v>
      </c>
      <c r="CY34" s="228">
        <v>1</v>
      </c>
      <c r="CZ34" s="229">
        <v>2.0999999999999999E-3</v>
      </c>
      <c r="DA34" s="228">
        <v>21.12</v>
      </c>
      <c r="DB34" s="228">
        <v>22.15</v>
      </c>
      <c r="DC34" s="228">
        <v>-1.03</v>
      </c>
      <c r="DD34" s="228">
        <v>-1.03</v>
      </c>
      <c r="DE34" s="228">
        <v>39.82</v>
      </c>
      <c r="DF34" s="228">
        <v>39.869999999999997</v>
      </c>
      <c r="DG34" s="228">
        <v>-18.7</v>
      </c>
      <c r="DH34" s="228">
        <v>-0.05</v>
      </c>
      <c r="DI34" s="228">
        <v>20.81</v>
      </c>
      <c r="DJ34" s="228">
        <v>22.26</v>
      </c>
      <c r="DK34" s="228">
        <v>-1.45</v>
      </c>
      <c r="DL34" s="228">
        <v>-1.45</v>
      </c>
      <c r="DM34" s="228">
        <v>21.6</v>
      </c>
      <c r="DN34" s="228">
        <v>21.68</v>
      </c>
      <c r="DO34" s="228">
        <v>-0.08</v>
      </c>
      <c r="DP34" s="228">
        <v>-0.08</v>
      </c>
      <c r="DQ34" s="228">
        <v>0.95</v>
      </c>
      <c r="DR34" s="228">
        <v>0.7</v>
      </c>
      <c r="DS34" s="228">
        <v>0.25</v>
      </c>
      <c r="DT34" s="229">
        <v>0.35709999999999997</v>
      </c>
      <c r="DU34" s="231">
        <v>1920</v>
      </c>
      <c r="DV34" s="231">
        <v>1800</v>
      </c>
      <c r="DW34" s="228">
        <v>0.65</v>
      </c>
      <c r="DX34" s="228">
        <v>0.23</v>
      </c>
      <c r="DY34" s="228">
        <v>0.42</v>
      </c>
      <c r="DZ34" s="229">
        <v>1.8261000000000001</v>
      </c>
      <c r="EA34" s="229">
        <v>9.5100000000000004E-2</v>
      </c>
      <c r="EB34" s="230">
        <v>190450</v>
      </c>
      <c r="EC34" s="229">
        <v>2.5000000000000001E-3</v>
      </c>
      <c r="ED34" s="229">
        <v>9.5100000000000004E-2</v>
      </c>
      <c r="EE34" s="228">
        <v>6.25</v>
      </c>
      <c r="EF34" s="229">
        <v>3.3999999999999998E-3</v>
      </c>
      <c r="EG34" s="230">
        <v>137889</v>
      </c>
      <c r="EH34" s="230">
        <v>89257</v>
      </c>
      <c r="EI34" s="229">
        <v>0.54490000000000005</v>
      </c>
      <c r="EJ34" s="229">
        <v>0.52180000000000004</v>
      </c>
      <c r="EK34" s="228">
        <v>328.95</v>
      </c>
      <c r="EL34" s="228">
        <v>199.58</v>
      </c>
      <c r="EM34" s="228">
        <v>98.56</v>
      </c>
      <c r="EN34" s="228">
        <v>10.48</v>
      </c>
      <c r="EO34" s="228">
        <v>627.09</v>
      </c>
      <c r="EP34" s="228">
        <v>284.22000000000003</v>
      </c>
      <c r="EQ34" s="228">
        <v>342.87</v>
      </c>
      <c r="ER34" s="229">
        <v>1.2063999999999999</v>
      </c>
      <c r="ES34" s="228">
        <v>114.18</v>
      </c>
      <c r="ET34" s="228">
        <v>101.68</v>
      </c>
      <c r="EU34" s="228">
        <v>459.31</v>
      </c>
      <c r="EV34" s="231">
        <v>19584741</v>
      </c>
      <c r="EW34" s="228">
        <v>675.17</v>
      </c>
      <c r="EX34" s="228">
        <v>664.71</v>
      </c>
      <c r="EY34" s="228">
        <v>10.46</v>
      </c>
      <c r="EZ34" s="229">
        <v>1.5699999999999999E-2</v>
      </c>
      <c r="FA34" s="229">
        <v>0.187</v>
      </c>
      <c r="FB34" s="227" t="s">
        <v>555</v>
      </c>
      <c r="FC34">
        <f t="shared" si="0"/>
        <v>43</v>
      </c>
    </row>
    <row r="35" spans="1:159" ht="17.25" thickBot="1" x14ac:dyDescent="0.3">
      <c r="A35" s="226">
        <v>46009</v>
      </c>
      <c r="B35" s="227" t="s">
        <v>162</v>
      </c>
      <c r="C35" s="227" t="s">
        <v>192</v>
      </c>
      <c r="D35" s="228">
        <v>25</v>
      </c>
      <c r="E35" s="228">
        <v>12</v>
      </c>
      <c r="F35" s="231">
        <v>35745</v>
      </c>
      <c r="G35" s="231">
        <v>36045</v>
      </c>
      <c r="H35" s="228">
        <v>-300</v>
      </c>
      <c r="I35" s="229">
        <v>-8.3000000000000001E-3</v>
      </c>
      <c r="J35" s="231">
        <v>35720</v>
      </c>
      <c r="K35" s="231">
        <v>35975</v>
      </c>
      <c r="L35" s="228">
        <v>-255</v>
      </c>
      <c r="M35" s="229">
        <v>-7.1000000000000004E-3</v>
      </c>
      <c r="N35" s="231">
        <v>35745</v>
      </c>
      <c r="O35" s="231">
        <v>36045</v>
      </c>
      <c r="P35" s="228">
        <v>-300</v>
      </c>
      <c r="Q35" s="229">
        <v>-8.3000000000000001E-3</v>
      </c>
      <c r="R35" s="231">
        <v>36010</v>
      </c>
      <c r="S35" s="231">
        <v>36275</v>
      </c>
      <c r="T35" s="228">
        <v>-265</v>
      </c>
      <c r="U35" s="229">
        <v>-7.3000000000000001E-3</v>
      </c>
      <c r="V35" s="231">
        <v>36035</v>
      </c>
      <c r="W35" s="231">
        <v>36400</v>
      </c>
      <c r="X35" s="228">
        <v>-365</v>
      </c>
      <c r="Y35" s="229">
        <v>-0.01</v>
      </c>
      <c r="Z35" s="228">
        <v>25</v>
      </c>
      <c r="AA35" s="228">
        <v>70</v>
      </c>
      <c r="AB35" s="228">
        <v>-45</v>
      </c>
      <c r="AC35" s="229">
        <v>6.9999999999999999E-4</v>
      </c>
      <c r="AD35" s="228">
        <v>25</v>
      </c>
      <c r="AE35" s="228">
        <v>70</v>
      </c>
      <c r="AF35" s="228">
        <v>-45</v>
      </c>
      <c r="AG35" s="229">
        <v>6.9999999999999999E-4</v>
      </c>
      <c r="AH35" s="228">
        <v>290</v>
      </c>
      <c r="AI35" s="228">
        <v>300</v>
      </c>
      <c r="AJ35" s="228">
        <v>-10</v>
      </c>
      <c r="AK35" s="229">
        <v>8.0999999999999996E-3</v>
      </c>
      <c r="AL35" s="228">
        <v>315</v>
      </c>
      <c r="AM35" s="228">
        <v>425</v>
      </c>
      <c r="AN35" s="228">
        <v>-110</v>
      </c>
      <c r="AO35" s="229">
        <v>8.8000000000000005E-3</v>
      </c>
      <c r="AP35" s="231">
        <v>35799.589999999997</v>
      </c>
      <c r="AQ35" s="231">
        <v>35980</v>
      </c>
      <c r="AR35" s="228">
        <v>0</v>
      </c>
      <c r="AS35" s="228">
        <v>104</v>
      </c>
      <c r="AT35" s="228">
        <v>74</v>
      </c>
      <c r="AU35" s="228">
        <v>29</v>
      </c>
      <c r="AV35" s="229">
        <v>0.3926</v>
      </c>
      <c r="AW35" s="228">
        <v>87</v>
      </c>
      <c r="AX35" s="228">
        <v>59</v>
      </c>
      <c r="AY35" s="228">
        <v>29</v>
      </c>
      <c r="AZ35" s="229">
        <v>0.48849999999999999</v>
      </c>
      <c r="BA35" s="228">
        <v>16</v>
      </c>
      <c r="BB35" s="228">
        <v>16</v>
      </c>
      <c r="BC35" s="228">
        <v>1</v>
      </c>
      <c r="BD35" s="229">
        <v>3.4099999999999998E-2</v>
      </c>
      <c r="BE35" s="228">
        <v>0</v>
      </c>
      <c r="BF35" s="228">
        <v>0</v>
      </c>
      <c r="BG35" s="228">
        <v>0</v>
      </c>
      <c r="BH35" s="229">
        <v>0.5</v>
      </c>
      <c r="BI35" s="228">
        <v>455</v>
      </c>
      <c r="BJ35" s="228">
        <v>502</v>
      </c>
      <c r="BK35" s="228">
        <v>-48</v>
      </c>
      <c r="BL35" s="229">
        <v>-9.4600000000000004E-2</v>
      </c>
      <c r="BM35" s="228">
        <v>89</v>
      </c>
      <c r="BN35" s="228">
        <v>75</v>
      </c>
      <c r="BO35" s="228">
        <v>14</v>
      </c>
      <c r="BP35" s="229">
        <v>0.18809999999999999</v>
      </c>
      <c r="BQ35" s="228">
        <v>648</v>
      </c>
      <c r="BR35" s="228">
        <v>652</v>
      </c>
      <c r="BS35" s="228">
        <v>-4</v>
      </c>
      <c r="BT35" s="229">
        <v>-6.4000000000000003E-3</v>
      </c>
      <c r="BU35" s="230">
        <v>10886</v>
      </c>
      <c r="BV35" s="230">
        <v>9458</v>
      </c>
      <c r="BW35" s="230">
        <v>1428</v>
      </c>
      <c r="BX35" s="229">
        <v>0.151</v>
      </c>
      <c r="BY35" s="228">
        <v>756</v>
      </c>
      <c r="BZ35" s="228">
        <v>757</v>
      </c>
      <c r="CA35" s="228">
        <v>-2</v>
      </c>
      <c r="CB35" s="229">
        <v>-2.0999999999999999E-3</v>
      </c>
      <c r="CC35" s="228">
        <v>711</v>
      </c>
      <c r="CD35" s="228">
        <v>719</v>
      </c>
      <c r="CE35" s="228">
        <v>-8</v>
      </c>
      <c r="CF35" s="229">
        <v>-1.0800000000000001E-2</v>
      </c>
      <c r="CG35" s="228">
        <v>43</v>
      </c>
      <c r="CH35" s="228">
        <v>37</v>
      </c>
      <c r="CI35" s="228">
        <v>6</v>
      </c>
      <c r="CJ35" s="229">
        <v>0.16300000000000001</v>
      </c>
      <c r="CK35" s="228">
        <v>2</v>
      </c>
      <c r="CL35" s="228">
        <v>2</v>
      </c>
      <c r="CM35" s="228">
        <v>0</v>
      </c>
      <c r="CN35" s="229">
        <v>0.1111</v>
      </c>
      <c r="CO35" s="228">
        <v>348</v>
      </c>
      <c r="CP35" s="228">
        <v>319</v>
      </c>
      <c r="CQ35" s="228">
        <v>29</v>
      </c>
      <c r="CR35" s="229">
        <v>9.0899999999999995E-2</v>
      </c>
      <c r="CS35" s="228">
        <v>151</v>
      </c>
      <c r="CT35" s="228">
        <v>152</v>
      </c>
      <c r="CU35" s="228">
        <v>-1</v>
      </c>
      <c r="CV35" s="229">
        <v>-9.4000000000000004E-3</v>
      </c>
      <c r="CW35" s="230">
        <v>1254</v>
      </c>
      <c r="CX35" s="230">
        <v>1228</v>
      </c>
      <c r="CY35" s="228">
        <v>26</v>
      </c>
      <c r="CZ35" s="229">
        <v>2.1100000000000001E-2</v>
      </c>
      <c r="DA35" s="228">
        <v>21.58</v>
      </c>
      <c r="DB35" s="228">
        <v>23.07</v>
      </c>
      <c r="DC35" s="228">
        <v>-1.49</v>
      </c>
      <c r="DD35" s="228">
        <v>-1.49</v>
      </c>
      <c r="DE35" s="228">
        <v>27.53</v>
      </c>
      <c r="DF35" s="228">
        <v>27.58</v>
      </c>
      <c r="DG35" s="228">
        <v>-5.95</v>
      </c>
      <c r="DH35" s="228">
        <v>-0.05</v>
      </c>
      <c r="DI35" s="228">
        <v>22.18</v>
      </c>
      <c r="DJ35" s="228">
        <v>23.65</v>
      </c>
      <c r="DK35" s="228">
        <v>-1.47</v>
      </c>
      <c r="DL35" s="228">
        <v>-1.47</v>
      </c>
      <c r="DM35" s="228">
        <v>18.55</v>
      </c>
      <c r="DN35" s="228">
        <v>19.149999999999999</v>
      </c>
      <c r="DO35" s="228">
        <v>-0.6</v>
      </c>
      <c r="DP35" s="228">
        <v>-0.6</v>
      </c>
      <c r="DQ35" s="228">
        <v>0.43</v>
      </c>
      <c r="DR35" s="228">
        <v>0.48</v>
      </c>
      <c r="DS35" s="228">
        <v>-0.05</v>
      </c>
      <c r="DT35" s="229">
        <v>-0.1042</v>
      </c>
      <c r="DU35" s="231">
        <v>37000</v>
      </c>
      <c r="DV35" s="231">
        <v>36000</v>
      </c>
      <c r="DW35" s="228">
        <v>0.2</v>
      </c>
      <c r="DX35" s="228">
        <v>0.15</v>
      </c>
      <c r="DY35" s="228">
        <v>0.05</v>
      </c>
      <c r="DZ35" s="229">
        <v>0.33329999999999999</v>
      </c>
      <c r="EA35" s="229">
        <v>5.8900000000000001E-2</v>
      </c>
      <c r="EB35" s="230">
        <v>10725</v>
      </c>
      <c r="EC35" s="229">
        <v>7.4000000000000003E-3</v>
      </c>
      <c r="ED35" s="229">
        <v>5.8900000000000001E-2</v>
      </c>
      <c r="EE35" s="228">
        <v>180.41</v>
      </c>
      <c r="EF35" s="229">
        <v>5.0000000000000001E-3</v>
      </c>
      <c r="EG35" s="230">
        <v>4787</v>
      </c>
      <c r="EH35" s="230">
        <v>4217</v>
      </c>
      <c r="EI35" s="229">
        <v>0.13519999999999999</v>
      </c>
      <c r="EJ35" s="229">
        <v>0.43969999999999998</v>
      </c>
      <c r="EK35" s="228">
        <v>481.47</v>
      </c>
      <c r="EL35" s="228">
        <v>89.09</v>
      </c>
      <c r="EM35" s="228">
        <v>103.9</v>
      </c>
      <c r="EN35" s="228">
        <v>8.51</v>
      </c>
      <c r="EO35" s="228">
        <v>674.46</v>
      </c>
      <c r="EP35" s="228">
        <v>692.94</v>
      </c>
      <c r="EQ35" s="228">
        <v>-18.48</v>
      </c>
      <c r="ER35" s="229">
        <v>-2.6700000000000002E-2</v>
      </c>
      <c r="ES35" s="228">
        <v>369.12</v>
      </c>
      <c r="ET35" s="228">
        <v>150.09</v>
      </c>
      <c r="EU35" s="228">
        <v>756.07</v>
      </c>
      <c r="EV35" s="231">
        <v>982526</v>
      </c>
      <c r="EW35" s="231">
        <v>1275.27</v>
      </c>
      <c r="EX35" s="231">
        <v>1255.48</v>
      </c>
      <c r="EY35" s="228">
        <v>19.79</v>
      </c>
      <c r="EZ35" s="229">
        <v>1.5800000000000002E-2</v>
      </c>
      <c r="FA35" s="229">
        <v>0.35699999999999998</v>
      </c>
      <c r="FB35" s="227" t="s">
        <v>568</v>
      </c>
      <c r="FC35">
        <f t="shared" si="0"/>
        <v>45</v>
      </c>
    </row>
    <row r="36" spans="1:159" ht="17.25" thickBot="1" x14ac:dyDescent="0.3">
      <c r="A36" s="226">
        <v>46009</v>
      </c>
      <c r="B36" s="227" t="s">
        <v>193</v>
      </c>
      <c r="C36" s="227" t="s">
        <v>194</v>
      </c>
      <c r="D36" s="228">
        <v>1975</v>
      </c>
      <c r="E36" s="228">
        <v>12</v>
      </c>
      <c r="F36" s="228">
        <v>364.65</v>
      </c>
      <c r="G36" s="228">
        <v>368.65</v>
      </c>
      <c r="H36" s="228">
        <v>-4</v>
      </c>
      <c r="I36" s="229">
        <v>-1.09E-2</v>
      </c>
      <c r="J36" s="228">
        <v>363.35</v>
      </c>
      <c r="K36" s="228">
        <v>368.35</v>
      </c>
      <c r="L36" s="228">
        <v>-5</v>
      </c>
      <c r="M36" s="229">
        <v>-1.3599999999999999E-2</v>
      </c>
      <c r="N36" s="228">
        <v>364.65</v>
      </c>
      <c r="O36" s="228">
        <v>368.65</v>
      </c>
      <c r="P36" s="228">
        <v>-4</v>
      </c>
      <c r="Q36" s="229">
        <v>-1.09E-2</v>
      </c>
      <c r="R36" s="228">
        <v>366.15</v>
      </c>
      <c r="S36" s="228">
        <v>369.7</v>
      </c>
      <c r="T36" s="228">
        <v>-3.55</v>
      </c>
      <c r="U36" s="229">
        <v>-9.5999999999999992E-3</v>
      </c>
      <c r="V36" s="228">
        <v>365.05</v>
      </c>
      <c r="W36" s="228">
        <v>368.05</v>
      </c>
      <c r="X36" s="228">
        <v>-3</v>
      </c>
      <c r="Y36" s="229">
        <v>-8.2000000000000007E-3</v>
      </c>
      <c r="Z36" s="228">
        <v>1.3</v>
      </c>
      <c r="AA36" s="228">
        <v>0.3</v>
      </c>
      <c r="AB36" s="228">
        <v>1</v>
      </c>
      <c r="AC36" s="229">
        <v>3.5999999999999999E-3</v>
      </c>
      <c r="AD36" s="228">
        <v>1.3</v>
      </c>
      <c r="AE36" s="228">
        <v>0.3</v>
      </c>
      <c r="AF36" s="228">
        <v>1</v>
      </c>
      <c r="AG36" s="229">
        <v>3.5999999999999999E-3</v>
      </c>
      <c r="AH36" s="228">
        <v>2.8</v>
      </c>
      <c r="AI36" s="228">
        <v>1.35</v>
      </c>
      <c r="AJ36" s="228">
        <v>1.45</v>
      </c>
      <c r="AK36" s="229">
        <v>7.7000000000000002E-3</v>
      </c>
      <c r="AL36" s="228">
        <v>1.7</v>
      </c>
      <c r="AM36" s="228">
        <v>-0.3</v>
      </c>
      <c r="AN36" s="228">
        <v>2</v>
      </c>
      <c r="AO36" s="229">
        <v>4.7000000000000002E-3</v>
      </c>
      <c r="AP36" s="228">
        <v>364.45</v>
      </c>
      <c r="AQ36" s="228">
        <v>365.86</v>
      </c>
      <c r="AR36" s="228">
        <v>0</v>
      </c>
      <c r="AS36" s="228">
        <v>169</v>
      </c>
      <c r="AT36" s="228">
        <v>232</v>
      </c>
      <c r="AU36" s="228">
        <v>-63</v>
      </c>
      <c r="AV36" s="229">
        <v>-0.27110000000000001</v>
      </c>
      <c r="AW36" s="228">
        <v>127</v>
      </c>
      <c r="AX36" s="228">
        <v>200</v>
      </c>
      <c r="AY36" s="228">
        <v>-73</v>
      </c>
      <c r="AZ36" s="229">
        <v>-0.3654</v>
      </c>
      <c r="BA36" s="228">
        <v>40</v>
      </c>
      <c r="BB36" s="228">
        <v>29</v>
      </c>
      <c r="BC36" s="228">
        <v>11</v>
      </c>
      <c r="BD36" s="229">
        <v>0.39</v>
      </c>
      <c r="BE36" s="228">
        <v>2</v>
      </c>
      <c r="BF36" s="228">
        <v>3</v>
      </c>
      <c r="BG36" s="228">
        <v>-1</v>
      </c>
      <c r="BH36" s="229">
        <v>-0.33329999999999999</v>
      </c>
      <c r="BI36" s="228">
        <v>741</v>
      </c>
      <c r="BJ36" s="230">
        <v>1767</v>
      </c>
      <c r="BK36" s="230">
        <v>-1025</v>
      </c>
      <c r="BL36" s="229">
        <v>-0.58040000000000003</v>
      </c>
      <c r="BM36" s="228">
        <v>313</v>
      </c>
      <c r="BN36" s="228">
        <v>473</v>
      </c>
      <c r="BO36" s="228">
        <v>-160</v>
      </c>
      <c r="BP36" s="229">
        <v>-0.33889999999999998</v>
      </c>
      <c r="BQ36" s="230">
        <v>1223</v>
      </c>
      <c r="BR36" s="230">
        <v>2472</v>
      </c>
      <c r="BS36" s="230">
        <v>-1249</v>
      </c>
      <c r="BT36" s="229">
        <v>-0.50509999999999999</v>
      </c>
      <c r="BU36" s="230">
        <v>4246801</v>
      </c>
      <c r="BV36" s="230">
        <v>7107032</v>
      </c>
      <c r="BW36" s="230">
        <v>-2860231</v>
      </c>
      <c r="BX36" s="229">
        <v>-0.40250000000000002</v>
      </c>
      <c r="BY36" s="230">
        <v>1051</v>
      </c>
      <c r="BZ36" s="230">
        <v>1033</v>
      </c>
      <c r="CA36" s="228">
        <v>19</v>
      </c>
      <c r="CB36" s="229">
        <v>1.7999999999999999E-2</v>
      </c>
      <c r="CC36" s="228">
        <v>987</v>
      </c>
      <c r="CD36" s="228">
        <v>979</v>
      </c>
      <c r="CE36" s="228">
        <v>8</v>
      </c>
      <c r="CF36" s="229">
        <v>8.6999999999999994E-3</v>
      </c>
      <c r="CG36" s="228">
        <v>56</v>
      </c>
      <c r="CH36" s="228">
        <v>45</v>
      </c>
      <c r="CI36" s="228">
        <v>11</v>
      </c>
      <c r="CJ36" s="229">
        <v>0.23649999999999999</v>
      </c>
      <c r="CK36" s="228">
        <v>8</v>
      </c>
      <c r="CL36" s="228">
        <v>9</v>
      </c>
      <c r="CM36" s="228">
        <v>-1</v>
      </c>
      <c r="CN36" s="229">
        <v>-7.4399999999999994E-2</v>
      </c>
      <c r="CO36" s="228">
        <v>726</v>
      </c>
      <c r="CP36" s="228">
        <v>728</v>
      </c>
      <c r="CQ36" s="228">
        <v>-3</v>
      </c>
      <c r="CR36" s="229">
        <v>-3.5000000000000001E-3</v>
      </c>
      <c r="CS36" s="228">
        <v>415</v>
      </c>
      <c r="CT36" s="228">
        <v>418</v>
      </c>
      <c r="CU36" s="228">
        <v>-3</v>
      </c>
      <c r="CV36" s="229">
        <v>-7.4000000000000003E-3</v>
      </c>
      <c r="CW36" s="230">
        <v>2192</v>
      </c>
      <c r="CX36" s="230">
        <v>2179</v>
      </c>
      <c r="CY36" s="228">
        <v>13</v>
      </c>
      <c r="CZ36" s="229">
        <v>6.0000000000000001E-3</v>
      </c>
      <c r="DA36" s="228">
        <v>23.14</v>
      </c>
      <c r="DB36" s="228">
        <v>24.31</v>
      </c>
      <c r="DC36" s="228">
        <v>-1.17</v>
      </c>
      <c r="DD36" s="228">
        <v>-1.17</v>
      </c>
      <c r="DE36" s="228">
        <v>32.479999999999997</v>
      </c>
      <c r="DF36" s="228">
        <v>32.5</v>
      </c>
      <c r="DG36" s="228">
        <v>-9.34</v>
      </c>
      <c r="DH36" s="228">
        <v>-0.02</v>
      </c>
      <c r="DI36" s="228">
        <v>23.07</v>
      </c>
      <c r="DJ36" s="228">
        <v>24.24</v>
      </c>
      <c r="DK36" s="228">
        <v>-1.17</v>
      </c>
      <c r="DL36" s="228">
        <v>-1.17</v>
      </c>
      <c r="DM36" s="228">
        <v>23.3</v>
      </c>
      <c r="DN36" s="228">
        <v>24.55</v>
      </c>
      <c r="DO36" s="228">
        <v>-1.25</v>
      </c>
      <c r="DP36" s="228">
        <v>-1.25</v>
      </c>
      <c r="DQ36" s="228">
        <v>0.56999999999999995</v>
      </c>
      <c r="DR36" s="228">
        <v>0.56999999999999995</v>
      </c>
      <c r="DS36" s="228">
        <v>0</v>
      </c>
      <c r="DT36" s="229">
        <v>0</v>
      </c>
      <c r="DU36" s="228">
        <v>370</v>
      </c>
      <c r="DV36" s="228">
        <v>320</v>
      </c>
      <c r="DW36" s="228">
        <v>0.42</v>
      </c>
      <c r="DX36" s="228">
        <v>0.27</v>
      </c>
      <c r="DY36" s="228">
        <v>0.15</v>
      </c>
      <c r="DZ36" s="229">
        <v>0.55559999999999998</v>
      </c>
      <c r="EA36" s="229">
        <v>6.0999999999999999E-2</v>
      </c>
      <c r="EB36" s="230">
        <v>1483225</v>
      </c>
      <c r="EC36" s="229">
        <v>4.1000000000000003E-3</v>
      </c>
      <c r="ED36" s="229">
        <v>6.0999999999999999E-2</v>
      </c>
      <c r="EE36" s="228">
        <v>1.41</v>
      </c>
      <c r="EF36" s="229">
        <v>3.8999999999999998E-3</v>
      </c>
      <c r="EG36" s="230">
        <v>2266597</v>
      </c>
      <c r="EH36" s="230">
        <v>3727458</v>
      </c>
      <c r="EI36" s="229">
        <v>-0.39190000000000003</v>
      </c>
      <c r="EJ36" s="229">
        <v>0.53369999999999995</v>
      </c>
      <c r="EK36" s="228">
        <v>764.63</v>
      </c>
      <c r="EL36" s="228">
        <v>311.41000000000003</v>
      </c>
      <c r="EM36" s="228">
        <v>168.95</v>
      </c>
      <c r="EN36" s="228">
        <v>36.11</v>
      </c>
      <c r="EO36" s="231">
        <v>1244.98</v>
      </c>
      <c r="EP36" s="231">
        <v>2547.4</v>
      </c>
      <c r="EQ36" s="231">
        <v>-1302.42</v>
      </c>
      <c r="ER36" s="229">
        <v>-0.51129999999999998</v>
      </c>
      <c r="ES36" s="228">
        <v>751.52</v>
      </c>
      <c r="ET36" s="228">
        <v>397.18</v>
      </c>
      <c r="EU36" s="231">
        <v>1051.49</v>
      </c>
      <c r="EV36" s="231">
        <v>281577339</v>
      </c>
      <c r="EW36" s="231">
        <v>2200.1999999999998</v>
      </c>
      <c r="EX36" s="231">
        <v>2198.92</v>
      </c>
      <c r="EY36" s="228">
        <v>1.28</v>
      </c>
      <c r="EZ36" s="229">
        <v>5.9999999999999995E-4</v>
      </c>
      <c r="FA36" s="229">
        <v>0.2135</v>
      </c>
      <c r="FB36" s="227" t="s">
        <v>567</v>
      </c>
      <c r="FC36">
        <f t="shared" si="0"/>
        <v>64</v>
      </c>
    </row>
    <row r="37" spans="1:159" ht="17.25" thickBot="1" x14ac:dyDescent="0.3">
      <c r="A37" s="226">
        <v>46009</v>
      </c>
      <c r="B37" s="227" t="s">
        <v>168</v>
      </c>
      <c r="C37" s="227" t="s">
        <v>195</v>
      </c>
      <c r="D37" s="228">
        <v>125</v>
      </c>
      <c r="E37" s="228">
        <v>12</v>
      </c>
      <c r="F37" s="231">
        <v>6048.5</v>
      </c>
      <c r="G37" s="231">
        <v>6100.5</v>
      </c>
      <c r="H37" s="228">
        <v>-52</v>
      </c>
      <c r="I37" s="229">
        <v>-8.5000000000000006E-3</v>
      </c>
      <c r="J37" s="231">
        <v>6040.5</v>
      </c>
      <c r="K37" s="231">
        <v>6096</v>
      </c>
      <c r="L37" s="228">
        <v>-55.5</v>
      </c>
      <c r="M37" s="229">
        <v>-9.1000000000000004E-3</v>
      </c>
      <c r="N37" s="231">
        <v>6048.5</v>
      </c>
      <c r="O37" s="231">
        <v>6100.5</v>
      </c>
      <c r="P37" s="228">
        <v>-52</v>
      </c>
      <c r="Q37" s="229">
        <v>-8.5000000000000006E-3</v>
      </c>
      <c r="R37" s="231">
        <v>6089</v>
      </c>
      <c r="S37" s="231">
        <v>6137.5</v>
      </c>
      <c r="T37" s="228">
        <v>-48.5</v>
      </c>
      <c r="U37" s="229">
        <v>-7.9000000000000008E-3</v>
      </c>
      <c r="V37" s="231">
        <v>6119</v>
      </c>
      <c r="W37" s="231">
        <v>6175</v>
      </c>
      <c r="X37" s="228">
        <v>-56</v>
      </c>
      <c r="Y37" s="229">
        <v>-9.1000000000000004E-3</v>
      </c>
      <c r="Z37" s="228">
        <v>8</v>
      </c>
      <c r="AA37" s="228">
        <v>4.5</v>
      </c>
      <c r="AB37" s="228">
        <v>3.5</v>
      </c>
      <c r="AC37" s="229">
        <v>1.2999999999999999E-3</v>
      </c>
      <c r="AD37" s="228">
        <v>8</v>
      </c>
      <c r="AE37" s="228">
        <v>4.5</v>
      </c>
      <c r="AF37" s="228">
        <v>3.5</v>
      </c>
      <c r="AG37" s="229">
        <v>1.2999999999999999E-3</v>
      </c>
      <c r="AH37" s="228">
        <v>48.5</v>
      </c>
      <c r="AI37" s="228">
        <v>41.5</v>
      </c>
      <c r="AJ37" s="228">
        <v>7</v>
      </c>
      <c r="AK37" s="229">
        <v>8.0000000000000002E-3</v>
      </c>
      <c r="AL37" s="228">
        <v>78.5</v>
      </c>
      <c r="AM37" s="228">
        <v>79</v>
      </c>
      <c r="AN37" s="228">
        <v>-0.5</v>
      </c>
      <c r="AO37" s="229">
        <v>1.2999999999999999E-2</v>
      </c>
      <c r="AP37" s="231">
        <v>6069.08</v>
      </c>
      <c r="AQ37" s="231">
        <v>6097.8</v>
      </c>
      <c r="AR37" s="228">
        <v>0</v>
      </c>
      <c r="AS37" s="228">
        <v>215</v>
      </c>
      <c r="AT37" s="228">
        <v>149</v>
      </c>
      <c r="AU37" s="228">
        <v>65</v>
      </c>
      <c r="AV37" s="229">
        <v>0.4365</v>
      </c>
      <c r="AW37" s="228">
        <v>175</v>
      </c>
      <c r="AX37" s="228">
        <v>139</v>
      </c>
      <c r="AY37" s="228">
        <v>36</v>
      </c>
      <c r="AZ37" s="229">
        <v>0.26169999999999999</v>
      </c>
      <c r="BA37" s="228">
        <v>39</v>
      </c>
      <c r="BB37" s="228">
        <v>10</v>
      </c>
      <c r="BC37" s="228">
        <v>29</v>
      </c>
      <c r="BD37" s="229">
        <v>2.7664</v>
      </c>
      <c r="BE37" s="228">
        <v>1</v>
      </c>
      <c r="BF37" s="228">
        <v>0</v>
      </c>
      <c r="BG37" s="228">
        <v>0</v>
      </c>
      <c r="BH37" s="229">
        <v>0.66669999999999996</v>
      </c>
      <c r="BI37" s="230">
        <v>1605</v>
      </c>
      <c r="BJ37" s="230">
        <v>1185</v>
      </c>
      <c r="BK37" s="228">
        <v>421</v>
      </c>
      <c r="BL37" s="229">
        <v>0.35520000000000002</v>
      </c>
      <c r="BM37" s="228">
        <v>580</v>
      </c>
      <c r="BN37" s="228">
        <v>431</v>
      </c>
      <c r="BO37" s="228">
        <v>149</v>
      </c>
      <c r="BP37" s="229">
        <v>0.34699999999999998</v>
      </c>
      <c r="BQ37" s="230">
        <v>2400</v>
      </c>
      <c r="BR37" s="230">
        <v>1765</v>
      </c>
      <c r="BS37" s="228">
        <v>635</v>
      </c>
      <c r="BT37" s="229">
        <v>0.36009999999999998</v>
      </c>
      <c r="BU37" s="230">
        <v>202854</v>
      </c>
      <c r="BV37" s="230">
        <v>303359</v>
      </c>
      <c r="BW37" s="230">
        <v>-100505</v>
      </c>
      <c r="BX37" s="229">
        <v>-0.33129999999999998</v>
      </c>
      <c r="BY37" s="230">
        <v>1665</v>
      </c>
      <c r="BZ37" s="230">
        <v>1636</v>
      </c>
      <c r="CA37" s="228">
        <v>29</v>
      </c>
      <c r="CB37" s="229">
        <v>1.7600000000000001E-2</v>
      </c>
      <c r="CC37" s="230">
        <v>1611</v>
      </c>
      <c r="CD37" s="230">
        <v>1606</v>
      </c>
      <c r="CE37" s="228">
        <v>6</v>
      </c>
      <c r="CF37" s="229">
        <v>3.5999999999999999E-3</v>
      </c>
      <c r="CG37" s="228">
        <v>51</v>
      </c>
      <c r="CH37" s="228">
        <v>29</v>
      </c>
      <c r="CI37" s="228">
        <v>22</v>
      </c>
      <c r="CJ37" s="229">
        <v>0.78779999999999994</v>
      </c>
      <c r="CK37" s="228">
        <v>2</v>
      </c>
      <c r="CL37" s="228">
        <v>2</v>
      </c>
      <c r="CM37" s="228">
        <v>0</v>
      </c>
      <c r="CN37" s="229">
        <v>0.23080000000000001</v>
      </c>
      <c r="CO37" s="228">
        <v>814</v>
      </c>
      <c r="CP37" s="228">
        <v>764</v>
      </c>
      <c r="CQ37" s="228">
        <v>50</v>
      </c>
      <c r="CR37" s="229">
        <v>6.5199999999999994E-2</v>
      </c>
      <c r="CS37" s="228">
        <v>478</v>
      </c>
      <c r="CT37" s="228">
        <v>486</v>
      </c>
      <c r="CU37" s="228">
        <v>-7</v>
      </c>
      <c r="CV37" s="229">
        <v>-1.5299999999999999E-2</v>
      </c>
      <c r="CW37" s="230">
        <v>2957</v>
      </c>
      <c r="CX37" s="230">
        <v>2886</v>
      </c>
      <c r="CY37" s="228">
        <v>71</v>
      </c>
      <c r="CZ37" s="229">
        <v>2.47E-2</v>
      </c>
      <c r="DA37" s="228">
        <v>17.760000000000002</v>
      </c>
      <c r="DB37" s="228">
        <v>18.75</v>
      </c>
      <c r="DC37" s="228">
        <v>-0.99</v>
      </c>
      <c r="DD37" s="228">
        <v>-0.99</v>
      </c>
      <c r="DE37" s="228">
        <v>24.14</v>
      </c>
      <c r="DF37" s="228">
        <v>24.17</v>
      </c>
      <c r="DG37" s="228">
        <v>-6.38</v>
      </c>
      <c r="DH37" s="228">
        <v>-0.03</v>
      </c>
      <c r="DI37" s="228">
        <v>17.899999999999999</v>
      </c>
      <c r="DJ37" s="228">
        <v>18.72</v>
      </c>
      <c r="DK37" s="228">
        <v>-0.82</v>
      </c>
      <c r="DL37" s="228">
        <v>-0.82</v>
      </c>
      <c r="DM37" s="228">
        <v>17.399999999999999</v>
      </c>
      <c r="DN37" s="228">
        <v>18.809999999999999</v>
      </c>
      <c r="DO37" s="228">
        <v>-1.41</v>
      </c>
      <c r="DP37" s="228">
        <v>-1.41</v>
      </c>
      <c r="DQ37" s="228">
        <v>0.59</v>
      </c>
      <c r="DR37" s="228">
        <v>0.64</v>
      </c>
      <c r="DS37" s="228">
        <v>-0.05</v>
      </c>
      <c r="DT37" s="229">
        <v>-7.8100000000000003E-2</v>
      </c>
      <c r="DU37" s="231">
        <v>6200</v>
      </c>
      <c r="DV37" s="231">
        <v>5800</v>
      </c>
      <c r="DW37" s="228">
        <v>0.36</v>
      </c>
      <c r="DX37" s="228">
        <v>0.36</v>
      </c>
      <c r="DY37" s="228">
        <v>0</v>
      </c>
      <c r="DZ37" s="229">
        <v>0</v>
      </c>
      <c r="EA37" s="229">
        <v>3.2099999999999997E-2</v>
      </c>
      <c r="EB37" s="230">
        <v>50375</v>
      </c>
      <c r="EC37" s="229">
        <v>6.7000000000000002E-3</v>
      </c>
      <c r="ED37" s="229">
        <v>3.2099999999999997E-2</v>
      </c>
      <c r="EE37" s="228">
        <v>28.72</v>
      </c>
      <c r="EF37" s="229">
        <v>4.7000000000000002E-3</v>
      </c>
      <c r="EG37" s="230">
        <v>91203</v>
      </c>
      <c r="EH37" s="230">
        <v>213320</v>
      </c>
      <c r="EI37" s="229">
        <v>-0.57250000000000001</v>
      </c>
      <c r="EJ37" s="229">
        <v>0.4496</v>
      </c>
      <c r="EK37" s="231">
        <v>1652.76</v>
      </c>
      <c r="EL37" s="228">
        <v>575.66999999999996</v>
      </c>
      <c r="EM37" s="228">
        <v>215.65</v>
      </c>
      <c r="EN37" s="228">
        <v>24.73</v>
      </c>
      <c r="EO37" s="231">
        <v>2444.0700000000002</v>
      </c>
      <c r="EP37" s="231">
        <v>1802.61</v>
      </c>
      <c r="EQ37" s="228">
        <v>641.46</v>
      </c>
      <c r="ER37" s="229">
        <v>0.35580000000000001</v>
      </c>
      <c r="ES37" s="228">
        <v>843.66</v>
      </c>
      <c r="ET37" s="228">
        <v>454.21</v>
      </c>
      <c r="EU37" s="231">
        <v>1665.14</v>
      </c>
      <c r="EV37" s="231">
        <v>13082978</v>
      </c>
      <c r="EW37" s="231">
        <v>2963.02</v>
      </c>
      <c r="EX37" s="231">
        <v>2905.5</v>
      </c>
      <c r="EY37" s="228">
        <v>57.52</v>
      </c>
      <c r="EZ37" s="229">
        <v>1.9800000000000002E-2</v>
      </c>
      <c r="FA37" s="229">
        <v>0.37369999999999998</v>
      </c>
      <c r="FB37" s="227" t="s">
        <v>567</v>
      </c>
      <c r="FC37">
        <f t="shared" si="0"/>
        <v>54</v>
      </c>
    </row>
    <row r="38" spans="1:159" ht="17.25" thickBot="1" x14ac:dyDescent="0.3">
      <c r="A38" s="226">
        <v>46009</v>
      </c>
      <c r="B38" s="227" t="s">
        <v>175</v>
      </c>
      <c r="C38" s="227" t="s">
        <v>584</v>
      </c>
      <c r="D38" s="228">
        <v>375</v>
      </c>
      <c r="E38" s="228">
        <v>12</v>
      </c>
      <c r="F38" s="231">
        <v>2688.9</v>
      </c>
      <c r="G38" s="231">
        <v>2633.5</v>
      </c>
      <c r="H38" s="228">
        <v>55.4</v>
      </c>
      <c r="I38" s="229">
        <v>2.1000000000000001E-2</v>
      </c>
      <c r="J38" s="231">
        <v>2682.9</v>
      </c>
      <c r="K38" s="231">
        <v>2630.5</v>
      </c>
      <c r="L38" s="228">
        <v>52.4</v>
      </c>
      <c r="M38" s="229">
        <v>1.9900000000000001E-2</v>
      </c>
      <c r="N38" s="231">
        <v>2688.9</v>
      </c>
      <c r="O38" s="231">
        <v>2633.5</v>
      </c>
      <c r="P38" s="228">
        <v>55.4</v>
      </c>
      <c r="Q38" s="229">
        <v>2.1000000000000001E-2</v>
      </c>
      <c r="R38" s="231">
        <v>2706</v>
      </c>
      <c r="S38" s="231">
        <v>2647.1</v>
      </c>
      <c r="T38" s="228">
        <v>58.9</v>
      </c>
      <c r="U38" s="229">
        <v>2.23E-2</v>
      </c>
      <c r="V38" s="231">
        <v>2722.8</v>
      </c>
      <c r="W38" s="231">
        <v>2661.9</v>
      </c>
      <c r="X38" s="228">
        <v>60.9</v>
      </c>
      <c r="Y38" s="229">
        <v>2.29E-2</v>
      </c>
      <c r="Z38" s="228">
        <v>6</v>
      </c>
      <c r="AA38" s="228">
        <v>3</v>
      </c>
      <c r="AB38" s="228">
        <v>3</v>
      </c>
      <c r="AC38" s="229">
        <v>2.2000000000000001E-3</v>
      </c>
      <c r="AD38" s="228">
        <v>6</v>
      </c>
      <c r="AE38" s="228">
        <v>3</v>
      </c>
      <c r="AF38" s="228">
        <v>3</v>
      </c>
      <c r="AG38" s="229">
        <v>2.2000000000000001E-3</v>
      </c>
      <c r="AH38" s="228">
        <v>23.1</v>
      </c>
      <c r="AI38" s="228">
        <v>16.600000000000001</v>
      </c>
      <c r="AJ38" s="228">
        <v>6.5</v>
      </c>
      <c r="AK38" s="229">
        <v>8.6E-3</v>
      </c>
      <c r="AL38" s="228">
        <v>39.9</v>
      </c>
      <c r="AM38" s="228">
        <v>31.4</v>
      </c>
      <c r="AN38" s="228">
        <v>8.5</v>
      </c>
      <c r="AO38" s="229">
        <v>1.49E-2</v>
      </c>
      <c r="AP38" s="231">
        <v>2680.96</v>
      </c>
      <c r="AQ38" s="231">
        <v>2701.4</v>
      </c>
      <c r="AR38" s="228">
        <v>0</v>
      </c>
      <c r="AS38" s="230">
        <v>1225</v>
      </c>
      <c r="AT38" s="230">
        <v>1095</v>
      </c>
      <c r="AU38" s="228">
        <v>130</v>
      </c>
      <c r="AV38" s="229">
        <v>0.1188</v>
      </c>
      <c r="AW38" s="228">
        <v>962</v>
      </c>
      <c r="AX38" s="228">
        <v>904</v>
      </c>
      <c r="AY38" s="228">
        <v>58</v>
      </c>
      <c r="AZ38" s="229">
        <v>6.4100000000000004E-2</v>
      </c>
      <c r="BA38" s="228">
        <v>252</v>
      </c>
      <c r="BB38" s="228">
        <v>182</v>
      </c>
      <c r="BC38" s="228">
        <v>70</v>
      </c>
      <c r="BD38" s="229">
        <v>0.38490000000000002</v>
      </c>
      <c r="BE38" s="228">
        <v>11</v>
      </c>
      <c r="BF38" s="228">
        <v>9</v>
      </c>
      <c r="BG38" s="228">
        <v>2</v>
      </c>
      <c r="BH38" s="229">
        <v>0.23080000000000001</v>
      </c>
      <c r="BI38" s="230">
        <v>8355</v>
      </c>
      <c r="BJ38" s="230">
        <v>6749</v>
      </c>
      <c r="BK38" s="230">
        <v>1606</v>
      </c>
      <c r="BL38" s="229">
        <v>0.2379</v>
      </c>
      <c r="BM38" s="230">
        <v>4031</v>
      </c>
      <c r="BN38" s="230">
        <v>3593</v>
      </c>
      <c r="BO38" s="228">
        <v>438</v>
      </c>
      <c r="BP38" s="229">
        <v>0.12189999999999999</v>
      </c>
      <c r="BQ38" s="230">
        <v>13611</v>
      </c>
      <c r="BR38" s="230">
        <v>11437</v>
      </c>
      <c r="BS38" s="230">
        <v>2174</v>
      </c>
      <c r="BT38" s="229">
        <v>0.19</v>
      </c>
      <c r="BU38" s="230">
        <v>4500860</v>
      </c>
      <c r="BV38" s="230">
        <v>4201851</v>
      </c>
      <c r="BW38" s="230">
        <v>299009</v>
      </c>
      <c r="BX38" s="229">
        <v>7.1199999999999999E-2</v>
      </c>
      <c r="BY38" s="230">
        <v>3124</v>
      </c>
      <c r="BZ38" s="230">
        <v>3149</v>
      </c>
      <c r="CA38" s="228">
        <v>-25</v>
      </c>
      <c r="CB38" s="229">
        <v>-8.0000000000000002E-3</v>
      </c>
      <c r="CC38" s="230">
        <v>2627</v>
      </c>
      <c r="CD38" s="230">
        <v>2741</v>
      </c>
      <c r="CE38" s="228">
        <v>-114</v>
      </c>
      <c r="CF38" s="229">
        <v>-4.1500000000000002E-2</v>
      </c>
      <c r="CG38" s="228">
        <v>446</v>
      </c>
      <c r="CH38" s="228">
        <v>357</v>
      </c>
      <c r="CI38" s="228">
        <v>89</v>
      </c>
      <c r="CJ38" s="229">
        <v>0.2492</v>
      </c>
      <c r="CK38" s="228">
        <v>50</v>
      </c>
      <c r="CL38" s="228">
        <v>51</v>
      </c>
      <c r="CM38" s="228">
        <v>-1</v>
      </c>
      <c r="CN38" s="229">
        <v>-1.3899999999999999E-2</v>
      </c>
      <c r="CO38" s="230">
        <v>3525</v>
      </c>
      <c r="CP38" s="230">
        <v>4018</v>
      </c>
      <c r="CQ38" s="228">
        <v>-493</v>
      </c>
      <c r="CR38" s="229">
        <v>-0.12280000000000001</v>
      </c>
      <c r="CS38" s="230">
        <v>1952</v>
      </c>
      <c r="CT38" s="230">
        <v>2029</v>
      </c>
      <c r="CU38" s="228">
        <v>-77</v>
      </c>
      <c r="CV38" s="229">
        <v>-3.7900000000000003E-2</v>
      </c>
      <c r="CW38" s="230">
        <v>8600</v>
      </c>
      <c r="CX38" s="230">
        <v>9196</v>
      </c>
      <c r="CY38" s="228">
        <v>-595</v>
      </c>
      <c r="CZ38" s="229">
        <v>-6.4699999999999994E-2</v>
      </c>
      <c r="DA38" s="228">
        <v>35.46</v>
      </c>
      <c r="DB38" s="228">
        <v>39.08</v>
      </c>
      <c r="DC38" s="228">
        <v>-3.62</v>
      </c>
      <c r="DD38" s="228">
        <v>-3.62</v>
      </c>
      <c r="DE38" s="228">
        <v>60.53</v>
      </c>
      <c r="DF38" s="228">
        <v>60.62</v>
      </c>
      <c r="DG38" s="228">
        <v>-25.07</v>
      </c>
      <c r="DH38" s="228">
        <v>-0.09</v>
      </c>
      <c r="DI38" s="228">
        <v>35.17</v>
      </c>
      <c r="DJ38" s="228">
        <v>39.340000000000003</v>
      </c>
      <c r="DK38" s="228">
        <v>-4.17</v>
      </c>
      <c r="DL38" s="228">
        <v>-4.17</v>
      </c>
      <c r="DM38" s="228">
        <v>36.06</v>
      </c>
      <c r="DN38" s="228">
        <v>38.57</v>
      </c>
      <c r="DO38" s="228">
        <v>-2.5099999999999998</v>
      </c>
      <c r="DP38" s="228">
        <v>-2.5099999999999998</v>
      </c>
      <c r="DQ38" s="228">
        <v>0.55000000000000004</v>
      </c>
      <c r="DR38" s="228">
        <v>0.5</v>
      </c>
      <c r="DS38" s="228">
        <v>0.05</v>
      </c>
      <c r="DT38" s="229">
        <v>0.1</v>
      </c>
      <c r="DU38" s="231">
        <v>3000</v>
      </c>
      <c r="DV38" s="231">
        <v>2600</v>
      </c>
      <c r="DW38" s="228">
        <v>0.48</v>
      </c>
      <c r="DX38" s="228">
        <v>0.53</v>
      </c>
      <c r="DY38" s="228">
        <v>-0.05</v>
      </c>
      <c r="DZ38" s="229">
        <v>-9.4299999999999995E-2</v>
      </c>
      <c r="EA38" s="229">
        <v>0.15890000000000001</v>
      </c>
      <c r="EB38" s="230">
        <v>1517625</v>
      </c>
      <c r="EC38" s="229">
        <v>6.4000000000000003E-3</v>
      </c>
      <c r="ED38" s="229">
        <v>0.15890000000000001</v>
      </c>
      <c r="EE38" s="228">
        <v>20.440000000000001</v>
      </c>
      <c r="EF38" s="229">
        <v>7.6E-3</v>
      </c>
      <c r="EG38" s="230">
        <v>1089457</v>
      </c>
      <c r="EH38" s="230">
        <v>1141181</v>
      </c>
      <c r="EI38" s="229">
        <v>-4.53E-2</v>
      </c>
      <c r="EJ38" s="229">
        <v>0.24210000000000001</v>
      </c>
      <c r="EK38" s="231">
        <v>8794.9699999999993</v>
      </c>
      <c r="EL38" s="231">
        <v>3899.09</v>
      </c>
      <c r="EM38" s="231">
        <v>1223.58</v>
      </c>
      <c r="EN38" s="228">
        <v>112.5</v>
      </c>
      <c r="EO38" s="231">
        <v>13917.63</v>
      </c>
      <c r="EP38" s="231">
        <v>11584.29</v>
      </c>
      <c r="EQ38" s="231">
        <v>2333.34</v>
      </c>
      <c r="ER38" s="229">
        <v>0.2014</v>
      </c>
      <c r="ES38" s="231">
        <v>3789.12</v>
      </c>
      <c r="ET38" s="231">
        <v>1887.62</v>
      </c>
      <c r="EU38" s="231">
        <v>3127.3</v>
      </c>
      <c r="EV38" s="231">
        <v>48385387</v>
      </c>
      <c r="EW38" s="231">
        <v>8804.0400000000009</v>
      </c>
      <c r="EX38" s="231">
        <v>9343.44</v>
      </c>
      <c r="EY38" s="228">
        <v>-539.4</v>
      </c>
      <c r="EZ38" s="229">
        <v>-5.7700000000000001E-2</v>
      </c>
      <c r="FA38" s="229">
        <v>0.66100000000000003</v>
      </c>
      <c r="FB38" s="227" t="s">
        <v>556</v>
      </c>
      <c r="FC38">
        <f t="shared" si="0"/>
        <v>497</v>
      </c>
    </row>
    <row r="39" spans="1:159" ht="17.25" thickBot="1" x14ac:dyDescent="0.3">
      <c r="A39" s="226">
        <v>46009</v>
      </c>
      <c r="B39" s="227" t="s">
        <v>175</v>
      </c>
      <c r="C39" s="227" t="s">
        <v>611</v>
      </c>
      <c r="D39" s="228">
        <v>750</v>
      </c>
      <c r="E39" s="228">
        <v>12</v>
      </c>
      <c r="F39" s="228">
        <v>754</v>
      </c>
      <c r="G39" s="228">
        <v>735.2</v>
      </c>
      <c r="H39" s="228">
        <v>18.8</v>
      </c>
      <c r="I39" s="229">
        <v>2.5600000000000001E-2</v>
      </c>
      <c r="J39" s="228">
        <v>752.3</v>
      </c>
      <c r="K39" s="228">
        <v>733.8</v>
      </c>
      <c r="L39" s="228">
        <v>18.5</v>
      </c>
      <c r="M39" s="229">
        <v>2.52E-2</v>
      </c>
      <c r="N39" s="228">
        <v>754</v>
      </c>
      <c r="O39" s="228">
        <v>735.2</v>
      </c>
      <c r="P39" s="228">
        <v>18.8</v>
      </c>
      <c r="Q39" s="229">
        <v>2.5600000000000001E-2</v>
      </c>
      <c r="R39" s="228">
        <v>758.4</v>
      </c>
      <c r="S39" s="228">
        <v>740.1</v>
      </c>
      <c r="T39" s="228">
        <v>18.3</v>
      </c>
      <c r="U39" s="229">
        <v>2.47E-2</v>
      </c>
      <c r="V39" s="228">
        <v>758.2</v>
      </c>
      <c r="W39" s="228">
        <v>740.2</v>
      </c>
      <c r="X39" s="228">
        <v>18</v>
      </c>
      <c r="Y39" s="229">
        <v>2.4299999999999999E-2</v>
      </c>
      <c r="Z39" s="228">
        <v>1.7</v>
      </c>
      <c r="AA39" s="228">
        <v>1.4</v>
      </c>
      <c r="AB39" s="228">
        <v>0.3</v>
      </c>
      <c r="AC39" s="229">
        <v>2.3E-3</v>
      </c>
      <c r="AD39" s="228">
        <v>1.7</v>
      </c>
      <c r="AE39" s="228">
        <v>1.4</v>
      </c>
      <c r="AF39" s="228">
        <v>0.3</v>
      </c>
      <c r="AG39" s="229">
        <v>2.3E-3</v>
      </c>
      <c r="AH39" s="228">
        <v>6.1</v>
      </c>
      <c r="AI39" s="228">
        <v>6.3</v>
      </c>
      <c r="AJ39" s="228">
        <v>-0.2</v>
      </c>
      <c r="AK39" s="229">
        <v>8.0999999999999996E-3</v>
      </c>
      <c r="AL39" s="228">
        <v>5.9</v>
      </c>
      <c r="AM39" s="228">
        <v>6.4</v>
      </c>
      <c r="AN39" s="228">
        <v>-0.5</v>
      </c>
      <c r="AO39" s="229">
        <v>7.7999999999999996E-3</v>
      </c>
      <c r="AP39" s="228">
        <v>748.12</v>
      </c>
      <c r="AQ39" s="228">
        <v>751.32</v>
      </c>
      <c r="AR39" s="228">
        <v>0</v>
      </c>
      <c r="AS39" s="228">
        <v>323</v>
      </c>
      <c r="AT39" s="228">
        <v>193</v>
      </c>
      <c r="AU39" s="228">
        <v>131</v>
      </c>
      <c r="AV39" s="229">
        <v>0.67730000000000001</v>
      </c>
      <c r="AW39" s="228">
        <v>249</v>
      </c>
      <c r="AX39" s="228">
        <v>169</v>
      </c>
      <c r="AY39" s="228">
        <v>80</v>
      </c>
      <c r="AZ39" s="229">
        <v>0.47320000000000001</v>
      </c>
      <c r="BA39" s="228">
        <v>73</v>
      </c>
      <c r="BB39" s="228">
        <v>22</v>
      </c>
      <c r="BC39" s="228">
        <v>51</v>
      </c>
      <c r="BD39" s="229">
        <v>2.2785000000000002</v>
      </c>
      <c r="BE39" s="228">
        <v>1</v>
      </c>
      <c r="BF39" s="228">
        <v>1</v>
      </c>
      <c r="BG39" s="228">
        <v>0</v>
      </c>
      <c r="BH39" s="229">
        <v>-0.25</v>
      </c>
      <c r="BI39" s="228">
        <v>933</v>
      </c>
      <c r="BJ39" s="228">
        <v>229</v>
      </c>
      <c r="BK39" s="228">
        <v>704</v>
      </c>
      <c r="BL39" s="229">
        <v>3.0771000000000002</v>
      </c>
      <c r="BM39" s="228">
        <v>286</v>
      </c>
      <c r="BN39" s="228">
        <v>216</v>
      </c>
      <c r="BO39" s="228">
        <v>70</v>
      </c>
      <c r="BP39" s="229">
        <v>0.32629999999999998</v>
      </c>
      <c r="BQ39" s="230">
        <v>1543</v>
      </c>
      <c r="BR39" s="228">
        <v>637</v>
      </c>
      <c r="BS39" s="228">
        <v>905</v>
      </c>
      <c r="BT39" s="229">
        <v>1.4200999999999999</v>
      </c>
      <c r="BU39" s="230">
        <v>2642150</v>
      </c>
      <c r="BV39" s="230">
        <v>784421</v>
      </c>
      <c r="BW39" s="230">
        <v>1857729</v>
      </c>
      <c r="BX39" s="229">
        <v>2.3683000000000001</v>
      </c>
      <c r="BY39" s="228">
        <v>705</v>
      </c>
      <c r="BZ39" s="228">
        <v>703</v>
      </c>
      <c r="CA39" s="228">
        <v>2</v>
      </c>
      <c r="CB39" s="229">
        <v>3.0999999999999999E-3</v>
      </c>
      <c r="CC39" s="228">
        <v>587</v>
      </c>
      <c r="CD39" s="228">
        <v>604</v>
      </c>
      <c r="CE39" s="228">
        <v>-17</v>
      </c>
      <c r="CF39" s="229">
        <v>-2.7400000000000001E-2</v>
      </c>
      <c r="CG39" s="228">
        <v>110</v>
      </c>
      <c r="CH39" s="228">
        <v>91</v>
      </c>
      <c r="CI39" s="228">
        <v>19</v>
      </c>
      <c r="CJ39" s="229">
        <v>0.20760000000000001</v>
      </c>
      <c r="CK39" s="228">
        <v>9</v>
      </c>
      <c r="CL39" s="228">
        <v>9</v>
      </c>
      <c r="CM39" s="228">
        <v>0</v>
      </c>
      <c r="CN39" s="229">
        <v>-6.6E-3</v>
      </c>
      <c r="CO39" s="228">
        <v>461</v>
      </c>
      <c r="CP39" s="228">
        <v>446</v>
      </c>
      <c r="CQ39" s="228">
        <v>15</v>
      </c>
      <c r="CR39" s="229">
        <v>3.4099999999999998E-2</v>
      </c>
      <c r="CS39" s="228">
        <v>293</v>
      </c>
      <c r="CT39" s="228">
        <v>291</v>
      </c>
      <c r="CU39" s="228">
        <v>2</v>
      </c>
      <c r="CV39" s="229">
        <v>7.1999999999999998E-3</v>
      </c>
      <c r="CW39" s="230">
        <v>1459</v>
      </c>
      <c r="CX39" s="230">
        <v>1440</v>
      </c>
      <c r="CY39" s="228">
        <v>20</v>
      </c>
      <c r="CZ39" s="229">
        <v>1.35E-2</v>
      </c>
      <c r="DA39" s="228">
        <v>26.28</v>
      </c>
      <c r="DB39" s="228">
        <v>29.44</v>
      </c>
      <c r="DC39" s="228">
        <v>-3.16</v>
      </c>
      <c r="DD39" s="228">
        <v>-3.16</v>
      </c>
      <c r="DE39" s="228">
        <v>40.64</v>
      </c>
      <c r="DF39" s="228">
        <v>40.6</v>
      </c>
      <c r="DG39" s="228">
        <v>-14.36</v>
      </c>
      <c r="DH39" s="228">
        <v>0.04</v>
      </c>
      <c r="DI39" s="228">
        <v>26.22</v>
      </c>
      <c r="DJ39" s="228">
        <v>29.9</v>
      </c>
      <c r="DK39" s="228">
        <v>-3.68</v>
      </c>
      <c r="DL39" s="228">
        <v>-3.68</v>
      </c>
      <c r="DM39" s="228">
        <v>26.46</v>
      </c>
      <c r="DN39" s="228">
        <v>28.96</v>
      </c>
      <c r="DO39" s="228">
        <v>-2.5</v>
      </c>
      <c r="DP39" s="228">
        <v>-2.5</v>
      </c>
      <c r="DQ39" s="228">
        <v>0.64</v>
      </c>
      <c r="DR39" s="228">
        <v>0.65</v>
      </c>
      <c r="DS39" s="228">
        <v>-0.01</v>
      </c>
      <c r="DT39" s="229">
        <v>-1.54E-2</v>
      </c>
      <c r="DU39" s="228">
        <v>800</v>
      </c>
      <c r="DV39" s="228">
        <v>750</v>
      </c>
      <c r="DW39" s="228">
        <v>0.31</v>
      </c>
      <c r="DX39" s="228">
        <v>0.94</v>
      </c>
      <c r="DY39" s="228">
        <v>-0.63</v>
      </c>
      <c r="DZ39" s="229">
        <v>-0.67020000000000002</v>
      </c>
      <c r="EA39" s="229">
        <v>0.16739999999999999</v>
      </c>
      <c r="EB39" s="230">
        <v>1317000</v>
      </c>
      <c r="EC39" s="229">
        <v>5.7999999999999996E-3</v>
      </c>
      <c r="ED39" s="229">
        <v>0.16739999999999999</v>
      </c>
      <c r="EE39" s="228">
        <v>3.2</v>
      </c>
      <c r="EF39" s="229">
        <v>4.3E-3</v>
      </c>
      <c r="EG39" s="230">
        <v>899797</v>
      </c>
      <c r="EH39" s="230">
        <v>336618</v>
      </c>
      <c r="EI39" s="229">
        <v>1.6731</v>
      </c>
      <c r="EJ39" s="229">
        <v>0.34060000000000001</v>
      </c>
      <c r="EK39" s="228">
        <v>964.17</v>
      </c>
      <c r="EL39" s="228">
        <v>282.17</v>
      </c>
      <c r="EM39" s="228">
        <v>321.14999999999998</v>
      </c>
      <c r="EN39" s="228">
        <v>20.16</v>
      </c>
      <c r="EO39" s="231">
        <v>1567.49</v>
      </c>
      <c r="EP39" s="228">
        <v>640.08000000000004</v>
      </c>
      <c r="EQ39" s="228">
        <v>927.41</v>
      </c>
      <c r="ER39" s="229">
        <v>1.4489000000000001</v>
      </c>
      <c r="ES39" s="228">
        <v>490.1</v>
      </c>
      <c r="ET39" s="228">
        <v>292.44</v>
      </c>
      <c r="EU39" s="228">
        <v>705.98</v>
      </c>
      <c r="EV39" s="231">
        <v>37106075</v>
      </c>
      <c r="EW39" s="231">
        <v>1488.52</v>
      </c>
      <c r="EX39" s="231">
        <v>1452.24</v>
      </c>
      <c r="EY39" s="228">
        <v>36.28</v>
      </c>
      <c r="EZ39" s="229">
        <v>2.5000000000000001E-2</v>
      </c>
      <c r="FA39" s="229">
        <v>0.52170000000000005</v>
      </c>
      <c r="FB39" s="227" t="s">
        <v>555</v>
      </c>
      <c r="FC39">
        <f t="shared" si="0"/>
        <v>118</v>
      </c>
    </row>
    <row r="40" spans="1:159" ht="17.25" thickBot="1" x14ac:dyDescent="0.3">
      <c r="A40" s="226">
        <v>46009</v>
      </c>
      <c r="B40" s="227" t="s">
        <v>172</v>
      </c>
      <c r="C40" s="227" t="s">
        <v>196</v>
      </c>
      <c r="D40" s="228">
        <v>6750</v>
      </c>
      <c r="E40" s="228">
        <v>12</v>
      </c>
      <c r="F40" s="228">
        <v>149.69999999999999</v>
      </c>
      <c r="G40" s="228">
        <v>150.35</v>
      </c>
      <c r="H40" s="228">
        <v>-0.65</v>
      </c>
      <c r="I40" s="229">
        <v>-4.3E-3</v>
      </c>
      <c r="J40" s="228">
        <v>149.83000000000001</v>
      </c>
      <c r="K40" s="228">
        <v>150.21</v>
      </c>
      <c r="L40" s="228">
        <v>-0.38</v>
      </c>
      <c r="M40" s="229">
        <v>-2.5000000000000001E-3</v>
      </c>
      <c r="N40" s="228">
        <v>149.69999999999999</v>
      </c>
      <c r="O40" s="228">
        <v>150.35</v>
      </c>
      <c r="P40" s="228">
        <v>-0.65</v>
      </c>
      <c r="Q40" s="229">
        <v>-4.3E-3</v>
      </c>
      <c r="R40" s="228">
        <v>150.41999999999999</v>
      </c>
      <c r="S40" s="228">
        <v>150.99</v>
      </c>
      <c r="T40" s="228">
        <v>-0.56999999999999995</v>
      </c>
      <c r="U40" s="229">
        <v>-3.8E-3</v>
      </c>
      <c r="V40" s="228">
        <v>151.18</v>
      </c>
      <c r="W40" s="228">
        <v>151.75</v>
      </c>
      <c r="X40" s="228">
        <v>-0.56999999999999995</v>
      </c>
      <c r="Y40" s="229">
        <v>-3.8E-3</v>
      </c>
      <c r="Z40" s="228">
        <v>-0.13</v>
      </c>
      <c r="AA40" s="228">
        <v>0.14000000000000001</v>
      </c>
      <c r="AB40" s="228">
        <v>-0.27</v>
      </c>
      <c r="AC40" s="229">
        <v>-8.9999999999999998E-4</v>
      </c>
      <c r="AD40" s="228">
        <v>-0.13</v>
      </c>
      <c r="AE40" s="228">
        <v>0.14000000000000001</v>
      </c>
      <c r="AF40" s="228">
        <v>-0.27</v>
      </c>
      <c r="AG40" s="229">
        <v>-8.9999999999999998E-4</v>
      </c>
      <c r="AH40" s="228">
        <v>0.59</v>
      </c>
      <c r="AI40" s="228">
        <v>0.78</v>
      </c>
      <c r="AJ40" s="228">
        <v>-0.19</v>
      </c>
      <c r="AK40" s="229">
        <v>3.8999999999999998E-3</v>
      </c>
      <c r="AL40" s="228">
        <v>1.35</v>
      </c>
      <c r="AM40" s="228">
        <v>1.54</v>
      </c>
      <c r="AN40" s="228">
        <v>-0.19</v>
      </c>
      <c r="AO40" s="229">
        <v>8.9999999999999993E-3</v>
      </c>
      <c r="AP40" s="228">
        <v>149.72</v>
      </c>
      <c r="AQ40" s="228">
        <v>150.43</v>
      </c>
      <c r="AR40" s="228">
        <v>0</v>
      </c>
      <c r="AS40" s="228">
        <v>537</v>
      </c>
      <c r="AT40" s="228">
        <v>807</v>
      </c>
      <c r="AU40" s="228">
        <v>-270</v>
      </c>
      <c r="AV40" s="229">
        <v>-0.3347</v>
      </c>
      <c r="AW40" s="228">
        <v>426</v>
      </c>
      <c r="AX40" s="228">
        <v>652</v>
      </c>
      <c r="AY40" s="228">
        <v>-226</v>
      </c>
      <c r="AZ40" s="229">
        <v>-0.3463</v>
      </c>
      <c r="BA40" s="228">
        <v>100</v>
      </c>
      <c r="BB40" s="228">
        <v>142</v>
      </c>
      <c r="BC40" s="228">
        <v>-42</v>
      </c>
      <c r="BD40" s="229">
        <v>-0.29549999999999998</v>
      </c>
      <c r="BE40" s="228">
        <v>11</v>
      </c>
      <c r="BF40" s="228">
        <v>13</v>
      </c>
      <c r="BG40" s="228">
        <v>-2</v>
      </c>
      <c r="BH40" s="229">
        <v>-0.186</v>
      </c>
      <c r="BI40" s="230">
        <v>2147</v>
      </c>
      <c r="BJ40" s="230">
        <v>3426</v>
      </c>
      <c r="BK40" s="230">
        <v>-1278</v>
      </c>
      <c r="BL40" s="229">
        <v>-0.37309999999999999</v>
      </c>
      <c r="BM40" s="230">
        <v>1228</v>
      </c>
      <c r="BN40" s="230">
        <v>1674</v>
      </c>
      <c r="BO40" s="228">
        <v>-445</v>
      </c>
      <c r="BP40" s="229">
        <v>-0.26600000000000001</v>
      </c>
      <c r="BQ40" s="230">
        <v>3913</v>
      </c>
      <c r="BR40" s="230">
        <v>5906</v>
      </c>
      <c r="BS40" s="230">
        <v>-1993</v>
      </c>
      <c r="BT40" s="229">
        <v>-0.33750000000000002</v>
      </c>
      <c r="BU40" s="230">
        <v>16606364</v>
      </c>
      <c r="BV40" s="230">
        <v>28010672</v>
      </c>
      <c r="BW40" s="230">
        <v>-11404308</v>
      </c>
      <c r="BX40" s="229">
        <v>-0.40710000000000002</v>
      </c>
      <c r="BY40" s="230">
        <v>2186</v>
      </c>
      <c r="BZ40" s="230">
        <v>2175</v>
      </c>
      <c r="CA40" s="228">
        <v>11</v>
      </c>
      <c r="CB40" s="229">
        <v>5.1000000000000004E-3</v>
      </c>
      <c r="CC40" s="230">
        <v>1816</v>
      </c>
      <c r="CD40" s="230">
        <v>1832</v>
      </c>
      <c r="CE40" s="228">
        <v>-16</v>
      </c>
      <c r="CF40" s="229">
        <v>-8.9999999999999993E-3</v>
      </c>
      <c r="CG40" s="228">
        <v>332</v>
      </c>
      <c r="CH40" s="228">
        <v>305</v>
      </c>
      <c r="CI40" s="228">
        <v>27</v>
      </c>
      <c r="CJ40" s="229">
        <v>8.9099999999999999E-2</v>
      </c>
      <c r="CK40" s="228">
        <v>38</v>
      </c>
      <c r="CL40" s="228">
        <v>37</v>
      </c>
      <c r="CM40" s="228">
        <v>0</v>
      </c>
      <c r="CN40" s="229">
        <v>8.0999999999999996E-3</v>
      </c>
      <c r="CO40" s="230">
        <v>1663</v>
      </c>
      <c r="CP40" s="230">
        <v>1657</v>
      </c>
      <c r="CQ40" s="228">
        <v>6</v>
      </c>
      <c r="CR40" s="229">
        <v>3.5000000000000001E-3</v>
      </c>
      <c r="CS40" s="230">
        <v>1350</v>
      </c>
      <c r="CT40" s="230">
        <v>1360</v>
      </c>
      <c r="CU40" s="228">
        <v>-9</v>
      </c>
      <c r="CV40" s="229">
        <v>-7.0000000000000001E-3</v>
      </c>
      <c r="CW40" s="230">
        <v>5199</v>
      </c>
      <c r="CX40" s="230">
        <v>5192</v>
      </c>
      <c r="CY40" s="228">
        <v>7</v>
      </c>
      <c r="CZ40" s="229">
        <v>1.4E-3</v>
      </c>
      <c r="DA40" s="228">
        <v>23.93</v>
      </c>
      <c r="DB40" s="228">
        <v>25.05</v>
      </c>
      <c r="DC40" s="228">
        <v>-1.1200000000000001</v>
      </c>
      <c r="DD40" s="228">
        <v>-1.1200000000000001</v>
      </c>
      <c r="DE40" s="228">
        <v>36.049999999999997</v>
      </c>
      <c r="DF40" s="228">
        <v>36.14</v>
      </c>
      <c r="DG40" s="228">
        <v>-12.12</v>
      </c>
      <c r="DH40" s="228">
        <v>-0.09</v>
      </c>
      <c r="DI40" s="228">
        <v>23.73</v>
      </c>
      <c r="DJ40" s="228">
        <v>24.78</v>
      </c>
      <c r="DK40" s="228">
        <v>-1.05</v>
      </c>
      <c r="DL40" s="228">
        <v>-1.05</v>
      </c>
      <c r="DM40" s="228">
        <v>24.29</v>
      </c>
      <c r="DN40" s="228">
        <v>25.59</v>
      </c>
      <c r="DO40" s="228">
        <v>-1.3</v>
      </c>
      <c r="DP40" s="228">
        <v>-1.3</v>
      </c>
      <c r="DQ40" s="228">
        <v>0.81</v>
      </c>
      <c r="DR40" s="228">
        <v>0.82</v>
      </c>
      <c r="DS40" s="228">
        <v>-0.01</v>
      </c>
      <c r="DT40" s="229">
        <v>-1.2200000000000001E-2</v>
      </c>
      <c r="DU40" s="228">
        <v>150</v>
      </c>
      <c r="DV40" s="228">
        <v>140</v>
      </c>
      <c r="DW40" s="228">
        <v>0.56999999999999995</v>
      </c>
      <c r="DX40" s="228">
        <v>0.49</v>
      </c>
      <c r="DY40" s="228">
        <v>0.08</v>
      </c>
      <c r="DZ40" s="229">
        <v>0.1633</v>
      </c>
      <c r="EA40" s="229">
        <v>0.16930000000000001</v>
      </c>
      <c r="EB40" s="230">
        <v>22889250</v>
      </c>
      <c r="EC40" s="229">
        <v>4.7999999999999996E-3</v>
      </c>
      <c r="ED40" s="229">
        <v>0.16930000000000001</v>
      </c>
      <c r="EE40" s="228">
        <v>0.71</v>
      </c>
      <c r="EF40" s="229">
        <v>4.7000000000000002E-3</v>
      </c>
      <c r="EG40" s="230">
        <v>6328592</v>
      </c>
      <c r="EH40" s="230">
        <v>12347371</v>
      </c>
      <c r="EI40" s="229">
        <v>-0.48749999999999999</v>
      </c>
      <c r="EJ40" s="229">
        <v>0.38109999999999999</v>
      </c>
      <c r="EK40" s="231">
        <v>2211.19</v>
      </c>
      <c r="EL40" s="231">
        <v>1218.01</v>
      </c>
      <c r="EM40" s="228">
        <v>537.5</v>
      </c>
      <c r="EN40" s="228">
        <v>55.49</v>
      </c>
      <c r="EO40" s="231">
        <v>3966.7</v>
      </c>
      <c r="EP40" s="231">
        <v>5990.55</v>
      </c>
      <c r="EQ40" s="231">
        <v>-2023.85</v>
      </c>
      <c r="ER40" s="229">
        <v>-0.33779999999999999</v>
      </c>
      <c r="ES40" s="231">
        <v>1702.19</v>
      </c>
      <c r="ET40" s="231">
        <v>1295.1099999999999</v>
      </c>
      <c r="EU40" s="231">
        <v>2187.63</v>
      </c>
      <c r="EV40" s="231">
        <v>504315430</v>
      </c>
      <c r="EW40" s="231">
        <v>5184.93</v>
      </c>
      <c r="EX40" s="231">
        <v>5184.24</v>
      </c>
      <c r="EY40" s="228">
        <v>0.69</v>
      </c>
      <c r="EZ40" s="229">
        <v>1E-4</v>
      </c>
      <c r="FA40" s="229">
        <v>0.68859999999999999</v>
      </c>
      <c r="FB40" s="227" t="s">
        <v>567</v>
      </c>
      <c r="FC40">
        <f t="shared" si="0"/>
        <v>370</v>
      </c>
    </row>
    <row r="41" spans="1:159" ht="17.25" thickBot="1" x14ac:dyDescent="0.3">
      <c r="A41" s="226">
        <v>46009</v>
      </c>
      <c r="B41" s="227" t="s">
        <v>175</v>
      </c>
      <c r="C41" s="227" t="s">
        <v>597</v>
      </c>
      <c r="D41" s="228">
        <v>475</v>
      </c>
      <c r="E41" s="228">
        <v>12</v>
      </c>
      <c r="F41" s="231">
        <v>1490.8</v>
      </c>
      <c r="G41" s="231">
        <v>1478.4</v>
      </c>
      <c r="H41" s="228">
        <v>12.4</v>
      </c>
      <c r="I41" s="229">
        <v>8.3999999999999995E-3</v>
      </c>
      <c r="J41" s="231">
        <v>1489.6</v>
      </c>
      <c r="K41" s="231">
        <v>1477.3</v>
      </c>
      <c r="L41" s="228">
        <v>12.3</v>
      </c>
      <c r="M41" s="229">
        <v>8.3000000000000001E-3</v>
      </c>
      <c r="N41" s="231">
        <v>1490.8</v>
      </c>
      <c r="O41" s="231">
        <v>1478.4</v>
      </c>
      <c r="P41" s="228">
        <v>12.4</v>
      </c>
      <c r="Q41" s="229">
        <v>8.3999999999999995E-3</v>
      </c>
      <c r="R41" s="231">
        <v>1497.6</v>
      </c>
      <c r="S41" s="231">
        <v>1485.8</v>
      </c>
      <c r="T41" s="228">
        <v>11.8</v>
      </c>
      <c r="U41" s="229">
        <v>7.9000000000000008E-3</v>
      </c>
      <c r="V41" s="231">
        <v>1506.4</v>
      </c>
      <c r="W41" s="231">
        <v>1493.5</v>
      </c>
      <c r="X41" s="228">
        <v>12.9</v>
      </c>
      <c r="Y41" s="229">
        <v>8.6E-3</v>
      </c>
      <c r="Z41" s="228">
        <v>1.2</v>
      </c>
      <c r="AA41" s="228">
        <v>1.1000000000000001</v>
      </c>
      <c r="AB41" s="228">
        <v>0.1</v>
      </c>
      <c r="AC41" s="229">
        <v>8.0000000000000004E-4</v>
      </c>
      <c r="AD41" s="228">
        <v>1.2</v>
      </c>
      <c r="AE41" s="228">
        <v>1.1000000000000001</v>
      </c>
      <c r="AF41" s="228">
        <v>0.1</v>
      </c>
      <c r="AG41" s="229">
        <v>8.0000000000000004E-4</v>
      </c>
      <c r="AH41" s="228">
        <v>8</v>
      </c>
      <c r="AI41" s="228">
        <v>8.5</v>
      </c>
      <c r="AJ41" s="228">
        <v>-0.5</v>
      </c>
      <c r="AK41" s="229">
        <v>5.4000000000000003E-3</v>
      </c>
      <c r="AL41" s="228">
        <v>16.8</v>
      </c>
      <c r="AM41" s="228">
        <v>16.2</v>
      </c>
      <c r="AN41" s="228">
        <v>0.6</v>
      </c>
      <c r="AO41" s="229">
        <v>1.1299999999999999E-2</v>
      </c>
      <c r="AP41" s="231">
        <v>1485.59</v>
      </c>
      <c r="AQ41" s="231">
        <v>1491.83</v>
      </c>
      <c r="AR41" s="228">
        <v>0</v>
      </c>
      <c r="AS41" s="228">
        <v>239</v>
      </c>
      <c r="AT41" s="228">
        <v>296</v>
      </c>
      <c r="AU41" s="228">
        <v>-57</v>
      </c>
      <c r="AV41" s="229">
        <v>-0.193</v>
      </c>
      <c r="AW41" s="228">
        <v>177</v>
      </c>
      <c r="AX41" s="228">
        <v>217</v>
      </c>
      <c r="AY41" s="228">
        <v>-40</v>
      </c>
      <c r="AZ41" s="229">
        <v>-0.18329999999999999</v>
      </c>
      <c r="BA41" s="228">
        <v>55</v>
      </c>
      <c r="BB41" s="228">
        <v>73</v>
      </c>
      <c r="BC41" s="228">
        <v>-18</v>
      </c>
      <c r="BD41" s="229">
        <v>-0.24759999999999999</v>
      </c>
      <c r="BE41" s="228">
        <v>7</v>
      </c>
      <c r="BF41" s="228">
        <v>6</v>
      </c>
      <c r="BG41" s="228">
        <v>1</v>
      </c>
      <c r="BH41" s="229">
        <v>0.1149</v>
      </c>
      <c r="BI41" s="230">
        <v>1365</v>
      </c>
      <c r="BJ41" s="230">
        <v>1258</v>
      </c>
      <c r="BK41" s="228">
        <v>106</v>
      </c>
      <c r="BL41" s="229">
        <v>8.4599999999999995E-2</v>
      </c>
      <c r="BM41" s="228">
        <v>356</v>
      </c>
      <c r="BN41" s="228">
        <v>436</v>
      </c>
      <c r="BO41" s="228">
        <v>-80</v>
      </c>
      <c r="BP41" s="229">
        <v>-0.18379999999999999</v>
      </c>
      <c r="BQ41" s="230">
        <v>1959</v>
      </c>
      <c r="BR41" s="230">
        <v>1990</v>
      </c>
      <c r="BS41" s="228">
        <v>-31</v>
      </c>
      <c r="BT41" s="229">
        <v>-1.55E-2</v>
      </c>
      <c r="BU41" s="230">
        <v>1015587</v>
      </c>
      <c r="BV41" s="230">
        <v>1256442</v>
      </c>
      <c r="BW41" s="230">
        <v>-240855</v>
      </c>
      <c r="BX41" s="229">
        <v>-0.19170000000000001</v>
      </c>
      <c r="BY41" s="230">
        <v>1508</v>
      </c>
      <c r="BZ41" s="230">
        <v>1502</v>
      </c>
      <c r="CA41" s="228">
        <v>6</v>
      </c>
      <c r="CB41" s="229">
        <v>3.8999999999999998E-3</v>
      </c>
      <c r="CC41" s="230">
        <v>1298</v>
      </c>
      <c r="CD41" s="230">
        <v>1310</v>
      </c>
      <c r="CE41" s="228">
        <v>-12</v>
      </c>
      <c r="CF41" s="229">
        <v>-9.4000000000000004E-3</v>
      </c>
      <c r="CG41" s="228">
        <v>186</v>
      </c>
      <c r="CH41" s="228">
        <v>169</v>
      </c>
      <c r="CI41" s="228">
        <v>17</v>
      </c>
      <c r="CJ41" s="229">
        <v>9.9199999999999997E-2</v>
      </c>
      <c r="CK41" s="228">
        <v>24</v>
      </c>
      <c r="CL41" s="228">
        <v>23</v>
      </c>
      <c r="CM41" s="228">
        <v>1</v>
      </c>
      <c r="CN41" s="229">
        <v>6.2300000000000001E-2</v>
      </c>
      <c r="CO41" s="230">
        <v>1701</v>
      </c>
      <c r="CP41" s="230">
        <v>1745</v>
      </c>
      <c r="CQ41" s="228">
        <v>-45</v>
      </c>
      <c r="CR41" s="229">
        <v>-2.5600000000000001E-2</v>
      </c>
      <c r="CS41" s="228">
        <v>764</v>
      </c>
      <c r="CT41" s="228">
        <v>760</v>
      </c>
      <c r="CU41" s="228">
        <v>4</v>
      </c>
      <c r="CV41" s="229">
        <v>4.7000000000000002E-3</v>
      </c>
      <c r="CW41" s="230">
        <v>3973</v>
      </c>
      <c r="CX41" s="230">
        <v>4008</v>
      </c>
      <c r="CY41" s="228">
        <v>-35</v>
      </c>
      <c r="CZ41" s="229">
        <v>-8.8000000000000005E-3</v>
      </c>
      <c r="DA41" s="228">
        <v>27.66</v>
      </c>
      <c r="DB41" s="228">
        <v>29.96</v>
      </c>
      <c r="DC41" s="228">
        <v>-2.2999999999999998</v>
      </c>
      <c r="DD41" s="228">
        <v>-2.2999999999999998</v>
      </c>
      <c r="DE41" s="228">
        <v>44.95</v>
      </c>
      <c r="DF41" s="228">
        <v>45.05</v>
      </c>
      <c r="DG41" s="228">
        <v>-17.29</v>
      </c>
      <c r="DH41" s="228">
        <v>-0.1</v>
      </c>
      <c r="DI41" s="228">
        <v>27.91</v>
      </c>
      <c r="DJ41" s="228">
        <v>31.1</v>
      </c>
      <c r="DK41" s="228">
        <v>-3.19</v>
      </c>
      <c r="DL41" s="228">
        <v>-3.19</v>
      </c>
      <c r="DM41" s="228">
        <v>26.69</v>
      </c>
      <c r="DN41" s="228">
        <v>26.68</v>
      </c>
      <c r="DO41" s="228">
        <v>0.01</v>
      </c>
      <c r="DP41" s="228">
        <v>0.01</v>
      </c>
      <c r="DQ41" s="228">
        <v>0.45</v>
      </c>
      <c r="DR41" s="228">
        <v>0.44</v>
      </c>
      <c r="DS41" s="228">
        <v>0.01</v>
      </c>
      <c r="DT41" s="229">
        <v>2.2700000000000001E-2</v>
      </c>
      <c r="DU41" s="231">
        <v>1600</v>
      </c>
      <c r="DV41" s="231">
        <v>1500</v>
      </c>
      <c r="DW41" s="228">
        <v>0.26</v>
      </c>
      <c r="DX41" s="228">
        <v>0.35</v>
      </c>
      <c r="DY41" s="228">
        <v>-0.09</v>
      </c>
      <c r="DZ41" s="229">
        <v>-0.2571</v>
      </c>
      <c r="EA41" s="229">
        <v>0.13930000000000001</v>
      </c>
      <c r="EB41" s="230">
        <v>1286775</v>
      </c>
      <c r="EC41" s="229">
        <v>4.5999999999999999E-3</v>
      </c>
      <c r="ED41" s="229">
        <v>0.13930000000000001</v>
      </c>
      <c r="EE41" s="228">
        <v>6.24</v>
      </c>
      <c r="EF41" s="229">
        <v>4.1999999999999997E-3</v>
      </c>
      <c r="EG41" s="230">
        <v>272619</v>
      </c>
      <c r="EH41" s="230">
        <v>517636</v>
      </c>
      <c r="EI41" s="229">
        <v>-0.4733</v>
      </c>
      <c r="EJ41" s="229">
        <v>0.26840000000000003</v>
      </c>
      <c r="EK41" s="231">
        <v>1440.79</v>
      </c>
      <c r="EL41" s="228">
        <v>351.93</v>
      </c>
      <c r="EM41" s="228">
        <v>238.45</v>
      </c>
      <c r="EN41" s="228">
        <v>31.06</v>
      </c>
      <c r="EO41" s="231">
        <v>2031.16</v>
      </c>
      <c r="EP41" s="231">
        <v>2075</v>
      </c>
      <c r="EQ41" s="228">
        <v>-43.83</v>
      </c>
      <c r="ER41" s="229">
        <v>-2.1100000000000001E-2</v>
      </c>
      <c r="ES41" s="231">
        <v>1859.27</v>
      </c>
      <c r="ET41" s="228">
        <v>779.82</v>
      </c>
      <c r="EU41" s="231">
        <v>1509.28</v>
      </c>
      <c r="EV41" s="231">
        <v>26647500</v>
      </c>
      <c r="EW41" s="231">
        <v>4148.37</v>
      </c>
      <c r="EX41" s="231">
        <v>4181.59</v>
      </c>
      <c r="EY41" s="228">
        <v>-33.22</v>
      </c>
      <c r="EZ41" s="229">
        <v>-7.9000000000000008E-3</v>
      </c>
      <c r="FA41" s="229">
        <v>1.0001</v>
      </c>
      <c r="FB41" s="227" t="s">
        <v>555</v>
      </c>
      <c r="FC41">
        <f t="shared" si="0"/>
        <v>210</v>
      </c>
    </row>
    <row r="42" spans="1:159" ht="17.25" thickBot="1" x14ac:dyDescent="0.3">
      <c r="A42" s="226">
        <v>46009</v>
      </c>
      <c r="B42" s="227" t="s">
        <v>161</v>
      </c>
      <c r="C42" s="227" t="s">
        <v>612</v>
      </c>
      <c r="D42" s="228">
        <v>850</v>
      </c>
      <c r="E42" s="228">
        <v>12</v>
      </c>
      <c r="F42" s="228">
        <v>662.55</v>
      </c>
      <c r="G42" s="228">
        <v>670.7</v>
      </c>
      <c r="H42" s="228">
        <v>-8.15</v>
      </c>
      <c r="I42" s="229">
        <v>-1.2200000000000001E-2</v>
      </c>
      <c r="J42" s="228">
        <v>661.8</v>
      </c>
      <c r="K42" s="228">
        <v>670.4</v>
      </c>
      <c r="L42" s="228">
        <v>-8.6</v>
      </c>
      <c r="M42" s="229">
        <v>-1.2800000000000001E-2</v>
      </c>
      <c r="N42" s="228">
        <v>662.55</v>
      </c>
      <c r="O42" s="228">
        <v>670.7</v>
      </c>
      <c r="P42" s="228">
        <v>-8.15</v>
      </c>
      <c r="Q42" s="229">
        <v>-1.2200000000000001E-2</v>
      </c>
      <c r="R42" s="228">
        <v>666.65</v>
      </c>
      <c r="S42" s="228">
        <v>674.35</v>
      </c>
      <c r="T42" s="228">
        <v>-7.7</v>
      </c>
      <c r="U42" s="229">
        <v>-1.14E-2</v>
      </c>
      <c r="V42" s="228">
        <v>670.6</v>
      </c>
      <c r="W42" s="228">
        <v>676.65</v>
      </c>
      <c r="X42" s="228">
        <v>-6.05</v>
      </c>
      <c r="Y42" s="229">
        <v>-8.8999999999999999E-3</v>
      </c>
      <c r="Z42" s="228">
        <v>0.75</v>
      </c>
      <c r="AA42" s="228">
        <v>0.3</v>
      </c>
      <c r="AB42" s="228">
        <v>0.45</v>
      </c>
      <c r="AC42" s="229">
        <v>1.1000000000000001E-3</v>
      </c>
      <c r="AD42" s="228">
        <v>0.75</v>
      </c>
      <c r="AE42" s="228">
        <v>0.3</v>
      </c>
      <c r="AF42" s="228">
        <v>0.45</v>
      </c>
      <c r="AG42" s="229">
        <v>1.1000000000000001E-3</v>
      </c>
      <c r="AH42" s="228">
        <v>4.8499999999999996</v>
      </c>
      <c r="AI42" s="228">
        <v>3.95</v>
      </c>
      <c r="AJ42" s="228">
        <v>0.9</v>
      </c>
      <c r="AK42" s="229">
        <v>7.3000000000000001E-3</v>
      </c>
      <c r="AL42" s="228">
        <v>8.8000000000000007</v>
      </c>
      <c r="AM42" s="228">
        <v>6.25</v>
      </c>
      <c r="AN42" s="228">
        <v>2.5499999999999998</v>
      </c>
      <c r="AO42" s="229">
        <v>1.3299999999999999E-2</v>
      </c>
      <c r="AP42" s="228">
        <v>663.39</v>
      </c>
      <c r="AQ42" s="228">
        <v>666.91</v>
      </c>
      <c r="AR42" s="228">
        <v>0</v>
      </c>
      <c r="AS42" s="228">
        <v>198</v>
      </c>
      <c r="AT42" s="228">
        <v>366</v>
      </c>
      <c r="AU42" s="228">
        <v>-168</v>
      </c>
      <c r="AV42" s="229">
        <v>-0.45889999999999997</v>
      </c>
      <c r="AW42" s="228">
        <v>163</v>
      </c>
      <c r="AX42" s="228">
        <v>320</v>
      </c>
      <c r="AY42" s="228">
        <v>-157</v>
      </c>
      <c r="AZ42" s="229">
        <v>-0.49049999999999999</v>
      </c>
      <c r="BA42" s="228">
        <v>33</v>
      </c>
      <c r="BB42" s="228">
        <v>44</v>
      </c>
      <c r="BC42" s="228">
        <v>-11</v>
      </c>
      <c r="BD42" s="229">
        <v>-0.24679999999999999</v>
      </c>
      <c r="BE42" s="228">
        <v>2</v>
      </c>
      <c r="BF42" s="228">
        <v>2</v>
      </c>
      <c r="BG42" s="228">
        <v>0</v>
      </c>
      <c r="BH42" s="229">
        <v>-0.1429</v>
      </c>
      <c r="BI42" s="228">
        <v>769</v>
      </c>
      <c r="BJ42" s="230">
        <v>2393</v>
      </c>
      <c r="BK42" s="230">
        <v>-1623</v>
      </c>
      <c r="BL42" s="229">
        <v>-0.67849999999999999</v>
      </c>
      <c r="BM42" s="228">
        <v>312</v>
      </c>
      <c r="BN42" s="228">
        <v>520</v>
      </c>
      <c r="BO42" s="228">
        <v>-208</v>
      </c>
      <c r="BP42" s="229">
        <v>-0.4002</v>
      </c>
      <c r="BQ42" s="230">
        <v>1280</v>
      </c>
      <c r="BR42" s="230">
        <v>3279</v>
      </c>
      <c r="BS42" s="230">
        <v>-2000</v>
      </c>
      <c r="BT42" s="229">
        <v>-0.60980000000000001</v>
      </c>
      <c r="BU42" s="230">
        <v>1965841</v>
      </c>
      <c r="BV42" s="230">
        <v>3716577</v>
      </c>
      <c r="BW42" s="230">
        <v>-1750736</v>
      </c>
      <c r="BX42" s="229">
        <v>-0.47110000000000002</v>
      </c>
      <c r="BY42" s="228">
        <v>951</v>
      </c>
      <c r="BZ42" s="228">
        <v>979</v>
      </c>
      <c r="CA42" s="228">
        <v>-28</v>
      </c>
      <c r="CB42" s="229">
        <v>-2.8500000000000001E-2</v>
      </c>
      <c r="CC42" s="228">
        <v>865</v>
      </c>
      <c r="CD42" s="228">
        <v>903</v>
      </c>
      <c r="CE42" s="228">
        <v>-37</v>
      </c>
      <c r="CF42" s="229">
        <v>-4.1399999999999999E-2</v>
      </c>
      <c r="CG42" s="228">
        <v>79</v>
      </c>
      <c r="CH42" s="228">
        <v>70</v>
      </c>
      <c r="CI42" s="228">
        <v>9</v>
      </c>
      <c r="CJ42" s="229">
        <v>0.12570000000000001</v>
      </c>
      <c r="CK42" s="228">
        <v>7</v>
      </c>
      <c r="CL42" s="228">
        <v>6</v>
      </c>
      <c r="CM42" s="228">
        <v>1</v>
      </c>
      <c r="CN42" s="229">
        <v>0.1019</v>
      </c>
      <c r="CO42" s="228">
        <v>626</v>
      </c>
      <c r="CP42" s="228">
        <v>639</v>
      </c>
      <c r="CQ42" s="228">
        <v>-12</v>
      </c>
      <c r="CR42" s="229">
        <v>-1.9199999999999998E-2</v>
      </c>
      <c r="CS42" s="228">
        <v>276</v>
      </c>
      <c r="CT42" s="228">
        <v>284</v>
      </c>
      <c r="CU42" s="228">
        <v>-7</v>
      </c>
      <c r="CV42" s="229">
        <v>-2.64E-2</v>
      </c>
      <c r="CW42" s="230">
        <v>1854</v>
      </c>
      <c r="CX42" s="230">
        <v>1901</v>
      </c>
      <c r="CY42" s="228">
        <v>-48</v>
      </c>
      <c r="CZ42" s="229">
        <v>-2.5100000000000001E-2</v>
      </c>
      <c r="DA42" s="228">
        <v>26.49</v>
      </c>
      <c r="DB42" s="228">
        <v>27.94</v>
      </c>
      <c r="DC42" s="228">
        <v>-1.45</v>
      </c>
      <c r="DD42" s="228">
        <v>-1.45</v>
      </c>
      <c r="DE42" s="228">
        <v>39.19</v>
      </c>
      <c r="DF42" s="228">
        <v>39.25</v>
      </c>
      <c r="DG42" s="228">
        <v>-12.7</v>
      </c>
      <c r="DH42" s="228">
        <v>-0.06</v>
      </c>
      <c r="DI42" s="228">
        <v>26.68</v>
      </c>
      <c r="DJ42" s="228">
        <v>28.27</v>
      </c>
      <c r="DK42" s="228">
        <v>-1.59</v>
      </c>
      <c r="DL42" s="228">
        <v>-1.59</v>
      </c>
      <c r="DM42" s="228">
        <v>26.02</v>
      </c>
      <c r="DN42" s="228">
        <v>26.44</v>
      </c>
      <c r="DO42" s="228">
        <v>-0.42</v>
      </c>
      <c r="DP42" s="228">
        <v>-0.42</v>
      </c>
      <c r="DQ42" s="228">
        <v>0.44</v>
      </c>
      <c r="DR42" s="228">
        <v>0.44</v>
      </c>
      <c r="DS42" s="228">
        <v>0</v>
      </c>
      <c r="DT42" s="229">
        <v>0</v>
      </c>
      <c r="DU42" s="228">
        <v>700</v>
      </c>
      <c r="DV42" s="228">
        <v>700</v>
      </c>
      <c r="DW42" s="228">
        <v>0.41</v>
      </c>
      <c r="DX42" s="228">
        <v>0.22</v>
      </c>
      <c r="DY42" s="228">
        <v>0.19</v>
      </c>
      <c r="DZ42" s="229">
        <v>0.86360000000000003</v>
      </c>
      <c r="EA42" s="229">
        <v>9.0300000000000005E-2</v>
      </c>
      <c r="EB42" s="230">
        <v>1153450</v>
      </c>
      <c r="EC42" s="229">
        <v>6.1999999999999998E-3</v>
      </c>
      <c r="ED42" s="229">
        <v>9.0300000000000005E-2</v>
      </c>
      <c r="EE42" s="228">
        <v>3.52</v>
      </c>
      <c r="EF42" s="229">
        <v>5.3E-3</v>
      </c>
      <c r="EG42" s="230">
        <v>932419</v>
      </c>
      <c r="EH42" s="230">
        <v>1090111</v>
      </c>
      <c r="EI42" s="229">
        <v>-0.1447</v>
      </c>
      <c r="EJ42" s="229">
        <v>0.4743</v>
      </c>
      <c r="EK42" s="228">
        <v>807.38</v>
      </c>
      <c r="EL42" s="228">
        <v>314.42</v>
      </c>
      <c r="EM42" s="228">
        <v>198.63</v>
      </c>
      <c r="EN42" s="228">
        <v>31.05</v>
      </c>
      <c r="EO42" s="231">
        <v>1320.43</v>
      </c>
      <c r="EP42" s="231">
        <v>3465.9</v>
      </c>
      <c r="EQ42" s="231">
        <v>-2145.4699999999998</v>
      </c>
      <c r="ER42" s="229">
        <v>-0.61899999999999999</v>
      </c>
      <c r="ES42" s="228">
        <v>669.91</v>
      </c>
      <c r="ET42" s="228">
        <v>280.26</v>
      </c>
      <c r="EU42" s="228">
        <v>951.76</v>
      </c>
      <c r="EV42" s="231">
        <v>100245792</v>
      </c>
      <c r="EW42" s="231">
        <v>1901.93</v>
      </c>
      <c r="EX42" s="231">
        <v>1963.81</v>
      </c>
      <c r="EY42" s="228">
        <v>-61.88</v>
      </c>
      <c r="EZ42" s="229">
        <v>-3.15E-2</v>
      </c>
      <c r="FA42" s="229">
        <v>0.27910000000000001</v>
      </c>
      <c r="FB42" s="227" t="s">
        <v>568</v>
      </c>
      <c r="FC42">
        <f t="shared" si="0"/>
        <v>86</v>
      </c>
    </row>
    <row r="43" spans="1:159" ht="17.25" thickBot="1" x14ac:dyDescent="0.3">
      <c r="A43" s="226">
        <v>46009</v>
      </c>
      <c r="B43" s="227" t="s">
        <v>175</v>
      </c>
      <c r="C43" s="227" t="s">
        <v>198</v>
      </c>
      <c r="D43" s="228">
        <v>625</v>
      </c>
      <c r="E43" s="228">
        <v>12</v>
      </c>
      <c r="F43" s="231">
        <v>1686</v>
      </c>
      <c r="G43" s="231">
        <v>1679.2</v>
      </c>
      <c r="H43" s="228">
        <v>6.8</v>
      </c>
      <c r="I43" s="229">
        <v>4.0000000000000001E-3</v>
      </c>
      <c r="J43" s="231">
        <v>1679</v>
      </c>
      <c r="K43" s="231">
        <v>1673.5</v>
      </c>
      <c r="L43" s="228">
        <v>5.5</v>
      </c>
      <c r="M43" s="229">
        <v>3.3E-3</v>
      </c>
      <c r="N43" s="231">
        <v>1686</v>
      </c>
      <c r="O43" s="231">
        <v>1679.2</v>
      </c>
      <c r="P43" s="228">
        <v>6.8</v>
      </c>
      <c r="Q43" s="229">
        <v>4.0000000000000001E-3</v>
      </c>
      <c r="R43" s="231">
        <v>1693</v>
      </c>
      <c r="S43" s="231">
        <v>1684.8</v>
      </c>
      <c r="T43" s="228">
        <v>8.1999999999999993</v>
      </c>
      <c r="U43" s="229">
        <v>4.8999999999999998E-3</v>
      </c>
      <c r="V43" s="231">
        <v>1693.1</v>
      </c>
      <c r="W43" s="231">
        <v>1681.8</v>
      </c>
      <c r="X43" s="228">
        <v>11.3</v>
      </c>
      <c r="Y43" s="229">
        <v>6.7000000000000002E-3</v>
      </c>
      <c r="Z43" s="228">
        <v>7</v>
      </c>
      <c r="AA43" s="228">
        <v>5.7</v>
      </c>
      <c r="AB43" s="228">
        <v>1.3</v>
      </c>
      <c r="AC43" s="229">
        <v>4.1999999999999997E-3</v>
      </c>
      <c r="AD43" s="228">
        <v>7</v>
      </c>
      <c r="AE43" s="228">
        <v>5.7</v>
      </c>
      <c r="AF43" s="228">
        <v>1.3</v>
      </c>
      <c r="AG43" s="229">
        <v>4.1999999999999997E-3</v>
      </c>
      <c r="AH43" s="228">
        <v>14</v>
      </c>
      <c r="AI43" s="228">
        <v>11.3</v>
      </c>
      <c r="AJ43" s="228">
        <v>2.7</v>
      </c>
      <c r="AK43" s="229">
        <v>8.3000000000000001E-3</v>
      </c>
      <c r="AL43" s="228">
        <v>14.1</v>
      </c>
      <c r="AM43" s="228">
        <v>8.3000000000000007</v>
      </c>
      <c r="AN43" s="228">
        <v>5.8</v>
      </c>
      <c r="AO43" s="229">
        <v>8.3999999999999995E-3</v>
      </c>
      <c r="AP43" s="231">
        <v>1682.61</v>
      </c>
      <c r="AQ43" s="231">
        <v>1689.98</v>
      </c>
      <c r="AR43" s="228">
        <v>0</v>
      </c>
      <c r="AS43" s="228">
        <v>317</v>
      </c>
      <c r="AT43" s="228">
        <v>512</v>
      </c>
      <c r="AU43" s="228">
        <v>-196</v>
      </c>
      <c r="AV43" s="229">
        <v>-0.38190000000000002</v>
      </c>
      <c r="AW43" s="228">
        <v>274</v>
      </c>
      <c r="AX43" s="228">
        <v>445</v>
      </c>
      <c r="AY43" s="228">
        <v>-170</v>
      </c>
      <c r="AZ43" s="229">
        <v>-0.38329999999999997</v>
      </c>
      <c r="BA43" s="228">
        <v>41</v>
      </c>
      <c r="BB43" s="228">
        <v>66</v>
      </c>
      <c r="BC43" s="228">
        <v>-25</v>
      </c>
      <c r="BD43" s="229">
        <v>-0.38379999999999997</v>
      </c>
      <c r="BE43" s="228">
        <v>1</v>
      </c>
      <c r="BF43" s="228">
        <v>1</v>
      </c>
      <c r="BG43" s="228">
        <v>0</v>
      </c>
      <c r="BH43" s="229">
        <v>0.2727</v>
      </c>
      <c r="BI43" s="228">
        <v>931</v>
      </c>
      <c r="BJ43" s="230">
        <v>2194</v>
      </c>
      <c r="BK43" s="230">
        <v>-1263</v>
      </c>
      <c r="BL43" s="229">
        <v>-0.57579999999999998</v>
      </c>
      <c r="BM43" s="228">
        <v>844</v>
      </c>
      <c r="BN43" s="230">
        <v>1394</v>
      </c>
      <c r="BO43" s="228">
        <v>-550</v>
      </c>
      <c r="BP43" s="229">
        <v>-0.39429999999999998</v>
      </c>
      <c r="BQ43" s="230">
        <v>2091</v>
      </c>
      <c r="BR43" s="230">
        <v>4099</v>
      </c>
      <c r="BS43" s="230">
        <v>-2008</v>
      </c>
      <c r="BT43" s="229">
        <v>-0.4899</v>
      </c>
      <c r="BU43" s="230">
        <v>758381</v>
      </c>
      <c r="BV43" s="230">
        <v>1402017</v>
      </c>
      <c r="BW43" s="230">
        <v>-643636</v>
      </c>
      <c r="BX43" s="229">
        <v>-0.45910000000000001</v>
      </c>
      <c r="BY43" s="230">
        <v>2459</v>
      </c>
      <c r="BZ43" s="230">
        <v>2423</v>
      </c>
      <c r="CA43" s="228">
        <v>36</v>
      </c>
      <c r="CB43" s="229">
        <v>1.47E-2</v>
      </c>
      <c r="CC43" s="230">
        <v>2304</v>
      </c>
      <c r="CD43" s="230">
        <v>2283</v>
      </c>
      <c r="CE43" s="228">
        <v>21</v>
      </c>
      <c r="CF43" s="229">
        <v>9.4000000000000004E-3</v>
      </c>
      <c r="CG43" s="228">
        <v>148</v>
      </c>
      <c r="CH43" s="228">
        <v>134</v>
      </c>
      <c r="CI43" s="228">
        <v>14</v>
      </c>
      <c r="CJ43" s="229">
        <v>0.1036</v>
      </c>
      <c r="CK43" s="228">
        <v>6</v>
      </c>
      <c r="CL43" s="228">
        <v>6</v>
      </c>
      <c r="CM43" s="228">
        <v>0</v>
      </c>
      <c r="CN43" s="229">
        <v>7.1400000000000005E-2</v>
      </c>
      <c r="CO43" s="230">
        <v>1010</v>
      </c>
      <c r="CP43" s="228">
        <v>985</v>
      </c>
      <c r="CQ43" s="228">
        <v>25</v>
      </c>
      <c r="CR43" s="229">
        <v>2.4899999999999999E-2</v>
      </c>
      <c r="CS43" s="228">
        <v>901</v>
      </c>
      <c r="CT43" s="228">
        <v>726</v>
      </c>
      <c r="CU43" s="228">
        <v>175</v>
      </c>
      <c r="CV43" s="229">
        <v>0.2407</v>
      </c>
      <c r="CW43" s="230">
        <v>4370</v>
      </c>
      <c r="CX43" s="230">
        <v>4134</v>
      </c>
      <c r="CY43" s="228">
        <v>235</v>
      </c>
      <c r="CZ43" s="229">
        <v>5.6899999999999999E-2</v>
      </c>
      <c r="DA43" s="228">
        <v>25.48</v>
      </c>
      <c r="DB43" s="228">
        <v>25.71</v>
      </c>
      <c r="DC43" s="228">
        <v>-0.23</v>
      </c>
      <c r="DD43" s="228">
        <v>-0.23</v>
      </c>
      <c r="DE43" s="228">
        <v>36.89</v>
      </c>
      <c r="DF43" s="228">
        <v>36.979999999999997</v>
      </c>
      <c r="DG43" s="228">
        <v>-11.41</v>
      </c>
      <c r="DH43" s="228">
        <v>-0.09</v>
      </c>
      <c r="DI43" s="228">
        <v>24.59</v>
      </c>
      <c r="DJ43" s="228">
        <v>25.51</v>
      </c>
      <c r="DK43" s="228">
        <v>-0.92</v>
      </c>
      <c r="DL43" s="228">
        <v>-0.92</v>
      </c>
      <c r="DM43" s="228">
        <v>26.46</v>
      </c>
      <c r="DN43" s="228">
        <v>26.04</v>
      </c>
      <c r="DO43" s="228">
        <v>0.42</v>
      </c>
      <c r="DP43" s="228">
        <v>0.42</v>
      </c>
      <c r="DQ43" s="228">
        <v>0.89</v>
      </c>
      <c r="DR43" s="228">
        <v>0.74</v>
      </c>
      <c r="DS43" s="228">
        <v>0.15</v>
      </c>
      <c r="DT43" s="229">
        <v>0.20269999999999999</v>
      </c>
      <c r="DU43" s="231">
        <v>1740</v>
      </c>
      <c r="DV43" s="231">
        <v>1700</v>
      </c>
      <c r="DW43" s="228">
        <v>0.91</v>
      </c>
      <c r="DX43" s="228">
        <v>0.64</v>
      </c>
      <c r="DY43" s="228">
        <v>0.27</v>
      </c>
      <c r="DZ43" s="229">
        <v>0.4219</v>
      </c>
      <c r="EA43" s="229">
        <v>6.2799999999999995E-2</v>
      </c>
      <c r="EB43" s="230">
        <v>831250</v>
      </c>
      <c r="EC43" s="229">
        <v>4.1999999999999997E-3</v>
      </c>
      <c r="ED43" s="229">
        <v>6.2799999999999995E-2</v>
      </c>
      <c r="EE43" s="228">
        <v>7.37</v>
      </c>
      <c r="EF43" s="229">
        <v>4.4000000000000003E-3</v>
      </c>
      <c r="EG43" s="230">
        <v>390892</v>
      </c>
      <c r="EH43" s="230">
        <v>858693</v>
      </c>
      <c r="EI43" s="229">
        <v>-0.54479999999999995</v>
      </c>
      <c r="EJ43" s="229">
        <v>0.51539999999999997</v>
      </c>
      <c r="EK43" s="228">
        <v>962.2</v>
      </c>
      <c r="EL43" s="228">
        <v>837.59</v>
      </c>
      <c r="EM43" s="228">
        <v>316.08999999999997</v>
      </c>
      <c r="EN43" s="228">
        <v>37.97</v>
      </c>
      <c r="EO43" s="231">
        <v>2115.88</v>
      </c>
      <c r="EP43" s="231">
        <v>4199.88</v>
      </c>
      <c r="EQ43" s="231">
        <v>-2084</v>
      </c>
      <c r="ER43" s="229">
        <v>-0.49619999999999997</v>
      </c>
      <c r="ES43" s="231">
        <v>1052.79</v>
      </c>
      <c r="ET43" s="228">
        <v>885.62</v>
      </c>
      <c r="EU43" s="231">
        <v>2459.25</v>
      </c>
      <c r="EV43" s="231">
        <v>63212268</v>
      </c>
      <c r="EW43" s="231">
        <v>4397.66</v>
      </c>
      <c r="EX43" s="231">
        <v>4157.03</v>
      </c>
      <c r="EY43" s="228">
        <v>240.63</v>
      </c>
      <c r="EZ43" s="229">
        <v>5.79E-2</v>
      </c>
      <c r="FA43" s="229">
        <v>0.41</v>
      </c>
      <c r="FB43" s="227" t="s">
        <v>555</v>
      </c>
      <c r="FC43">
        <f t="shared" si="0"/>
        <v>155</v>
      </c>
    </row>
    <row r="44" spans="1:159" ht="17.25" thickBot="1" x14ac:dyDescent="0.3">
      <c r="A44" s="226">
        <v>46009</v>
      </c>
      <c r="B44" s="227" t="s">
        <v>170</v>
      </c>
      <c r="C44" s="227" t="s">
        <v>199</v>
      </c>
      <c r="D44" s="228">
        <v>375</v>
      </c>
      <c r="E44" s="228">
        <v>12</v>
      </c>
      <c r="F44" s="231">
        <v>1502.5</v>
      </c>
      <c r="G44" s="231">
        <v>1498.5</v>
      </c>
      <c r="H44" s="228">
        <v>4</v>
      </c>
      <c r="I44" s="229">
        <v>2.7000000000000001E-3</v>
      </c>
      <c r="J44" s="231">
        <v>1498.9</v>
      </c>
      <c r="K44" s="231">
        <v>1496.9</v>
      </c>
      <c r="L44" s="228">
        <v>2</v>
      </c>
      <c r="M44" s="229">
        <v>1.2999999999999999E-3</v>
      </c>
      <c r="N44" s="231">
        <v>1502.5</v>
      </c>
      <c r="O44" s="231">
        <v>1498.5</v>
      </c>
      <c r="P44" s="228">
        <v>4</v>
      </c>
      <c r="Q44" s="229">
        <v>2.7000000000000001E-3</v>
      </c>
      <c r="R44" s="231">
        <v>1512.9</v>
      </c>
      <c r="S44" s="231">
        <v>1508.8</v>
      </c>
      <c r="T44" s="228">
        <v>4.0999999999999996</v>
      </c>
      <c r="U44" s="229">
        <v>2.7000000000000001E-3</v>
      </c>
      <c r="V44" s="231">
        <v>1520</v>
      </c>
      <c r="W44" s="231">
        <v>1517</v>
      </c>
      <c r="X44" s="228">
        <v>3</v>
      </c>
      <c r="Y44" s="229">
        <v>2E-3</v>
      </c>
      <c r="Z44" s="228">
        <v>3.6</v>
      </c>
      <c r="AA44" s="228">
        <v>1.6</v>
      </c>
      <c r="AB44" s="228">
        <v>2</v>
      </c>
      <c r="AC44" s="229">
        <v>2.3999999999999998E-3</v>
      </c>
      <c r="AD44" s="228">
        <v>3.6</v>
      </c>
      <c r="AE44" s="228">
        <v>1.6</v>
      </c>
      <c r="AF44" s="228">
        <v>2</v>
      </c>
      <c r="AG44" s="229">
        <v>2.3999999999999998E-3</v>
      </c>
      <c r="AH44" s="228">
        <v>14</v>
      </c>
      <c r="AI44" s="228">
        <v>11.9</v>
      </c>
      <c r="AJ44" s="228">
        <v>2.1</v>
      </c>
      <c r="AK44" s="229">
        <v>9.2999999999999992E-3</v>
      </c>
      <c r="AL44" s="228">
        <v>21.1</v>
      </c>
      <c r="AM44" s="228">
        <v>20.100000000000001</v>
      </c>
      <c r="AN44" s="228">
        <v>1</v>
      </c>
      <c r="AO44" s="229">
        <v>1.41E-2</v>
      </c>
      <c r="AP44" s="231">
        <v>1503.58</v>
      </c>
      <c r="AQ44" s="231">
        <v>1512.77</v>
      </c>
      <c r="AR44" s="228">
        <v>0</v>
      </c>
      <c r="AS44" s="228">
        <v>199</v>
      </c>
      <c r="AT44" s="228">
        <v>213</v>
      </c>
      <c r="AU44" s="228">
        <v>-14</v>
      </c>
      <c r="AV44" s="229">
        <v>-6.4299999999999996E-2</v>
      </c>
      <c r="AW44" s="228">
        <v>140</v>
      </c>
      <c r="AX44" s="228">
        <v>151</v>
      </c>
      <c r="AY44" s="228">
        <v>-11</v>
      </c>
      <c r="AZ44" s="229">
        <v>-7.2400000000000006E-2</v>
      </c>
      <c r="BA44" s="228">
        <v>57</v>
      </c>
      <c r="BB44" s="228">
        <v>61</v>
      </c>
      <c r="BC44" s="228">
        <v>-3</v>
      </c>
      <c r="BD44" s="229">
        <v>-5.57E-2</v>
      </c>
      <c r="BE44" s="228">
        <v>2</v>
      </c>
      <c r="BF44" s="228">
        <v>1</v>
      </c>
      <c r="BG44" s="228">
        <v>1</v>
      </c>
      <c r="BH44" s="229">
        <v>0.52380000000000004</v>
      </c>
      <c r="BI44" s="228">
        <v>667</v>
      </c>
      <c r="BJ44" s="228">
        <v>537</v>
      </c>
      <c r="BK44" s="228">
        <v>129</v>
      </c>
      <c r="BL44" s="229">
        <v>0.24099999999999999</v>
      </c>
      <c r="BM44" s="228">
        <v>266</v>
      </c>
      <c r="BN44" s="228">
        <v>203</v>
      </c>
      <c r="BO44" s="228">
        <v>64</v>
      </c>
      <c r="BP44" s="229">
        <v>0.31540000000000001</v>
      </c>
      <c r="BQ44" s="230">
        <v>1132</v>
      </c>
      <c r="BR44" s="228">
        <v>953</v>
      </c>
      <c r="BS44" s="228">
        <v>180</v>
      </c>
      <c r="BT44" s="229">
        <v>0.18859999999999999</v>
      </c>
      <c r="BU44" s="230">
        <v>1178332</v>
      </c>
      <c r="BV44" s="230">
        <v>1014318</v>
      </c>
      <c r="BW44" s="230">
        <v>164014</v>
      </c>
      <c r="BX44" s="229">
        <v>0.16170000000000001</v>
      </c>
      <c r="BY44" s="230">
        <v>2078</v>
      </c>
      <c r="BZ44" s="230">
        <v>2069</v>
      </c>
      <c r="CA44" s="228">
        <v>9</v>
      </c>
      <c r="CB44" s="229">
        <v>4.4999999999999997E-3</v>
      </c>
      <c r="CC44" s="230">
        <v>1831</v>
      </c>
      <c r="CD44" s="230">
        <v>1861</v>
      </c>
      <c r="CE44" s="228">
        <v>-31</v>
      </c>
      <c r="CF44" s="229">
        <v>-1.6500000000000001E-2</v>
      </c>
      <c r="CG44" s="228">
        <v>238</v>
      </c>
      <c r="CH44" s="228">
        <v>198</v>
      </c>
      <c r="CI44" s="228">
        <v>40</v>
      </c>
      <c r="CJ44" s="229">
        <v>0.20050000000000001</v>
      </c>
      <c r="CK44" s="228">
        <v>10</v>
      </c>
      <c r="CL44" s="228">
        <v>10</v>
      </c>
      <c r="CM44" s="228">
        <v>0</v>
      </c>
      <c r="CN44" s="229">
        <v>2.8899999999999999E-2</v>
      </c>
      <c r="CO44" s="228">
        <v>900</v>
      </c>
      <c r="CP44" s="228">
        <v>923</v>
      </c>
      <c r="CQ44" s="228">
        <v>-23</v>
      </c>
      <c r="CR44" s="229">
        <v>-2.47E-2</v>
      </c>
      <c r="CS44" s="228">
        <v>598</v>
      </c>
      <c r="CT44" s="228">
        <v>597</v>
      </c>
      <c r="CU44" s="228">
        <v>1</v>
      </c>
      <c r="CV44" s="229">
        <v>1.9E-3</v>
      </c>
      <c r="CW44" s="230">
        <v>3577</v>
      </c>
      <c r="CX44" s="230">
        <v>3589</v>
      </c>
      <c r="CY44" s="228">
        <v>-12</v>
      </c>
      <c r="CZ44" s="229">
        <v>-3.5000000000000001E-3</v>
      </c>
      <c r="DA44" s="228">
        <v>15.04</v>
      </c>
      <c r="DB44" s="228">
        <v>15.48</v>
      </c>
      <c r="DC44" s="228">
        <v>-0.44</v>
      </c>
      <c r="DD44" s="228">
        <v>-0.44</v>
      </c>
      <c r="DE44" s="228">
        <v>25.62</v>
      </c>
      <c r="DF44" s="228">
        <v>25.68</v>
      </c>
      <c r="DG44" s="228">
        <v>-10.58</v>
      </c>
      <c r="DH44" s="228">
        <v>-0.06</v>
      </c>
      <c r="DI44" s="228">
        <v>15.08</v>
      </c>
      <c r="DJ44" s="228">
        <v>15.67</v>
      </c>
      <c r="DK44" s="228">
        <v>-0.59</v>
      </c>
      <c r="DL44" s="228">
        <v>-0.59</v>
      </c>
      <c r="DM44" s="228">
        <v>14.94</v>
      </c>
      <c r="DN44" s="228">
        <v>14.99</v>
      </c>
      <c r="DO44" s="228">
        <v>-0.05</v>
      </c>
      <c r="DP44" s="228">
        <v>-0.05</v>
      </c>
      <c r="DQ44" s="228">
        <v>0.66</v>
      </c>
      <c r="DR44" s="228">
        <v>0.65</v>
      </c>
      <c r="DS44" s="228">
        <v>0.01</v>
      </c>
      <c r="DT44" s="229">
        <v>1.54E-2</v>
      </c>
      <c r="DU44" s="231">
        <v>1660</v>
      </c>
      <c r="DV44" s="231">
        <v>1400</v>
      </c>
      <c r="DW44" s="228">
        <v>0.4</v>
      </c>
      <c r="DX44" s="228">
        <v>0.38</v>
      </c>
      <c r="DY44" s="228">
        <v>0.02</v>
      </c>
      <c r="DZ44" s="229">
        <v>5.2600000000000001E-2</v>
      </c>
      <c r="EA44" s="229">
        <v>0.1191</v>
      </c>
      <c r="EB44" s="230">
        <v>1381875</v>
      </c>
      <c r="EC44" s="229">
        <v>6.8999999999999999E-3</v>
      </c>
      <c r="ED44" s="229">
        <v>0.1191</v>
      </c>
      <c r="EE44" s="228">
        <v>9.19</v>
      </c>
      <c r="EF44" s="229">
        <v>6.1000000000000004E-3</v>
      </c>
      <c r="EG44" s="230">
        <v>696304</v>
      </c>
      <c r="EH44" s="230">
        <v>592763</v>
      </c>
      <c r="EI44" s="229">
        <v>0.17469999999999999</v>
      </c>
      <c r="EJ44" s="229">
        <v>0.59089999999999998</v>
      </c>
      <c r="EK44" s="228">
        <v>683.11</v>
      </c>
      <c r="EL44" s="228">
        <v>264.95</v>
      </c>
      <c r="EM44" s="228">
        <v>199.69</v>
      </c>
      <c r="EN44" s="228">
        <v>31.16</v>
      </c>
      <c r="EO44" s="231">
        <v>1147.75</v>
      </c>
      <c r="EP44" s="228">
        <v>964.28</v>
      </c>
      <c r="EQ44" s="228">
        <v>183.47</v>
      </c>
      <c r="ER44" s="229">
        <v>0.1903</v>
      </c>
      <c r="ES44" s="228">
        <v>947.19</v>
      </c>
      <c r="ET44" s="228">
        <v>583.04</v>
      </c>
      <c r="EU44" s="231">
        <v>2079.94</v>
      </c>
      <c r="EV44" s="231">
        <v>57073940</v>
      </c>
      <c r="EW44" s="231">
        <v>3610.18</v>
      </c>
      <c r="EX44" s="231">
        <v>3617.39</v>
      </c>
      <c r="EY44" s="228">
        <v>-7.21</v>
      </c>
      <c r="EZ44" s="229">
        <v>-2E-3</v>
      </c>
      <c r="FA44" s="229">
        <v>0.41710000000000003</v>
      </c>
      <c r="FB44" s="227" t="s">
        <v>555</v>
      </c>
      <c r="FC44">
        <f t="shared" si="0"/>
        <v>247</v>
      </c>
    </row>
    <row r="45" spans="1:159" ht="17.25" thickBot="1" x14ac:dyDescent="0.3">
      <c r="A45" s="226">
        <v>46009</v>
      </c>
      <c r="B45" s="227" t="s">
        <v>227</v>
      </c>
      <c r="C45" s="227" t="s">
        <v>200</v>
      </c>
      <c r="D45" s="228">
        <v>1350</v>
      </c>
      <c r="E45" s="228">
        <v>12</v>
      </c>
      <c r="F45" s="228">
        <v>386.5</v>
      </c>
      <c r="G45" s="228">
        <v>385.85</v>
      </c>
      <c r="H45" s="228">
        <v>0.65</v>
      </c>
      <c r="I45" s="229">
        <v>1.6999999999999999E-3</v>
      </c>
      <c r="J45" s="228">
        <v>385.3</v>
      </c>
      <c r="K45" s="228">
        <v>384.75</v>
      </c>
      <c r="L45" s="228">
        <v>0.55000000000000004</v>
      </c>
      <c r="M45" s="229">
        <v>1.4E-3</v>
      </c>
      <c r="N45" s="228">
        <v>386.5</v>
      </c>
      <c r="O45" s="228">
        <v>385.85</v>
      </c>
      <c r="P45" s="228">
        <v>0.65</v>
      </c>
      <c r="Q45" s="229">
        <v>1.6999999999999999E-3</v>
      </c>
      <c r="R45" s="228">
        <v>388.85</v>
      </c>
      <c r="S45" s="228">
        <v>388</v>
      </c>
      <c r="T45" s="228">
        <v>0.85</v>
      </c>
      <c r="U45" s="229">
        <v>2.2000000000000001E-3</v>
      </c>
      <c r="V45" s="228">
        <v>387.05</v>
      </c>
      <c r="W45" s="228">
        <v>386.3</v>
      </c>
      <c r="X45" s="228">
        <v>0.75</v>
      </c>
      <c r="Y45" s="229">
        <v>1.9E-3</v>
      </c>
      <c r="Z45" s="228">
        <v>1.2</v>
      </c>
      <c r="AA45" s="228">
        <v>1.1000000000000001</v>
      </c>
      <c r="AB45" s="228">
        <v>0.1</v>
      </c>
      <c r="AC45" s="229">
        <v>3.0999999999999999E-3</v>
      </c>
      <c r="AD45" s="228">
        <v>1.2</v>
      </c>
      <c r="AE45" s="228">
        <v>1.1000000000000001</v>
      </c>
      <c r="AF45" s="228">
        <v>0.1</v>
      </c>
      <c r="AG45" s="229">
        <v>3.0999999999999999E-3</v>
      </c>
      <c r="AH45" s="228">
        <v>3.55</v>
      </c>
      <c r="AI45" s="228">
        <v>3.25</v>
      </c>
      <c r="AJ45" s="228">
        <v>0.3</v>
      </c>
      <c r="AK45" s="229">
        <v>9.1999999999999998E-3</v>
      </c>
      <c r="AL45" s="228">
        <v>1.75</v>
      </c>
      <c r="AM45" s="228">
        <v>1.55</v>
      </c>
      <c r="AN45" s="228">
        <v>0.2</v>
      </c>
      <c r="AO45" s="229">
        <v>4.4999999999999997E-3</v>
      </c>
      <c r="AP45" s="228">
        <v>386.34</v>
      </c>
      <c r="AQ45" s="228">
        <v>388.78</v>
      </c>
      <c r="AR45" s="228">
        <v>0</v>
      </c>
      <c r="AS45" s="228">
        <v>266</v>
      </c>
      <c r="AT45" s="228">
        <v>172</v>
      </c>
      <c r="AU45" s="228">
        <v>95</v>
      </c>
      <c r="AV45" s="229">
        <v>0.55130000000000001</v>
      </c>
      <c r="AW45" s="228">
        <v>174</v>
      </c>
      <c r="AX45" s="228">
        <v>136</v>
      </c>
      <c r="AY45" s="228">
        <v>38</v>
      </c>
      <c r="AZ45" s="229">
        <v>0.2752</v>
      </c>
      <c r="BA45" s="228">
        <v>90</v>
      </c>
      <c r="BB45" s="228">
        <v>33</v>
      </c>
      <c r="BC45" s="228">
        <v>57</v>
      </c>
      <c r="BD45" s="229">
        <v>1.6931</v>
      </c>
      <c r="BE45" s="228">
        <v>2</v>
      </c>
      <c r="BF45" s="228">
        <v>2</v>
      </c>
      <c r="BG45" s="228">
        <v>0</v>
      </c>
      <c r="BH45" s="229">
        <v>0.23530000000000001</v>
      </c>
      <c r="BI45" s="228">
        <v>309</v>
      </c>
      <c r="BJ45" s="228">
        <v>462</v>
      </c>
      <c r="BK45" s="228">
        <v>-153</v>
      </c>
      <c r="BL45" s="229">
        <v>-0.33119999999999999</v>
      </c>
      <c r="BM45" s="228">
        <v>231</v>
      </c>
      <c r="BN45" s="228">
        <v>266</v>
      </c>
      <c r="BO45" s="228">
        <v>-35</v>
      </c>
      <c r="BP45" s="229">
        <v>-0.1318</v>
      </c>
      <c r="BQ45" s="228">
        <v>807</v>
      </c>
      <c r="BR45" s="228">
        <v>900</v>
      </c>
      <c r="BS45" s="228">
        <v>-93</v>
      </c>
      <c r="BT45" s="229">
        <v>-0.1038</v>
      </c>
      <c r="BU45" s="230">
        <v>2623922</v>
      </c>
      <c r="BV45" s="230">
        <v>4163488</v>
      </c>
      <c r="BW45" s="230">
        <v>-1539566</v>
      </c>
      <c r="BX45" s="229">
        <v>-0.36980000000000002</v>
      </c>
      <c r="BY45" s="230">
        <v>2114</v>
      </c>
      <c r="BZ45" s="230">
        <v>2158</v>
      </c>
      <c r="CA45" s="228">
        <v>-44</v>
      </c>
      <c r="CB45" s="229">
        <v>-2.0400000000000001E-2</v>
      </c>
      <c r="CC45" s="230">
        <v>1810</v>
      </c>
      <c r="CD45" s="230">
        <v>1883</v>
      </c>
      <c r="CE45" s="228">
        <v>-73</v>
      </c>
      <c r="CF45" s="229">
        <v>-3.9E-2</v>
      </c>
      <c r="CG45" s="228">
        <v>283</v>
      </c>
      <c r="CH45" s="228">
        <v>254</v>
      </c>
      <c r="CI45" s="228">
        <v>29</v>
      </c>
      <c r="CJ45" s="229">
        <v>0.1125</v>
      </c>
      <c r="CK45" s="228">
        <v>21</v>
      </c>
      <c r="CL45" s="228">
        <v>20</v>
      </c>
      <c r="CM45" s="228">
        <v>1</v>
      </c>
      <c r="CN45" s="229">
        <v>3.6499999999999998E-2</v>
      </c>
      <c r="CO45" s="228">
        <v>756</v>
      </c>
      <c r="CP45" s="228">
        <v>761</v>
      </c>
      <c r="CQ45" s="228">
        <v>-5</v>
      </c>
      <c r="CR45" s="229">
        <v>-7.1000000000000004E-3</v>
      </c>
      <c r="CS45" s="228">
        <v>733</v>
      </c>
      <c r="CT45" s="228">
        <v>725</v>
      </c>
      <c r="CU45" s="228">
        <v>8</v>
      </c>
      <c r="CV45" s="229">
        <v>1.0999999999999999E-2</v>
      </c>
      <c r="CW45" s="230">
        <v>3603</v>
      </c>
      <c r="CX45" s="230">
        <v>3644</v>
      </c>
      <c r="CY45" s="228">
        <v>-41</v>
      </c>
      <c r="CZ45" s="229">
        <v>-1.14E-2</v>
      </c>
      <c r="DA45" s="228">
        <v>14.08</v>
      </c>
      <c r="DB45" s="228">
        <v>13.7</v>
      </c>
      <c r="DC45" s="228">
        <v>0.38</v>
      </c>
      <c r="DD45" s="228">
        <v>0.38</v>
      </c>
      <c r="DE45" s="228">
        <v>26.78</v>
      </c>
      <c r="DF45" s="228">
        <v>26.85</v>
      </c>
      <c r="DG45" s="228">
        <v>-12.7</v>
      </c>
      <c r="DH45" s="228">
        <v>-7.0000000000000007E-2</v>
      </c>
      <c r="DI45" s="228">
        <v>13.1</v>
      </c>
      <c r="DJ45" s="228">
        <v>13.31</v>
      </c>
      <c r="DK45" s="228">
        <v>-0.21</v>
      </c>
      <c r="DL45" s="228">
        <v>-0.21</v>
      </c>
      <c r="DM45" s="228">
        <v>15.38</v>
      </c>
      <c r="DN45" s="228">
        <v>14.39</v>
      </c>
      <c r="DO45" s="228">
        <v>0.99</v>
      </c>
      <c r="DP45" s="228">
        <v>0.99</v>
      </c>
      <c r="DQ45" s="228">
        <v>0.97</v>
      </c>
      <c r="DR45" s="228">
        <v>0.95</v>
      </c>
      <c r="DS45" s="228">
        <v>0.02</v>
      </c>
      <c r="DT45" s="229">
        <v>2.1100000000000001E-2</v>
      </c>
      <c r="DU45" s="228">
        <v>380</v>
      </c>
      <c r="DV45" s="228">
        <v>440</v>
      </c>
      <c r="DW45" s="228">
        <v>0.75</v>
      </c>
      <c r="DX45" s="228">
        <v>0.57999999999999996</v>
      </c>
      <c r="DY45" s="228">
        <v>0.17</v>
      </c>
      <c r="DZ45" s="229">
        <v>0.29310000000000003</v>
      </c>
      <c r="EA45" s="229">
        <v>0.14369999999999999</v>
      </c>
      <c r="EB45" s="230">
        <v>7096950</v>
      </c>
      <c r="EC45" s="229">
        <v>6.1000000000000004E-3</v>
      </c>
      <c r="ED45" s="229">
        <v>0.14369999999999999</v>
      </c>
      <c r="EE45" s="228">
        <v>2.44</v>
      </c>
      <c r="EF45" s="229">
        <v>6.3E-3</v>
      </c>
      <c r="EG45" s="230">
        <v>1609788</v>
      </c>
      <c r="EH45" s="230">
        <v>2435788</v>
      </c>
      <c r="EI45" s="229">
        <v>-0.33910000000000001</v>
      </c>
      <c r="EJ45" s="229">
        <v>0.61350000000000005</v>
      </c>
      <c r="EK45" s="228">
        <v>313.88</v>
      </c>
      <c r="EL45" s="228">
        <v>227.32</v>
      </c>
      <c r="EM45" s="228">
        <v>266.93</v>
      </c>
      <c r="EN45" s="228">
        <v>31.44</v>
      </c>
      <c r="EO45" s="228">
        <v>808.14</v>
      </c>
      <c r="EP45" s="228">
        <v>902.16</v>
      </c>
      <c r="EQ45" s="228">
        <v>-94.02</v>
      </c>
      <c r="ER45" s="229">
        <v>-0.1042</v>
      </c>
      <c r="ES45" s="228">
        <v>766.42</v>
      </c>
      <c r="ET45" s="228">
        <v>721.87</v>
      </c>
      <c r="EU45" s="231">
        <v>2115.3000000000002</v>
      </c>
      <c r="EV45" s="231">
        <v>227199238</v>
      </c>
      <c r="EW45" s="231">
        <v>3603.59</v>
      </c>
      <c r="EX45" s="231">
        <v>3641.32</v>
      </c>
      <c r="EY45" s="228">
        <v>-37.729999999999997</v>
      </c>
      <c r="EZ45" s="229">
        <v>-1.04E-2</v>
      </c>
      <c r="FA45" s="229">
        <v>0.4103</v>
      </c>
      <c r="FB45" s="227" t="s">
        <v>556</v>
      </c>
      <c r="FC45">
        <f t="shared" si="0"/>
        <v>304</v>
      </c>
    </row>
    <row r="46" spans="1:159" ht="17.25" thickBot="1" x14ac:dyDescent="0.3">
      <c r="A46" s="226">
        <v>46009</v>
      </c>
      <c r="B46" s="227" t="s">
        <v>221</v>
      </c>
      <c r="C46" s="227" t="s">
        <v>470</v>
      </c>
      <c r="D46" s="228">
        <v>375</v>
      </c>
      <c r="E46" s="228">
        <v>12</v>
      </c>
      <c r="F46" s="231">
        <v>1859.2</v>
      </c>
      <c r="G46" s="231">
        <v>1851.5</v>
      </c>
      <c r="H46" s="228">
        <v>7.7</v>
      </c>
      <c r="I46" s="229">
        <v>4.1999999999999997E-3</v>
      </c>
      <c r="J46" s="231">
        <v>1854.8</v>
      </c>
      <c r="K46" s="231">
        <v>1844.7</v>
      </c>
      <c r="L46" s="228">
        <v>10.1</v>
      </c>
      <c r="M46" s="229">
        <v>5.4999999999999997E-3</v>
      </c>
      <c r="N46" s="231">
        <v>1859.2</v>
      </c>
      <c r="O46" s="231">
        <v>1851.5</v>
      </c>
      <c r="P46" s="228">
        <v>7.7</v>
      </c>
      <c r="Q46" s="229">
        <v>4.1999999999999997E-3</v>
      </c>
      <c r="R46" s="231">
        <v>1861.6</v>
      </c>
      <c r="S46" s="231">
        <v>1858.2</v>
      </c>
      <c r="T46" s="228">
        <v>3.4</v>
      </c>
      <c r="U46" s="229">
        <v>1.8E-3</v>
      </c>
      <c r="V46" s="231">
        <v>1864</v>
      </c>
      <c r="W46" s="231">
        <v>1858.6</v>
      </c>
      <c r="X46" s="228">
        <v>5.4</v>
      </c>
      <c r="Y46" s="229">
        <v>2.8999999999999998E-3</v>
      </c>
      <c r="Z46" s="228">
        <v>4.4000000000000004</v>
      </c>
      <c r="AA46" s="228">
        <v>6.8</v>
      </c>
      <c r="AB46" s="228">
        <v>-2.4</v>
      </c>
      <c r="AC46" s="229">
        <v>2.3999999999999998E-3</v>
      </c>
      <c r="AD46" s="228">
        <v>4.4000000000000004</v>
      </c>
      <c r="AE46" s="228">
        <v>6.8</v>
      </c>
      <c r="AF46" s="228">
        <v>-2.4</v>
      </c>
      <c r="AG46" s="229">
        <v>2.3999999999999998E-3</v>
      </c>
      <c r="AH46" s="228">
        <v>6.8</v>
      </c>
      <c r="AI46" s="228">
        <v>13.5</v>
      </c>
      <c r="AJ46" s="228">
        <v>-6.7</v>
      </c>
      <c r="AK46" s="229">
        <v>3.7000000000000002E-3</v>
      </c>
      <c r="AL46" s="228">
        <v>9.1999999999999993</v>
      </c>
      <c r="AM46" s="228">
        <v>13.9</v>
      </c>
      <c r="AN46" s="228">
        <v>-4.7</v>
      </c>
      <c r="AO46" s="229">
        <v>5.0000000000000001E-3</v>
      </c>
      <c r="AP46" s="231">
        <v>1853.26</v>
      </c>
      <c r="AQ46" s="231">
        <v>1858.67</v>
      </c>
      <c r="AR46" s="228">
        <v>0</v>
      </c>
      <c r="AS46" s="228">
        <v>421</v>
      </c>
      <c r="AT46" s="228">
        <v>431</v>
      </c>
      <c r="AU46" s="228">
        <v>-10</v>
      </c>
      <c r="AV46" s="229">
        <v>-2.3400000000000001E-2</v>
      </c>
      <c r="AW46" s="228">
        <v>384</v>
      </c>
      <c r="AX46" s="228">
        <v>379</v>
      </c>
      <c r="AY46" s="228">
        <v>5</v>
      </c>
      <c r="AZ46" s="229">
        <v>1.4200000000000001E-2</v>
      </c>
      <c r="BA46" s="228">
        <v>34</v>
      </c>
      <c r="BB46" s="228">
        <v>47</v>
      </c>
      <c r="BC46" s="228">
        <v>-13</v>
      </c>
      <c r="BD46" s="229">
        <v>-0.27989999999999998</v>
      </c>
      <c r="BE46" s="228">
        <v>3</v>
      </c>
      <c r="BF46" s="228">
        <v>6</v>
      </c>
      <c r="BG46" s="228">
        <v>-2</v>
      </c>
      <c r="BH46" s="229">
        <v>-0.43209999999999998</v>
      </c>
      <c r="BI46" s="230">
        <v>2038</v>
      </c>
      <c r="BJ46" s="230">
        <v>1689</v>
      </c>
      <c r="BK46" s="228">
        <v>349</v>
      </c>
      <c r="BL46" s="229">
        <v>0.20649999999999999</v>
      </c>
      <c r="BM46" s="228">
        <v>676</v>
      </c>
      <c r="BN46" s="228">
        <v>688</v>
      </c>
      <c r="BO46" s="228">
        <v>-12</v>
      </c>
      <c r="BP46" s="229">
        <v>-1.7000000000000001E-2</v>
      </c>
      <c r="BQ46" s="230">
        <v>3136</v>
      </c>
      <c r="BR46" s="230">
        <v>2809</v>
      </c>
      <c r="BS46" s="228">
        <v>327</v>
      </c>
      <c r="BT46" s="229">
        <v>0.1164</v>
      </c>
      <c r="BU46" s="230">
        <v>1005557</v>
      </c>
      <c r="BV46" s="230">
        <v>751652</v>
      </c>
      <c r="BW46" s="230">
        <v>253905</v>
      </c>
      <c r="BX46" s="229">
        <v>0.33779999999999999</v>
      </c>
      <c r="BY46" s="230">
        <v>2346</v>
      </c>
      <c r="BZ46" s="230">
        <v>2320</v>
      </c>
      <c r="CA46" s="228">
        <v>27</v>
      </c>
      <c r="CB46" s="229">
        <v>1.15E-2</v>
      </c>
      <c r="CC46" s="230">
        <v>2208</v>
      </c>
      <c r="CD46" s="230">
        <v>2189</v>
      </c>
      <c r="CE46" s="228">
        <v>19</v>
      </c>
      <c r="CF46" s="229">
        <v>8.5000000000000006E-3</v>
      </c>
      <c r="CG46" s="228">
        <v>127</v>
      </c>
      <c r="CH46" s="228">
        <v>118</v>
      </c>
      <c r="CI46" s="228">
        <v>9</v>
      </c>
      <c r="CJ46" s="229">
        <v>7.2099999999999997E-2</v>
      </c>
      <c r="CK46" s="228">
        <v>12</v>
      </c>
      <c r="CL46" s="228">
        <v>12</v>
      </c>
      <c r="CM46" s="228">
        <v>0</v>
      </c>
      <c r="CN46" s="229">
        <v>-2.87E-2</v>
      </c>
      <c r="CO46" s="230">
        <v>1437</v>
      </c>
      <c r="CP46" s="230">
        <v>1441</v>
      </c>
      <c r="CQ46" s="228">
        <v>-4</v>
      </c>
      <c r="CR46" s="229">
        <v>-2.7000000000000001E-3</v>
      </c>
      <c r="CS46" s="228">
        <v>661</v>
      </c>
      <c r="CT46" s="228">
        <v>660</v>
      </c>
      <c r="CU46" s="228">
        <v>1</v>
      </c>
      <c r="CV46" s="229">
        <v>1.9E-3</v>
      </c>
      <c r="CW46" s="230">
        <v>4445</v>
      </c>
      <c r="CX46" s="230">
        <v>4420</v>
      </c>
      <c r="CY46" s="228">
        <v>24</v>
      </c>
      <c r="CZ46" s="229">
        <v>5.4999999999999997E-3</v>
      </c>
      <c r="DA46" s="228">
        <v>26.48</v>
      </c>
      <c r="DB46" s="228">
        <v>27.9</v>
      </c>
      <c r="DC46" s="228">
        <v>-1.42</v>
      </c>
      <c r="DD46" s="228">
        <v>-1.42</v>
      </c>
      <c r="DE46" s="228">
        <v>41.02</v>
      </c>
      <c r="DF46" s="228">
        <v>41.11</v>
      </c>
      <c r="DG46" s="228">
        <v>-14.54</v>
      </c>
      <c r="DH46" s="228">
        <v>-0.09</v>
      </c>
      <c r="DI46" s="228">
        <v>26.54</v>
      </c>
      <c r="DJ46" s="228">
        <v>28.21</v>
      </c>
      <c r="DK46" s="228">
        <v>-1.67</v>
      </c>
      <c r="DL46" s="228">
        <v>-1.67</v>
      </c>
      <c r="DM46" s="228">
        <v>26.28</v>
      </c>
      <c r="DN46" s="228">
        <v>27.16</v>
      </c>
      <c r="DO46" s="228">
        <v>-0.88</v>
      </c>
      <c r="DP46" s="228">
        <v>-0.88</v>
      </c>
      <c r="DQ46" s="228">
        <v>0.46</v>
      </c>
      <c r="DR46" s="228">
        <v>0.46</v>
      </c>
      <c r="DS46" s="228">
        <v>0</v>
      </c>
      <c r="DT46" s="229">
        <v>0</v>
      </c>
      <c r="DU46" s="231">
        <v>2000</v>
      </c>
      <c r="DV46" s="231">
        <v>1800</v>
      </c>
      <c r="DW46" s="228">
        <v>0.33</v>
      </c>
      <c r="DX46" s="228">
        <v>0.41</v>
      </c>
      <c r="DY46" s="228">
        <v>-0.08</v>
      </c>
      <c r="DZ46" s="229">
        <v>-0.1951</v>
      </c>
      <c r="EA46" s="229">
        <v>5.8999999999999997E-2</v>
      </c>
      <c r="EB46" s="230">
        <v>700125</v>
      </c>
      <c r="EC46" s="229">
        <v>1.2999999999999999E-3</v>
      </c>
      <c r="ED46" s="229">
        <v>5.8999999999999997E-2</v>
      </c>
      <c r="EE46" s="228">
        <v>5.41</v>
      </c>
      <c r="EF46" s="229">
        <v>2.8999999999999998E-3</v>
      </c>
      <c r="EG46" s="230">
        <v>393429</v>
      </c>
      <c r="EH46" s="230">
        <v>288420</v>
      </c>
      <c r="EI46" s="229">
        <v>0.36409999999999998</v>
      </c>
      <c r="EJ46" s="229">
        <v>0.39129999999999998</v>
      </c>
      <c r="EK46" s="231">
        <v>2113.75</v>
      </c>
      <c r="EL46" s="228">
        <v>669.33</v>
      </c>
      <c r="EM46" s="228">
        <v>419.94</v>
      </c>
      <c r="EN46" s="228">
        <v>58.88</v>
      </c>
      <c r="EO46" s="231">
        <v>3203.03</v>
      </c>
      <c r="EP46" s="231">
        <v>2887.06</v>
      </c>
      <c r="EQ46" s="228">
        <v>315.95999999999998</v>
      </c>
      <c r="ER46" s="229">
        <v>0.1094</v>
      </c>
      <c r="ES46" s="231">
        <v>1501.57</v>
      </c>
      <c r="ET46" s="228">
        <v>645.76</v>
      </c>
      <c r="EU46" s="231">
        <v>2346.5500000000002</v>
      </c>
      <c r="EV46" s="231">
        <v>50163899</v>
      </c>
      <c r="EW46" s="231">
        <v>4493.88</v>
      </c>
      <c r="EX46" s="231">
        <v>4461.71</v>
      </c>
      <c r="EY46" s="228">
        <v>32.17</v>
      </c>
      <c r="EZ46" s="229">
        <v>7.1999999999999998E-3</v>
      </c>
      <c r="FA46" s="229">
        <v>0.47660000000000002</v>
      </c>
      <c r="FB46" s="227" t="s">
        <v>555</v>
      </c>
      <c r="FC46">
        <f t="shared" si="0"/>
        <v>138</v>
      </c>
    </row>
    <row r="47" spans="1:159" ht="17.25" thickBot="1" x14ac:dyDescent="0.3">
      <c r="A47" s="226">
        <v>46009</v>
      </c>
      <c r="B47" s="227" t="s">
        <v>168</v>
      </c>
      <c r="C47" s="227" t="s">
        <v>201</v>
      </c>
      <c r="D47" s="228">
        <v>225</v>
      </c>
      <c r="E47" s="228">
        <v>12</v>
      </c>
      <c r="F47" s="231">
        <v>2095.8000000000002</v>
      </c>
      <c r="G47" s="231">
        <v>2089.6999999999998</v>
      </c>
      <c r="H47" s="228">
        <v>6.1</v>
      </c>
      <c r="I47" s="229">
        <v>2.8999999999999998E-3</v>
      </c>
      <c r="J47" s="231">
        <v>2090</v>
      </c>
      <c r="K47" s="231">
        <v>2087.4</v>
      </c>
      <c r="L47" s="228">
        <v>2.6</v>
      </c>
      <c r="M47" s="229">
        <v>1.1999999999999999E-3</v>
      </c>
      <c r="N47" s="231">
        <v>2095.8000000000002</v>
      </c>
      <c r="O47" s="231">
        <v>2089.6999999999998</v>
      </c>
      <c r="P47" s="228">
        <v>6.1</v>
      </c>
      <c r="Q47" s="229">
        <v>2.8999999999999998E-3</v>
      </c>
      <c r="R47" s="231">
        <v>2104.8000000000002</v>
      </c>
      <c r="S47" s="231">
        <v>2101.3000000000002</v>
      </c>
      <c r="T47" s="228">
        <v>3.5</v>
      </c>
      <c r="U47" s="229">
        <v>1.6999999999999999E-3</v>
      </c>
      <c r="V47" s="231">
        <v>2117.8000000000002</v>
      </c>
      <c r="W47" s="231">
        <v>2112.6999999999998</v>
      </c>
      <c r="X47" s="228">
        <v>5.0999999999999996</v>
      </c>
      <c r="Y47" s="229">
        <v>2.3999999999999998E-3</v>
      </c>
      <c r="Z47" s="228">
        <v>5.8</v>
      </c>
      <c r="AA47" s="228">
        <v>2.2999999999999998</v>
      </c>
      <c r="AB47" s="228">
        <v>3.5</v>
      </c>
      <c r="AC47" s="229">
        <v>2.8E-3</v>
      </c>
      <c r="AD47" s="228">
        <v>5.8</v>
      </c>
      <c r="AE47" s="228">
        <v>2.2999999999999998</v>
      </c>
      <c r="AF47" s="228">
        <v>3.5</v>
      </c>
      <c r="AG47" s="229">
        <v>2.8E-3</v>
      </c>
      <c r="AH47" s="228">
        <v>14.8</v>
      </c>
      <c r="AI47" s="228">
        <v>13.9</v>
      </c>
      <c r="AJ47" s="228">
        <v>0.9</v>
      </c>
      <c r="AK47" s="229">
        <v>7.1000000000000004E-3</v>
      </c>
      <c r="AL47" s="228">
        <v>27.8</v>
      </c>
      <c r="AM47" s="228">
        <v>25.3</v>
      </c>
      <c r="AN47" s="228">
        <v>2.5</v>
      </c>
      <c r="AO47" s="229">
        <v>1.3299999999999999E-2</v>
      </c>
      <c r="AP47" s="231">
        <v>2082.36</v>
      </c>
      <c r="AQ47" s="231">
        <v>2093.0500000000002</v>
      </c>
      <c r="AR47" s="228">
        <v>0</v>
      </c>
      <c r="AS47" s="228">
        <v>235</v>
      </c>
      <c r="AT47" s="228">
        <v>419</v>
      </c>
      <c r="AU47" s="228">
        <v>-184</v>
      </c>
      <c r="AV47" s="229">
        <v>-0.43919999999999998</v>
      </c>
      <c r="AW47" s="228">
        <v>161</v>
      </c>
      <c r="AX47" s="228">
        <v>283</v>
      </c>
      <c r="AY47" s="228">
        <v>-122</v>
      </c>
      <c r="AZ47" s="229">
        <v>-0.43020000000000003</v>
      </c>
      <c r="BA47" s="228">
        <v>71</v>
      </c>
      <c r="BB47" s="228">
        <v>128</v>
      </c>
      <c r="BC47" s="228">
        <v>-56</v>
      </c>
      <c r="BD47" s="229">
        <v>-0.44240000000000002</v>
      </c>
      <c r="BE47" s="228">
        <v>2</v>
      </c>
      <c r="BF47" s="228">
        <v>8</v>
      </c>
      <c r="BG47" s="228">
        <v>-6</v>
      </c>
      <c r="BH47" s="229">
        <v>-0.70109999999999995</v>
      </c>
      <c r="BI47" s="228">
        <v>597</v>
      </c>
      <c r="BJ47" s="228">
        <v>762</v>
      </c>
      <c r="BK47" s="228">
        <v>-165</v>
      </c>
      <c r="BL47" s="229">
        <v>-0.21659999999999999</v>
      </c>
      <c r="BM47" s="228">
        <v>325</v>
      </c>
      <c r="BN47" s="228">
        <v>576</v>
      </c>
      <c r="BO47" s="228">
        <v>-252</v>
      </c>
      <c r="BP47" s="229">
        <v>-0.43669999999999998</v>
      </c>
      <c r="BQ47" s="230">
        <v>1157</v>
      </c>
      <c r="BR47" s="230">
        <v>1757</v>
      </c>
      <c r="BS47" s="228">
        <v>-601</v>
      </c>
      <c r="BT47" s="229">
        <v>-0.34179999999999999</v>
      </c>
      <c r="BU47" s="230">
        <v>234174</v>
      </c>
      <c r="BV47" s="230">
        <v>399103</v>
      </c>
      <c r="BW47" s="230">
        <v>-164929</v>
      </c>
      <c r="BX47" s="229">
        <v>-0.41320000000000001</v>
      </c>
      <c r="BY47" s="230">
        <v>1549</v>
      </c>
      <c r="BZ47" s="230">
        <v>1507</v>
      </c>
      <c r="CA47" s="228">
        <v>42</v>
      </c>
      <c r="CB47" s="229">
        <v>2.7900000000000001E-2</v>
      </c>
      <c r="CC47" s="230">
        <v>1326</v>
      </c>
      <c r="CD47" s="230">
        <v>1330</v>
      </c>
      <c r="CE47" s="228">
        <v>-4</v>
      </c>
      <c r="CF47" s="229">
        <v>-2.8999999999999998E-3</v>
      </c>
      <c r="CG47" s="228">
        <v>209</v>
      </c>
      <c r="CH47" s="228">
        <v>164</v>
      </c>
      <c r="CI47" s="228">
        <v>45</v>
      </c>
      <c r="CJ47" s="229">
        <v>0.27550000000000002</v>
      </c>
      <c r="CK47" s="228">
        <v>14</v>
      </c>
      <c r="CL47" s="228">
        <v>13</v>
      </c>
      <c r="CM47" s="228">
        <v>1</v>
      </c>
      <c r="CN47" s="229">
        <v>6.2E-2</v>
      </c>
      <c r="CO47" s="228">
        <v>628</v>
      </c>
      <c r="CP47" s="228">
        <v>649</v>
      </c>
      <c r="CQ47" s="228">
        <v>-21</v>
      </c>
      <c r="CR47" s="229">
        <v>-3.2500000000000001E-2</v>
      </c>
      <c r="CS47" s="228">
        <v>403</v>
      </c>
      <c r="CT47" s="228">
        <v>406</v>
      </c>
      <c r="CU47" s="228">
        <v>-3</v>
      </c>
      <c r="CV47" s="229">
        <v>-8.6E-3</v>
      </c>
      <c r="CW47" s="230">
        <v>2580</v>
      </c>
      <c r="CX47" s="230">
        <v>2562</v>
      </c>
      <c r="CY47" s="228">
        <v>17</v>
      </c>
      <c r="CZ47" s="229">
        <v>6.7999999999999996E-3</v>
      </c>
      <c r="DA47" s="228">
        <v>20.5</v>
      </c>
      <c r="DB47" s="228">
        <v>22.16</v>
      </c>
      <c r="DC47" s="228">
        <v>-1.66</v>
      </c>
      <c r="DD47" s="228">
        <v>-1.66</v>
      </c>
      <c r="DE47" s="228">
        <v>27.07</v>
      </c>
      <c r="DF47" s="228">
        <v>27.14</v>
      </c>
      <c r="DG47" s="228">
        <v>-6.57</v>
      </c>
      <c r="DH47" s="228">
        <v>-7.0000000000000007E-2</v>
      </c>
      <c r="DI47" s="228">
        <v>20.54</v>
      </c>
      <c r="DJ47" s="228">
        <v>23.06</v>
      </c>
      <c r="DK47" s="228">
        <v>-2.52</v>
      </c>
      <c r="DL47" s="228">
        <v>-2.52</v>
      </c>
      <c r="DM47" s="228">
        <v>20.43</v>
      </c>
      <c r="DN47" s="228">
        <v>20.97</v>
      </c>
      <c r="DO47" s="228">
        <v>-0.54</v>
      </c>
      <c r="DP47" s="228">
        <v>-0.54</v>
      </c>
      <c r="DQ47" s="228">
        <v>0.64</v>
      </c>
      <c r="DR47" s="228">
        <v>0.63</v>
      </c>
      <c r="DS47" s="228">
        <v>0.01</v>
      </c>
      <c r="DT47" s="229">
        <v>1.5900000000000001E-2</v>
      </c>
      <c r="DU47" s="231">
        <v>2200</v>
      </c>
      <c r="DV47" s="231">
        <v>2200</v>
      </c>
      <c r="DW47" s="228">
        <v>0.54</v>
      </c>
      <c r="DX47" s="228">
        <v>0.76</v>
      </c>
      <c r="DY47" s="228">
        <v>-0.22</v>
      </c>
      <c r="DZ47" s="229">
        <v>-0.28949999999999998</v>
      </c>
      <c r="EA47" s="229">
        <v>0.14369999999999999</v>
      </c>
      <c r="EB47" s="230">
        <v>843300</v>
      </c>
      <c r="EC47" s="229">
        <v>4.3E-3</v>
      </c>
      <c r="ED47" s="229">
        <v>0.14369999999999999</v>
      </c>
      <c r="EE47" s="228">
        <v>10.69</v>
      </c>
      <c r="EF47" s="229">
        <v>5.1000000000000004E-3</v>
      </c>
      <c r="EG47" s="230">
        <v>111547</v>
      </c>
      <c r="EH47" s="230">
        <v>206101</v>
      </c>
      <c r="EI47" s="229">
        <v>-0.45879999999999999</v>
      </c>
      <c r="EJ47" s="229">
        <v>0.4763</v>
      </c>
      <c r="EK47" s="228">
        <v>620.77</v>
      </c>
      <c r="EL47" s="228">
        <v>318.60000000000002</v>
      </c>
      <c r="EM47" s="228">
        <v>233.81</v>
      </c>
      <c r="EN47" s="228">
        <v>36.700000000000003</v>
      </c>
      <c r="EO47" s="231">
        <v>1173.19</v>
      </c>
      <c r="EP47" s="231">
        <v>1804.13</v>
      </c>
      <c r="EQ47" s="228">
        <v>-630.94000000000005</v>
      </c>
      <c r="ER47" s="229">
        <v>-0.34970000000000001</v>
      </c>
      <c r="ES47" s="228">
        <v>665.24</v>
      </c>
      <c r="ET47" s="228">
        <v>407.89</v>
      </c>
      <c r="EU47" s="231">
        <v>1550.1</v>
      </c>
      <c r="EV47" s="231">
        <v>19990944</v>
      </c>
      <c r="EW47" s="231">
        <v>2623.24</v>
      </c>
      <c r="EX47" s="231">
        <v>2604.96</v>
      </c>
      <c r="EY47" s="228">
        <v>18.28</v>
      </c>
      <c r="EZ47" s="229">
        <v>7.0000000000000001E-3</v>
      </c>
      <c r="FA47" s="229">
        <v>0.61570000000000003</v>
      </c>
      <c r="FB47" s="227" t="s">
        <v>555</v>
      </c>
      <c r="FC47">
        <f t="shared" si="0"/>
        <v>223</v>
      </c>
    </row>
    <row r="48" spans="1:159" ht="17.25" thickBot="1" x14ac:dyDescent="0.3">
      <c r="A48" s="226">
        <v>46009</v>
      </c>
      <c r="B48" s="227" t="s">
        <v>215</v>
      </c>
      <c r="C48" s="227" t="s">
        <v>202</v>
      </c>
      <c r="D48" s="228">
        <v>1250</v>
      </c>
      <c r="E48" s="228">
        <v>12</v>
      </c>
      <c r="F48" s="228">
        <v>498.8</v>
      </c>
      <c r="G48" s="228">
        <v>496.75</v>
      </c>
      <c r="H48" s="228">
        <v>2.0499999999999998</v>
      </c>
      <c r="I48" s="229">
        <v>4.1000000000000003E-3</v>
      </c>
      <c r="J48" s="228">
        <v>498.25</v>
      </c>
      <c r="K48" s="228">
        <v>496.35</v>
      </c>
      <c r="L48" s="228">
        <v>1.9</v>
      </c>
      <c r="M48" s="229">
        <v>3.8E-3</v>
      </c>
      <c r="N48" s="228">
        <v>498.8</v>
      </c>
      <c r="O48" s="228">
        <v>496.75</v>
      </c>
      <c r="P48" s="228">
        <v>2.0499999999999998</v>
      </c>
      <c r="Q48" s="229">
        <v>4.1000000000000003E-3</v>
      </c>
      <c r="R48" s="228">
        <v>502.1</v>
      </c>
      <c r="S48" s="228">
        <v>499.85</v>
      </c>
      <c r="T48" s="228">
        <v>2.25</v>
      </c>
      <c r="U48" s="229">
        <v>4.4999999999999997E-3</v>
      </c>
      <c r="V48" s="228">
        <v>502.35</v>
      </c>
      <c r="W48" s="228">
        <v>500.2</v>
      </c>
      <c r="X48" s="228">
        <v>2.15</v>
      </c>
      <c r="Y48" s="229">
        <v>4.3E-3</v>
      </c>
      <c r="Z48" s="228">
        <v>0.55000000000000004</v>
      </c>
      <c r="AA48" s="228">
        <v>0.4</v>
      </c>
      <c r="AB48" s="228">
        <v>0.15</v>
      </c>
      <c r="AC48" s="229">
        <v>1.1000000000000001E-3</v>
      </c>
      <c r="AD48" s="228">
        <v>0.55000000000000004</v>
      </c>
      <c r="AE48" s="228">
        <v>0.4</v>
      </c>
      <c r="AF48" s="228">
        <v>0.15</v>
      </c>
      <c r="AG48" s="229">
        <v>1.1000000000000001E-3</v>
      </c>
      <c r="AH48" s="228">
        <v>3.85</v>
      </c>
      <c r="AI48" s="228">
        <v>3.5</v>
      </c>
      <c r="AJ48" s="228">
        <v>0.35</v>
      </c>
      <c r="AK48" s="229">
        <v>7.7000000000000002E-3</v>
      </c>
      <c r="AL48" s="228">
        <v>4.0999999999999996</v>
      </c>
      <c r="AM48" s="228">
        <v>3.85</v>
      </c>
      <c r="AN48" s="228">
        <v>0.25</v>
      </c>
      <c r="AO48" s="229">
        <v>8.2000000000000007E-3</v>
      </c>
      <c r="AP48" s="228">
        <v>495.62</v>
      </c>
      <c r="AQ48" s="228">
        <v>497.96</v>
      </c>
      <c r="AR48" s="228">
        <v>0</v>
      </c>
      <c r="AS48" s="228">
        <v>151</v>
      </c>
      <c r="AT48" s="228">
        <v>134</v>
      </c>
      <c r="AU48" s="228">
        <v>17</v>
      </c>
      <c r="AV48" s="229">
        <v>0.13020000000000001</v>
      </c>
      <c r="AW48" s="228">
        <v>114</v>
      </c>
      <c r="AX48" s="228">
        <v>100</v>
      </c>
      <c r="AY48" s="228">
        <v>13</v>
      </c>
      <c r="AZ48" s="229">
        <v>0.13100000000000001</v>
      </c>
      <c r="BA48" s="228">
        <v>33</v>
      </c>
      <c r="BB48" s="228">
        <v>27</v>
      </c>
      <c r="BC48" s="228">
        <v>5</v>
      </c>
      <c r="BD48" s="229">
        <v>0.20180000000000001</v>
      </c>
      <c r="BE48" s="228">
        <v>5</v>
      </c>
      <c r="BF48" s="228">
        <v>6</v>
      </c>
      <c r="BG48" s="228">
        <v>-1</v>
      </c>
      <c r="BH48" s="229">
        <v>-0.20830000000000001</v>
      </c>
      <c r="BI48" s="228">
        <v>388</v>
      </c>
      <c r="BJ48" s="228">
        <v>267</v>
      </c>
      <c r="BK48" s="228">
        <v>121</v>
      </c>
      <c r="BL48" s="229">
        <v>0.45179999999999998</v>
      </c>
      <c r="BM48" s="228">
        <v>124</v>
      </c>
      <c r="BN48" s="228">
        <v>117</v>
      </c>
      <c r="BO48" s="228">
        <v>7</v>
      </c>
      <c r="BP48" s="229">
        <v>5.79E-2</v>
      </c>
      <c r="BQ48" s="228">
        <v>663</v>
      </c>
      <c r="BR48" s="228">
        <v>518</v>
      </c>
      <c r="BS48" s="228">
        <v>145</v>
      </c>
      <c r="BT48" s="229">
        <v>0.27950000000000003</v>
      </c>
      <c r="BU48" s="230">
        <v>1060008</v>
      </c>
      <c r="BV48" s="230">
        <v>664182</v>
      </c>
      <c r="BW48" s="230">
        <v>395826</v>
      </c>
      <c r="BX48" s="229">
        <v>0.59599999999999997</v>
      </c>
      <c r="BY48" s="230">
        <v>1994</v>
      </c>
      <c r="BZ48" s="230">
        <v>2013</v>
      </c>
      <c r="CA48" s="228">
        <v>-18</v>
      </c>
      <c r="CB48" s="229">
        <v>-9.1000000000000004E-3</v>
      </c>
      <c r="CC48" s="230">
        <v>1804</v>
      </c>
      <c r="CD48" s="230">
        <v>1836</v>
      </c>
      <c r="CE48" s="228">
        <v>-32</v>
      </c>
      <c r="CF48" s="229">
        <v>-1.7500000000000002E-2</v>
      </c>
      <c r="CG48" s="228">
        <v>164</v>
      </c>
      <c r="CH48" s="228">
        <v>152</v>
      </c>
      <c r="CI48" s="228">
        <v>12</v>
      </c>
      <c r="CJ48" s="229">
        <v>7.7399999999999997E-2</v>
      </c>
      <c r="CK48" s="228">
        <v>26</v>
      </c>
      <c r="CL48" s="228">
        <v>24</v>
      </c>
      <c r="CM48" s="228">
        <v>2</v>
      </c>
      <c r="CN48" s="229">
        <v>8.5300000000000001E-2</v>
      </c>
      <c r="CO48" s="228">
        <v>687</v>
      </c>
      <c r="CP48" s="228">
        <v>695</v>
      </c>
      <c r="CQ48" s="228">
        <v>-8</v>
      </c>
      <c r="CR48" s="229">
        <v>-1.17E-2</v>
      </c>
      <c r="CS48" s="228">
        <v>507</v>
      </c>
      <c r="CT48" s="228">
        <v>506</v>
      </c>
      <c r="CU48" s="228">
        <v>1</v>
      </c>
      <c r="CV48" s="229">
        <v>1.5E-3</v>
      </c>
      <c r="CW48" s="230">
        <v>3188</v>
      </c>
      <c r="CX48" s="230">
        <v>3214</v>
      </c>
      <c r="CY48" s="228">
        <v>-26</v>
      </c>
      <c r="CZ48" s="229">
        <v>-8.0000000000000002E-3</v>
      </c>
      <c r="DA48" s="228">
        <v>20.36</v>
      </c>
      <c r="DB48" s="228">
        <v>20.81</v>
      </c>
      <c r="DC48" s="228">
        <v>-0.45</v>
      </c>
      <c r="DD48" s="228">
        <v>-0.45</v>
      </c>
      <c r="DE48" s="228">
        <v>34</v>
      </c>
      <c r="DF48" s="228">
        <v>34.08</v>
      </c>
      <c r="DG48" s="228">
        <v>-13.64</v>
      </c>
      <c r="DH48" s="228">
        <v>-0.08</v>
      </c>
      <c r="DI48" s="228">
        <v>20.65</v>
      </c>
      <c r="DJ48" s="228">
        <v>21.45</v>
      </c>
      <c r="DK48" s="228">
        <v>-0.8</v>
      </c>
      <c r="DL48" s="228">
        <v>-0.8</v>
      </c>
      <c r="DM48" s="228">
        <v>19.43</v>
      </c>
      <c r="DN48" s="228">
        <v>19.37</v>
      </c>
      <c r="DO48" s="228">
        <v>0.06</v>
      </c>
      <c r="DP48" s="228">
        <v>0.06</v>
      </c>
      <c r="DQ48" s="228">
        <v>0.74</v>
      </c>
      <c r="DR48" s="228">
        <v>0.73</v>
      </c>
      <c r="DS48" s="228">
        <v>0.01</v>
      </c>
      <c r="DT48" s="229">
        <v>1.37E-2</v>
      </c>
      <c r="DU48" s="228">
        <v>520</v>
      </c>
      <c r="DV48" s="228">
        <v>500</v>
      </c>
      <c r="DW48" s="228">
        <v>0.32</v>
      </c>
      <c r="DX48" s="228">
        <v>0.44</v>
      </c>
      <c r="DY48" s="228">
        <v>-0.12</v>
      </c>
      <c r="DZ48" s="229">
        <v>-0.2727</v>
      </c>
      <c r="EA48" s="229">
        <v>9.5399999999999999E-2</v>
      </c>
      <c r="EB48" s="230">
        <v>3537500</v>
      </c>
      <c r="EC48" s="229">
        <v>6.6E-3</v>
      </c>
      <c r="ED48" s="229">
        <v>9.5399999999999999E-2</v>
      </c>
      <c r="EE48" s="228">
        <v>2.34</v>
      </c>
      <c r="EF48" s="229">
        <v>4.7000000000000002E-3</v>
      </c>
      <c r="EG48" s="230">
        <v>550083</v>
      </c>
      <c r="EH48" s="230">
        <v>371675</v>
      </c>
      <c r="EI48" s="229">
        <v>0.48</v>
      </c>
      <c r="EJ48" s="229">
        <v>0.51890000000000003</v>
      </c>
      <c r="EK48" s="228">
        <v>399.98</v>
      </c>
      <c r="EL48" s="228">
        <v>124.8</v>
      </c>
      <c r="EM48" s="228">
        <v>150.22999999999999</v>
      </c>
      <c r="EN48" s="228">
        <v>23.87</v>
      </c>
      <c r="EO48" s="228">
        <v>675.01</v>
      </c>
      <c r="EP48" s="228">
        <v>530.32000000000005</v>
      </c>
      <c r="EQ48" s="228">
        <v>144.69</v>
      </c>
      <c r="ER48" s="229">
        <v>0.27279999999999999</v>
      </c>
      <c r="ES48" s="228">
        <v>732.26</v>
      </c>
      <c r="ET48" s="228">
        <v>523.5</v>
      </c>
      <c r="EU48" s="231">
        <v>1995.6</v>
      </c>
      <c r="EV48" s="231">
        <v>48077012</v>
      </c>
      <c r="EW48" s="231">
        <v>3251.35</v>
      </c>
      <c r="EX48" s="231">
        <v>3270.07</v>
      </c>
      <c r="EY48" s="228">
        <v>-18.72</v>
      </c>
      <c r="EZ48" s="229">
        <v>-5.7000000000000002E-3</v>
      </c>
      <c r="FA48" s="229">
        <v>1.3293999999999999</v>
      </c>
      <c r="FB48" s="227" t="s">
        <v>556</v>
      </c>
      <c r="FC48">
        <f t="shared" si="0"/>
        <v>190</v>
      </c>
    </row>
    <row r="49" spans="1:159" ht="17.25" thickBot="1" x14ac:dyDescent="0.3">
      <c r="A49" s="226">
        <v>46009</v>
      </c>
      <c r="B49" s="227" t="s">
        <v>184</v>
      </c>
      <c r="C49" s="227" t="s">
        <v>523</v>
      </c>
      <c r="D49" s="228">
        <v>1800</v>
      </c>
      <c r="E49" s="228">
        <v>12</v>
      </c>
      <c r="F49" s="228">
        <v>256.35000000000002</v>
      </c>
      <c r="G49" s="228">
        <v>249.5</v>
      </c>
      <c r="H49" s="228">
        <v>6.85</v>
      </c>
      <c r="I49" s="229">
        <v>2.75E-2</v>
      </c>
      <c r="J49" s="228">
        <v>255.65</v>
      </c>
      <c r="K49" s="228">
        <v>249.15</v>
      </c>
      <c r="L49" s="228">
        <v>6.5</v>
      </c>
      <c r="M49" s="229">
        <v>2.6100000000000002E-2</v>
      </c>
      <c r="N49" s="228">
        <v>256.35000000000002</v>
      </c>
      <c r="O49" s="228">
        <v>249.5</v>
      </c>
      <c r="P49" s="228">
        <v>6.85</v>
      </c>
      <c r="Q49" s="229">
        <v>2.75E-2</v>
      </c>
      <c r="R49" s="228">
        <v>258.05</v>
      </c>
      <c r="S49" s="228">
        <v>251.05</v>
      </c>
      <c r="T49" s="228">
        <v>7</v>
      </c>
      <c r="U49" s="229">
        <v>2.7900000000000001E-2</v>
      </c>
      <c r="V49" s="228">
        <v>259.64999999999998</v>
      </c>
      <c r="W49" s="228">
        <v>252.25</v>
      </c>
      <c r="X49" s="228">
        <v>7.4</v>
      </c>
      <c r="Y49" s="229">
        <v>2.93E-2</v>
      </c>
      <c r="Z49" s="228">
        <v>0.7</v>
      </c>
      <c r="AA49" s="228">
        <v>0.35</v>
      </c>
      <c r="AB49" s="228">
        <v>0.35</v>
      </c>
      <c r="AC49" s="229">
        <v>2.7000000000000001E-3</v>
      </c>
      <c r="AD49" s="228">
        <v>0.7</v>
      </c>
      <c r="AE49" s="228">
        <v>0.35</v>
      </c>
      <c r="AF49" s="228">
        <v>0.35</v>
      </c>
      <c r="AG49" s="229">
        <v>2.7000000000000001E-3</v>
      </c>
      <c r="AH49" s="228">
        <v>2.4</v>
      </c>
      <c r="AI49" s="228">
        <v>1.9</v>
      </c>
      <c r="AJ49" s="228">
        <v>0.5</v>
      </c>
      <c r="AK49" s="229">
        <v>9.4000000000000004E-3</v>
      </c>
      <c r="AL49" s="228">
        <v>4</v>
      </c>
      <c r="AM49" s="228">
        <v>3.1</v>
      </c>
      <c r="AN49" s="228">
        <v>0.9</v>
      </c>
      <c r="AO49" s="229">
        <v>1.5599999999999999E-2</v>
      </c>
      <c r="AP49" s="228">
        <v>258.67</v>
      </c>
      <c r="AQ49" s="228">
        <v>259.13</v>
      </c>
      <c r="AR49" s="228">
        <v>0</v>
      </c>
      <c r="AS49" s="228">
        <v>471</v>
      </c>
      <c r="AT49" s="228">
        <v>118</v>
      </c>
      <c r="AU49" s="228">
        <v>354</v>
      </c>
      <c r="AV49" s="229">
        <v>3.0074999999999998</v>
      </c>
      <c r="AW49" s="228">
        <v>376</v>
      </c>
      <c r="AX49" s="228">
        <v>98</v>
      </c>
      <c r="AY49" s="228">
        <v>278</v>
      </c>
      <c r="AZ49" s="229">
        <v>2.8254000000000001</v>
      </c>
      <c r="BA49" s="228">
        <v>83</v>
      </c>
      <c r="BB49" s="228">
        <v>17</v>
      </c>
      <c r="BC49" s="228">
        <v>67</v>
      </c>
      <c r="BD49" s="229">
        <v>4</v>
      </c>
      <c r="BE49" s="228">
        <v>12</v>
      </c>
      <c r="BF49" s="228">
        <v>3</v>
      </c>
      <c r="BG49" s="228">
        <v>9</v>
      </c>
      <c r="BH49" s="229">
        <v>3.5171999999999999</v>
      </c>
      <c r="BI49" s="230">
        <v>2684</v>
      </c>
      <c r="BJ49" s="228">
        <v>330</v>
      </c>
      <c r="BK49" s="230">
        <v>2354</v>
      </c>
      <c r="BL49" s="229">
        <v>7.1227</v>
      </c>
      <c r="BM49" s="228">
        <v>935</v>
      </c>
      <c r="BN49" s="228">
        <v>97</v>
      </c>
      <c r="BO49" s="228">
        <v>839</v>
      </c>
      <c r="BP49" s="229">
        <v>8.6707999999999998</v>
      </c>
      <c r="BQ49" s="230">
        <v>4091</v>
      </c>
      <c r="BR49" s="228">
        <v>545</v>
      </c>
      <c r="BS49" s="230">
        <v>3546</v>
      </c>
      <c r="BT49" s="229">
        <v>6.5091000000000001</v>
      </c>
      <c r="BU49" s="230">
        <v>16008382</v>
      </c>
      <c r="BV49" s="230">
        <v>2187099</v>
      </c>
      <c r="BW49" s="230">
        <v>13821283</v>
      </c>
      <c r="BX49" s="229">
        <v>6.3194999999999997</v>
      </c>
      <c r="BY49" s="230">
        <v>1480</v>
      </c>
      <c r="BZ49" s="230">
        <v>1460</v>
      </c>
      <c r="CA49" s="228">
        <v>20</v>
      </c>
      <c r="CB49" s="229">
        <v>1.35E-2</v>
      </c>
      <c r="CC49" s="230">
        <v>1335</v>
      </c>
      <c r="CD49" s="230">
        <v>1349</v>
      </c>
      <c r="CE49" s="228">
        <v>-14</v>
      </c>
      <c r="CF49" s="229">
        <v>-1.0699999999999999E-2</v>
      </c>
      <c r="CG49" s="228">
        <v>123</v>
      </c>
      <c r="CH49" s="228">
        <v>90</v>
      </c>
      <c r="CI49" s="228">
        <v>33</v>
      </c>
      <c r="CJ49" s="229">
        <v>0.36370000000000002</v>
      </c>
      <c r="CK49" s="228">
        <v>22</v>
      </c>
      <c r="CL49" s="228">
        <v>21</v>
      </c>
      <c r="CM49" s="228">
        <v>1</v>
      </c>
      <c r="CN49" s="229">
        <v>5.9700000000000003E-2</v>
      </c>
      <c r="CO49" s="228">
        <v>726</v>
      </c>
      <c r="CP49" s="228">
        <v>627</v>
      </c>
      <c r="CQ49" s="228">
        <v>99</v>
      </c>
      <c r="CR49" s="229">
        <v>0.157</v>
      </c>
      <c r="CS49" s="228">
        <v>348</v>
      </c>
      <c r="CT49" s="228">
        <v>306</v>
      </c>
      <c r="CU49" s="228">
        <v>42</v>
      </c>
      <c r="CV49" s="229">
        <v>0.1366</v>
      </c>
      <c r="CW49" s="230">
        <v>2554</v>
      </c>
      <c r="CX49" s="230">
        <v>2394</v>
      </c>
      <c r="CY49" s="228">
        <v>160</v>
      </c>
      <c r="CZ49" s="229">
        <v>6.6799999999999998E-2</v>
      </c>
      <c r="DA49" s="228">
        <v>27.49</v>
      </c>
      <c r="DB49" s="228">
        <v>26.22</v>
      </c>
      <c r="DC49" s="228">
        <v>1.27</v>
      </c>
      <c r="DD49" s="228">
        <v>1.27</v>
      </c>
      <c r="DE49" s="228">
        <v>30.93</v>
      </c>
      <c r="DF49" s="228">
        <v>30.79</v>
      </c>
      <c r="DG49" s="228">
        <v>-3.44</v>
      </c>
      <c r="DH49" s="228">
        <v>0.14000000000000001</v>
      </c>
      <c r="DI49" s="228">
        <v>28.33</v>
      </c>
      <c r="DJ49" s="228">
        <v>26.6</v>
      </c>
      <c r="DK49" s="228">
        <v>1.73</v>
      </c>
      <c r="DL49" s="228">
        <v>1.73</v>
      </c>
      <c r="DM49" s="228">
        <v>25.09</v>
      </c>
      <c r="DN49" s="228">
        <v>24.93</v>
      </c>
      <c r="DO49" s="228">
        <v>0.16</v>
      </c>
      <c r="DP49" s="228">
        <v>0.16</v>
      </c>
      <c r="DQ49" s="228">
        <v>0.48</v>
      </c>
      <c r="DR49" s="228">
        <v>0.49</v>
      </c>
      <c r="DS49" s="228">
        <v>-0.01</v>
      </c>
      <c r="DT49" s="229">
        <v>-2.0400000000000001E-2</v>
      </c>
      <c r="DU49" s="228">
        <v>280</v>
      </c>
      <c r="DV49" s="228">
        <v>250</v>
      </c>
      <c r="DW49" s="228">
        <v>0.35</v>
      </c>
      <c r="DX49" s="228">
        <v>0.28999999999999998</v>
      </c>
      <c r="DY49" s="228">
        <v>0.06</v>
      </c>
      <c r="DZ49" s="229">
        <v>0.2069</v>
      </c>
      <c r="EA49" s="229">
        <v>9.8100000000000007E-2</v>
      </c>
      <c r="EB49" s="230">
        <v>4332600</v>
      </c>
      <c r="EC49" s="229">
        <v>6.6E-3</v>
      </c>
      <c r="ED49" s="229">
        <v>9.8100000000000007E-2</v>
      </c>
      <c r="EE49" s="228">
        <v>0.46</v>
      </c>
      <c r="EF49" s="229">
        <v>1.8E-3</v>
      </c>
      <c r="EG49" s="230">
        <v>3201195</v>
      </c>
      <c r="EH49" s="230">
        <v>1333924</v>
      </c>
      <c r="EI49" s="229">
        <v>1.3997999999999999</v>
      </c>
      <c r="EJ49" s="229">
        <v>0.2</v>
      </c>
      <c r="EK49" s="231">
        <v>2834.67</v>
      </c>
      <c r="EL49" s="228">
        <v>935.55</v>
      </c>
      <c r="EM49" s="228">
        <v>475.89</v>
      </c>
      <c r="EN49" s="228">
        <v>19.78</v>
      </c>
      <c r="EO49" s="231">
        <v>4246.1099999999997</v>
      </c>
      <c r="EP49" s="228">
        <v>563.4</v>
      </c>
      <c r="EQ49" s="231">
        <v>3682.71</v>
      </c>
      <c r="ER49" s="229">
        <v>6.5366</v>
      </c>
      <c r="ES49" s="228">
        <v>786.25</v>
      </c>
      <c r="ET49" s="228">
        <v>356.6</v>
      </c>
      <c r="EU49" s="231">
        <v>1481.14</v>
      </c>
      <c r="EV49" s="231">
        <v>81400589</v>
      </c>
      <c r="EW49" s="231">
        <v>2623.99</v>
      </c>
      <c r="EX49" s="231">
        <v>2414.34</v>
      </c>
      <c r="EY49" s="228">
        <v>209.65</v>
      </c>
      <c r="EZ49" s="229">
        <v>8.6800000000000002E-2</v>
      </c>
      <c r="FA49" s="229">
        <v>1.224</v>
      </c>
      <c r="FB49" s="227" t="s">
        <v>555</v>
      </c>
      <c r="FC49">
        <f t="shared" si="0"/>
        <v>145</v>
      </c>
    </row>
    <row r="50" spans="1:159" ht="17.25" thickBot="1" x14ac:dyDescent="0.3">
      <c r="A50" s="226">
        <v>46009</v>
      </c>
      <c r="B50" s="227" t="s">
        <v>184</v>
      </c>
      <c r="C50" s="227" t="s">
        <v>203</v>
      </c>
      <c r="D50" s="228">
        <v>200</v>
      </c>
      <c r="E50" s="228">
        <v>12</v>
      </c>
      <c r="F50" s="231">
        <v>4389.8</v>
      </c>
      <c r="G50" s="231">
        <v>4521.1000000000004</v>
      </c>
      <c r="H50" s="228">
        <v>-131.30000000000001</v>
      </c>
      <c r="I50" s="229">
        <v>-2.9000000000000001E-2</v>
      </c>
      <c r="J50" s="231">
        <v>4385.3999999999996</v>
      </c>
      <c r="K50" s="231">
        <v>4512.7</v>
      </c>
      <c r="L50" s="228">
        <v>-127.3</v>
      </c>
      <c r="M50" s="229">
        <v>-2.8199999999999999E-2</v>
      </c>
      <c r="N50" s="231">
        <v>4389.8</v>
      </c>
      <c r="O50" s="231">
        <v>4521.1000000000004</v>
      </c>
      <c r="P50" s="228">
        <v>-131.30000000000001</v>
      </c>
      <c r="Q50" s="229">
        <v>-2.9000000000000001E-2</v>
      </c>
      <c r="R50" s="231">
        <v>4417.5</v>
      </c>
      <c r="S50" s="231">
        <v>4550.3999999999996</v>
      </c>
      <c r="T50" s="228">
        <v>-132.9</v>
      </c>
      <c r="U50" s="229">
        <v>-2.92E-2</v>
      </c>
      <c r="V50" s="231">
        <v>4418</v>
      </c>
      <c r="W50" s="231">
        <v>4563.7</v>
      </c>
      <c r="X50" s="228">
        <v>-145.69999999999999</v>
      </c>
      <c r="Y50" s="229">
        <v>-3.1899999999999998E-2</v>
      </c>
      <c r="Z50" s="228">
        <v>4.4000000000000004</v>
      </c>
      <c r="AA50" s="228">
        <v>8.4</v>
      </c>
      <c r="AB50" s="228">
        <v>-4</v>
      </c>
      <c r="AC50" s="229">
        <v>1E-3</v>
      </c>
      <c r="AD50" s="228">
        <v>4.4000000000000004</v>
      </c>
      <c r="AE50" s="228">
        <v>8.4</v>
      </c>
      <c r="AF50" s="228">
        <v>-4</v>
      </c>
      <c r="AG50" s="229">
        <v>1E-3</v>
      </c>
      <c r="AH50" s="228">
        <v>32.1</v>
      </c>
      <c r="AI50" s="228">
        <v>37.700000000000003</v>
      </c>
      <c r="AJ50" s="228">
        <v>-5.6</v>
      </c>
      <c r="AK50" s="229">
        <v>7.3000000000000001E-3</v>
      </c>
      <c r="AL50" s="228">
        <v>32.6</v>
      </c>
      <c r="AM50" s="228">
        <v>51</v>
      </c>
      <c r="AN50" s="228">
        <v>-18.399999999999999</v>
      </c>
      <c r="AO50" s="229">
        <v>7.4000000000000003E-3</v>
      </c>
      <c r="AP50" s="231">
        <v>4408.5600000000004</v>
      </c>
      <c r="AQ50" s="231">
        <v>4427.0600000000004</v>
      </c>
      <c r="AR50" s="228">
        <v>0</v>
      </c>
      <c r="AS50" s="228">
        <v>356</v>
      </c>
      <c r="AT50" s="228">
        <v>121</v>
      </c>
      <c r="AU50" s="228">
        <v>235</v>
      </c>
      <c r="AV50" s="229">
        <v>1.9341999999999999</v>
      </c>
      <c r="AW50" s="228">
        <v>285</v>
      </c>
      <c r="AX50" s="228">
        <v>111</v>
      </c>
      <c r="AY50" s="228">
        <v>174</v>
      </c>
      <c r="AZ50" s="229">
        <v>1.5712999999999999</v>
      </c>
      <c r="BA50" s="228">
        <v>68</v>
      </c>
      <c r="BB50" s="228">
        <v>10</v>
      </c>
      <c r="BC50" s="228">
        <v>58</v>
      </c>
      <c r="BD50" s="229">
        <v>5.6325000000000003</v>
      </c>
      <c r="BE50" s="228">
        <v>3</v>
      </c>
      <c r="BF50" s="228">
        <v>0</v>
      </c>
      <c r="BG50" s="228">
        <v>3</v>
      </c>
      <c r="BH50" s="229">
        <v>8.25</v>
      </c>
      <c r="BI50" s="230">
        <v>1811</v>
      </c>
      <c r="BJ50" s="228">
        <v>776</v>
      </c>
      <c r="BK50" s="230">
        <v>1035</v>
      </c>
      <c r="BL50" s="229">
        <v>1.3333999999999999</v>
      </c>
      <c r="BM50" s="230">
        <v>1441</v>
      </c>
      <c r="BN50" s="228">
        <v>259</v>
      </c>
      <c r="BO50" s="230">
        <v>1182</v>
      </c>
      <c r="BP50" s="229">
        <v>4.5599999999999996</v>
      </c>
      <c r="BQ50" s="230">
        <v>3608</v>
      </c>
      <c r="BR50" s="230">
        <v>1157</v>
      </c>
      <c r="BS50" s="230">
        <v>2451</v>
      </c>
      <c r="BT50" s="229">
        <v>2.1196000000000002</v>
      </c>
      <c r="BU50" s="230">
        <v>526684</v>
      </c>
      <c r="BV50" s="230">
        <v>261622</v>
      </c>
      <c r="BW50" s="230">
        <v>265062</v>
      </c>
      <c r="BX50" s="229">
        <v>1.0130999999999999</v>
      </c>
      <c r="BY50" s="230">
        <v>1300</v>
      </c>
      <c r="BZ50" s="230">
        <v>1275</v>
      </c>
      <c r="CA50" s="228">
        <v>25</v>
      </c>
      <c r="CB50" s="229">
        <v>1.9400000000000001E-2</v>
      </c>
      <c r="CC50" s="230">
        <v>1238</v>
      </c>
      <c r="CD50" s="230">
        <v>1238</v>
      </c>
      <c r="CE50" s="228">
        <v>-1</v>
      </c>
      <c r="CF50" s="229">
        <v>-5.0000000000000001E-4</v>
      </c>
      <c r="CG50" s="228">
        <v>58</v>
      </c>
      <c r="CH50" s="228">
        <v>33</v>
      </c>
      <c r="CI50" s="228">
        <v>25</v>
      </c>
      <c r="CJ50" s="229">
        <v>0.75870000000000004</v>
      </c>
      <c r="CK50" s="228">
        <v>4</v>
      </c>
      <c r="CL50" s="228">
        <v>4</v>
      </c>
      <c r="CM50" s="228">
        <v>1</v>
      </c>
      <c r="CN50" s="229">
        <v>0.13639999999999999</v>
      </c>
      <c r="CO50" s="228">
        <v>574</v>
      </c>
      <c r="CP50" s="228">
        <v>471</v>
      </c>
      <c r="CQ50" s="228">
        <v>104</v>
      </c>
      <c r="CR50" s="229">
        <v>0.22009999999999999</v>
      </c>
      <c r="CS50" s="228">
        <v>357</v>
      </c>
      <c r="CT50" s="228">
        <v>351</v>
      </c>
      <c r="CU50" s="228">
        <v>6</v>
      </c>
      <c r="CV50" s="229">
        <v>1.78E-2</v>
      </c>
      <c r="CW50" s="230">
        <v>2231</v>
      </c>
      <c r="CX50" s="230">
        <v>2097</v>
      </c>
      <c r="CY50" s="228">
        <v>135</v>
      </c>
      <c r="CZ50" s="229">
        <v>6.4199999999999993E-2</v>
      </c>
      <c r="DA50" s="228">
        <v>22.88</v>
      </c>
      <c r="DB50" s="228">
        <v>20.47</v>
      </c>
      <c r="DC50" s="228">
        <v>2.41</v>
      </c>
      <c r="DD50" s="228">
        <v>2.41</v>
      </c>
      <c r="DE50" s="228">
        <v>33.61</v>
      </c>
      <c r="DF50" s="228">
        <v>33.47</v>
      </c>
      <c r="DG50" s="228">
        <v>-10.73</v>
      </c>
      <c r="DH50" s="228">
        <v>0.14000000000000001</v>
      </c>
      <c r="DI50" s="228">
        <v>22.99</v>
      </c>
      <c r="DJ50" s="228">
        <v>20.25</v>
      </c>
      <c r="DK50" s="228">
        <v>2.74</v>
      </c>
      <c r="DL50" s="228">
        <v>2.74</v>
      </c>
      <c r="DM50" s="228">
        <v>22.73</v>
      </c>
      <c r="DN50" s="228">
        <v>21.15</v>
      </c>
      <c r="DO50" s="228">
        <v>1.58</v>
      </c>
      <c r="DP50" s="228">
        <v>1.58</v>
      </c>
      <c r="DQ50" s="228">
        <v>0.62</v>
      </c>
      <c r="DR50" s="228">
        <v>0.75</v>
      </c>
      <c r="DS50" s="228">
        <v>-0.13</v>
      </c>
      <c r="DT50" s="229">
        <v>-0.17330000000000001</v>
      </c>
      <c r="DU50" s="231">
        <v>4500</v>
      </c>
      <c r="DV50" s="231">
        <v>4400</v>
      </c>
      <c r="DW50" s="228">
        <v>0.8</v>
      </c>
      <c r="DX50" s="228">
        <v>0.33</v>
      </c>
      <c r="DY50" s="228">
        <v>0.47</v>
      </c>
      <c r="DZ50" s="229">
        <v>1.4241999999999999</v>
      </c>
      <c r="EA50" s="229">
        <v>4.7699999999999999E-2</v>
      </c>
      <c r="EB50" s="230">
        <v>83400</v>
      </c>
      <c r="EC50" s="229">
        <v>6.3E-3</v>
      </c>
      <c r="ED50" s="229">
        <v>4.7699999999999999E-2</v>
      </c>
      <c r="EE50" s="228">
        <v>18.5</v>
      </c>
      <c r="EF50" s="229">
        <v>4.1999999999999997E-3</v>
      </c>
      <c r="EG50" s="230">
        <v>276834</v>
      </c>
      <c r="EH50" s="230">
        <v>179797</v>
      </c>
      <c r="EI50" s="229">
        <v>0.53969999999999996</v>
      </c>
      <c r="EJ50" s="229">
        <v>0.52559999999999996</v>
      </c>
      <c r="EK50" s="231">
        <v>1878.74</v>
      </c>
      <c r="EL50" s="231">
        <v>1442.22</v>
      </c>
      <c r="EM50" s="228">
        <v>358.11</v>
      </c>
      <c r="EN50" s="228">
        <v>21.8</v>
      </c>
      <c r="EO50" s="231">
        <v>3679.06</v>
      </c>
      <c r="EP50" s="231">
        <v>1207.32</v>
      </c>
      <c r="EQ50" s="231">
        <v>2471.7399999999998</v>
      </c>
      <c r="ER50" s="229">
        <v>2.0472999999999999</v>
      </c>
      <c r="ES50" s="228">
        <v>600.23</v>
      </c>
      <c r="ET50" s="228">
        <v>349.97</v>
      </c>
      <c r="EU50" s="231">
        <v>1300.21</v>
      </c>
      <c r="EV50" s="231">
        <v>20374200</v>
      </c>
      <c r="EW50" s="231">
        <v>2250.41</v>
      </c>
      <c r="EX50" s="231">
        <v>2155.21</v>
      </c>
      <c r="EY50" s="228">
        <v>95.2</v>
      </c>
      <c r="EZ50" s="229">
        <v>4.4200000000000003E-2</v>
      </c>
      <c r="FA50" s="229">
        <v>0.2495</v>
      </c>
      <c r="FB50" s="227" t="s">
        <v>567</v>
      </c>
      <c r="FC50">
        <f t="shared" si="0"/>
        <v>62</v>
      </c>
    </row>
    <row r="51" spans="1:159" ht="17.25" thickBot="1" x14ac:dyDescent="0.3">
      <c r="A51" s="226">
        <v>46009</v>
      </c>
      <c r="B51" s="227" t="s">
        <v>221</v>
      </c>
      <c r="C51" s="227" t="s">
        <v>572</v>
      </c>
      <c r="D51" s="228">
        <v>425</v>
      </c>
      <c r="E51" s="228">
        <v>12</v>
      </c>
      <c r="F51" s="231">
        <v>1144.0999999999999</v>
      </c>
      <c r="G51" s="231">
        <v>1142.3</v>
      </c>
      <c r="H51" s="228">
        <v>1.8</v>
      </c>
      <c r="I51" s="229">
        <v>1.6000000000000001E-3</v>
      </c>
      <c r="J51" s="231">
        <v>1141.3</v>
      </c>
      <c r="K51" s="231">
        <v>1138.8</v>
      </c>
      <c r="L51" s="228">
        <v>2.5</v>
      </c>
      <c r="M51" s="229">
        <v>2.2000000000000001E-3</v>
      </c>
      <c r="N51" s="231">
        <v>1144.0999999999999</v>
      </c>
      <c r="O51" s="231">
        <v>1142.3</v>
      </c>
      <c r="P51" s="228">
        <v>1.8</v>
      </c>
      <c r="Q51" s="229">
        <v>1.6000000000000001E-3</v>
      </c>
      <c r="R51" s="228">
        <v>0</v>
      </c>
      <c r="S51" s="228">
        <v>0</v>
      </c>
      <c r="T51" s="228">
        <v>0</v>
      </c>
      <c r="U51" s="229">
        <v>0</v>
      </c>
      <c r="V51" s="228">
        <v>0</v>
      </c>
      <c r="W51" s="228">
        <v>0</v>
      </c>
      <c r="X51" s="228">
        <v>0</v>
      </c>
      <c r="Y51" s="229">
        <v>0</v>
      </c>
      <c r="Z51" s="228">
        <v>2.8</v>
      </c>
      <c r="AA51" s="228">
        <v>3.5</v>
      </c>
      <c r="AB51" s="228">
        <v>-0.7</v>
      </c>
      <c r="AC51" s="229">
        <v>2.5000000000000001E-3</v>
      </c>
      <c r="AD51" s="228">
        <v>2.8</v>
      </c>
      <c r="AE51" s="228">
        <v>3.5</v>
      </c>
      <c r="AF51" s="228">
        <v>-0.7</v>
      </c>
      <c r="AG51" s="229">
        <v>2.5000000000000001E-3</v>
      </c>
      <c r="AH51" s="228">
        <v>0</v>
      </c>
      <c r="AI51" s="228">
        <v>0</v>
      </c>
      <c r="AJ51" s="228">
        <v>0</v>
      </c>
      <c r="AK51" s="229">
        <v>0</v>
      </c>
      <c r="AL51" s="228">
        <v>0</v>
      </c>
      <c r="AM51" s="228">
        <v>0</v>
      </c>
      <c r="AN51" s="228">
        <v>0</v>
      </c>
      <c r="AO51" s="229">
        <v>0</v>
      </c>
      <c r="AP51" s="231">
        <v>1142.8699999999999</v>
      </c>
      <c r="AQ51" s="228">
        <v>0</v>
      </c>
      <c r="AR51" s="228">
        <v>0</v>
      </c>
      <c r="AS51" s="228">
        <v>50</v>
      </c>
      <c r="AT51" s="228">
        <v>281</v>
      </c>
      <c r="AU51" s="228">
        <v>-231</v>
      </c>
      <c r="AV51" s="229">
        <v>-0.82250000000000001</v>
      </c>
      <c r="AW51" s="228">
        <v>50</v>
      </c>
      <c r="AX51" s="228">
        <v>281</v>
      </c>
      <c r="AY51" s="228">
        <v>-231</v>
      </c>
      <c r="AZ51" s="229">
        <v>-0.82250000000000001</v>
      </c>
      <c r="BA51" s="228">
        <v>0</v>
      </c>
      <c r="BB51" s="228">
        <v>0</v>
      </c>
      <c r="BC51" s="228">
        <v>0</v>
      </c>
      <c r="BD51" s="229">
        <v>0</v>
      </c>
      <c r="BE51" s="228">
        <v>0</v>
      </c>
      <c r="BF51" s="228">
        <v>0</v>
      </c>
      <c r="BG51" s="228">
        <v>0</v>
      </c>
      <c r="BH51" s="229">
        <v>0</v>
      </c>
      <c r="BI51" s="228">
        <v>296</v>
      </c>
      <c r="BJ51" s="228">
        <v>827</v>
      </c>
      <c r="BK51" s="228">
        <v>-531</v>
      </c>
      <c r="BL51" s="229">
        <v>-0.64200000000000002</v>
      </c>
      <c r="BM51" s="228">
        <v>57</v>
      </c>
      <c r="BN51" s="228">
        <v>624</v>
      </c>
      <c r="BO51" s="228">
        <v>-566</v>
      </c>
      <c r="BP51" s="229">
        <v>-0.90810000000000002</v>
      </c>
      <c r="BQ51" s="228">
        <v>403</v>
      </c>
      <c r="BR51" s="230">
        <v>1731</v>
      </c>
      <c r="BS51" s="230">
        <v>-1328</v>
      </c>
      <c r="BT51" s="229">
        <v>-0.7671</v>
      </c>
      <c r="BU51" s="230">
        <v>496006</v>
      </c>
      <c r="BV51" s="230">
        <v>921032</v>
      </c>
      <c r="BW51" s="230">
        <v>-425026</v>
      </c>
      <c r="BX51" s="229">
        <v>-0.46150000000000002</v>
      </c>
      <c r="BY51" s="228">
        <v>357</v>
      </c>
      <c r="BZ51" s="228">
        <v>359</v>
      </c>
      <c r="CA51" s="228">
        <v>-2</v>
      </c>
      <c r="CB51" s="229">
        <v>-6.4000000000000003E-3</v>
      </c>
      <c r="CC51" s="228">
        <v>357</v>
      </c>
      <c r="CD51" s="228">
        <v>359</v>
      </c>
      <c r="CE51" s="228">
        <v>-2</v>
      </c>
      <c r="CF51" s="229">
        <v>-6.4000000000000003E-3</v>
      </c>
      <c r="CG51" s="228">
        <v>0</v>
      </c>
      <c r="CH51" s="228">
        <v>0</v>
      </c>
      <c r="CI51" s="228">
        <v>0</v>
      </c>
      <c r="CJ51" s="229">
        <v>0</v>
      </c>
      <c r="CK51" s="228">
        <v>0</v>
      </c>
      <c r="CL51" s="228">
        <v>0</v>
      </c>
      <c r="CM51" s="228">
        <v>0</v>
      </c>
      <c r="CN51" s="229">
        <v>0</v>
      </c>
      <c r="CO51" s="228">
        <v>179</v>
      </c>
      <c r="CP51" s="228">
        <v>169</v>
      </c>
      <c r="CQ51" s="228">
        <v>10</v>
      </c>
      <c r="CR51" s="229">
        <v>5.9299999999999999E-2</v>
      </c>
      <c r="CS51" s="228">
        <v>115</v>
      </c>
      <c r="CT51" s="228">
        <v>115</v>
      </c>
      <c r="CU51" s="228">
        <v>-1</v>
      </c>
      <c r="CV51" s="229">
        <v>-5.4999999999999997E-3</v>
      </c>
      <c r="CW51" s="228">
        <v>650</v>
      </c>
      <c r="CX51" s="228">
        <v>643</v>
      </c>
      <c r="CY51" s="228">
        <v>7</v>
      </c>
      <c r="CZ51" s="229">
        <v>1.0999999999999999E-2</v>
      </c>
      <c r="DA51" s="228">
        <v>26.9</v>
      </c>
      <c r="DB51" s="228">
        <v>26.27</v>
      </c>
      <c r="DC51" s="228">
        <v>0.63</v>
      </c>
      <c r="DD51" s="228">
        <v>0.63</v>
      </c>
      <c r="DE51" s="228">
        <v>41.74</v>
      </c>
      <c r="DF51" s="228">
        <v>41.84</v>
      </c>
      <c r="DG51" s="228">
        <v>-14.84</v>
      </c>
      <c r="DH51" s="228">
        <v>-0.1</v>
      </c>
      <c r="DI51" s="228">
        <v>26.87</v>
      </c>
      <c r="DJ51" s="228">
        <v>27.27</v>
      </c>
      <c r="DK51" s="228">
        <v>-0.4</v>
      </c>
      <c r="DL51" s="228">
        <v>-0.4</v>
      </c>
      <c r="DM51" s="228">
        <v>27.03</v>
      </c>
      <c r="DN51" s="228">
        <v>24.96</v>
      </c>
      <c r="DO51" s="228">
        <v>2.0699999999999998</v>
      </c>
      <c r="DP51" s="228">
        <v>2.0699999999999998</v>
      </c>
      <c r="DQ51" s="228">
        <v>0.64</v>
      </c>
      <c r="DR51" s="228">
        <v>0.68</v>
      </c>
      <c r="DS51" s="228">
        <v>-0.04</v>
      </c>
      <c r="DT51" s="229">
        <v>-5.8799999999999998E-2</v>
      </c>
      <c r="DU51" s="231">
        <v>1200</v>
      </c>
      <c r="DV51" s="231">
        <v>1160</v>
      </c>
      <c r="DW51" s="228">
        <v>0.19</v>
      </c>
      <c r="DX51" s="228">
        <v>0.75</v>
      </c>
      <c r="DY51" s="228">
        <v>-0.56000000000000005</v>
      </c>
      <c r="DZ51" s="229">
        <v>-0.74670000000000003</v>
      </c>
      <c r="EA51" s="229">
        <v>0</v>
      </c>
      <c r="EB51" s="228">
        <v>0</v>
      </c>
      <c r="EC51" s="229">
        <v>0</v>
      </c>
      <c r="ED51" s="229">
        <v>0</v>
      </c>
      <c r="EE51" s="228">
        <v>0</v>
      </c>
      <c r="EF51" s="229">
        <v>0</v>
      </c>
      <c r="EG51" s="230">
        <v>158827</v>
      </c>
      <c r="EH51" s="230">
        <v>150813</v>
      </c>
      <c r="EI51" s="229">
        <v>5.3100000000000001E-2</v>
      </c>
      <c r="EJ51" s="229">
        <v>0.32019999999999998</v>
      </c>
      <c r="EK51" s="228">
        <v>305.82</v>
      </c>
      <c r="EL51" s="228">
        <v>57.03</v>
      </c>
      <c r="EM51" s="228">
        <v>49.74</v>
      </c>
      <c r="EN51" s="228">
        <v>20.5</v>
      </c>
      <c r="EO51" s="228">
        <v>412.59</v>
      </c>
      <c r="EP51" s="231">
        <v>1766.69</v>
      </c>
      <c r="EQ51" s="231">
        <v>-1354.11</v>
      </c>
      <c r="ER51" s="229">
        <v>-0.76649999999999996</v>
      </c>
      <c r="ES51" s="228">
        <v>185.27</v>
      </c>
      <c r="ET51" s="228">
        <v>112.52</v>
      </c>
      <c r="EU51" s="228">
        <v>356.66</v>
      </c>
      <c r="EV51" s="231">
        <v>12039544</v>
      </c>
      <c r="EW51" s="228">
        <v>654.45000000000005</v>
      </c>
      <c r="EX51" s="228">
        <v>646.91</v>
      </c>
      <c r="EY51" s="228">
        <v>7.54</v>
      </c>
      <c r="EZ51" s="229">
        <v>1.17E-2</v>
      </c>
      <c r="FA51" s="229">
        <v>0.47199999999999998</v>
      </c>
      <c r="FB51" s="227" t="s">
        <v>556</v>
      </c>
      <c r="FC51">
        <f t="shared" si="0"/>
        <v>0</v>
      </c>
    </row>
    <row r="52" spans="1:159" ht="17.25" thickBot="1" x14ac:dyDescent="0.3">
      <c r="A52" s="226">
        <v>46009</v>
      </c>
      <c r="B52" s="227" t="s">
        <v>168</v>
      </c>
      <c r="C52" s="227" t="s">
        <v>204</v>
      </c>
      <c r="D52" s="228">
        <v>1250</v>
      </c>
      <c r="E52" s="228">
        <v>12</v>
      </c>
      <c r="F52" s="228">
        <v>493.6</v>
      </c>
      <c r="G52" s="228">
        <v>494.5</v>
      </c>
      <c r="H52" s="228">
        <v>-0.9</v>
      </c>
      <c r="I52" s="229">
        <v>-1.8E-3</v>
      </c>
      <c r="J52" s="228">
        <v>492.55</v>
      </c>
      <c r="K52" s="228">
        <v>494.15</v>
      </c>
      <c r="L52" s="228">
        <v>-1.6</v>
      </c>
      <c r="M52" s="229">
        <v>-3.2000000000000002E-3</v>
      </c>
      <c r="N52" s="228">
        <v>493.6</v>
      </c>
      <c r="O52" s="228">
        <v>494.5</v>
      </c>
      <c r="P52" s="228">
        <v>-0.9</v>
      </c>
      <c r="Q52" s="229">
        <v>-1.8E-3</v>
      </c>
      <c r="R52" s="228">
        <v>496.6</v>
      </c>
      <c r="S52" s="228">
        <v>497.45</v>
      </c>
      <c r="T52" s="228">
        <v>-0.85</v>
      </c>
      <c r="U52" s="229">
        <v>-1.6999999999999999E-3</v>
      </c>
      <c r="V52" s="228">
        <v>499.25</v>
      </c>
      <c r="W52" s="228">
        <v>500.75</v>
      </c>
      <c r="X52" s="228">
        <v>-1.5</v>
      </c>
      <c r="Y52" s="229">
        <v>-3.0000000000000001E-3</v>
      </c>
      <c r="Z52" s="228">
        <v>1.05</v>
      </c>
      <c r="AA52" s="228">
        <v>0.35</v>
      </c>
      <c r="AB52" s="228">
        <v>0.7</v>
      </c>
      <c r="AC52" s="229">
        <v>2.0999999999999999E-3</v>
      </c>
      <c r="AD52" s="228">
        <v>1.05</v>
      </c>
      <c r="AE52" s="228">
        <v>0.35</v>
      </c>
      <c r="AF52" s="228">
        <v>0.7</v>
      </c>
      <c r="AG52" s="229">
        <v>2.0999999999999999E-3</v>
      </c>
      <c r="AH52" s="228">
        <v>4.05</v>
      </c>
      <c r="AI52" s="228">
        <v>3.3</v>
      </c>
      <c r="AJ52" s="228">
        <v>0.75</v>
      </c>
      <c r="AK52" s="229">
        <v>8.2000000000000007E-3</v>
      </c>
      <c r="AL52" s="228">
        <v>6.7</v>
      </c>
      <c r="AM52" s="228">
        <v>6.6</v>
      </c>
      <c r="AN52" s="228">
        <v>0.1</v>
      </c>
      <c r="AO52" s="229">
        <v>1.3599999999999999E-2</v>
      </c>
      <c r="AP52" s="228">
        <v>492.86</v>
      </c>
      <c r="AQ52" s="228">
        <v>495.83</v>
      </c>
      <c r="AR52" s="228">
        <v>0</v>
      </c>
      <c r="AS52" s="228">
        <v>115</v>
      </c>
      <c r="AT52" s="228">
        <v>100</v>
      </c>
      <c r="AU52" s="228">
        <v>15</v>
      </c>
      <c r="AV52" s="229">
        <v>0.14680000000000001</v>
      </c>
      <c r="AW52" s="228">
        <v>84</v>
      </c>
      <c r="AX52" s="228">
        <v>83</v>
      </c>
      <c r="AY52" s="228">
        <v>1</v>
      </c>
      <c r="AZ52" s="229">
        <v>1.7899999999999999E-2</v>
      </c>
      <c r="BA52" s="228">
        <v>29</v>
      </c>
      <c r="BB52" s="228">
        <v>17</v>
      </c>
      <c r="BC52" s="228">
        <v>12</v>
      </c>
      <c r="BD52" s="229">
        <v>0.72</v>
      </c>
      <c r="BE52" s="228">
        <v>2</v>
      </c>
      <c r="BF52" s="228">
        <v>1</v>
      </c>
      <c r="BG52" s="228">
        <v>1</v>
      </c>
      <c r="BH52" s="229">
        <v>1.3077000000000001</v>
      </c>
      <c r="BI52" s="228">
        <v>415</v>
      </c>
      <c r="BJ52" s="228">
        <v>361</v>
      </c>
      <c r="BK52" s="228">
        <v>54</v>
      </c>
      <c r="BL52" s="229">
        <v>0.15040000000000001</v>
      </c>
      <c r="BM52" s="228">
        <v>151</v>
      </c>
      <c r="BN52" s="228">
        <v>130</v>
      </c>
      <c r="BO52" s="228">
        <v>21</v>
      </c>
      <c r="BP52" s="229">
        <v>0.16320000000000001</v>
      </c>
      <c r="BQ52" s="228">
        <v>681</v>
      </c>
      <c r="BR52" s="228">
        <v>591</v>
      </c>
      <c r="BS52" s="228">
        <v>90</v>
      </c>
      <c r="BT52" s="229">
        <v>0.15260000000000001</v>
      </c>
      <c r="BU52" s="230">
        <v>693206</v>
      </c>
      <c r="BV52" s="230">
        <v>569561</v>
      </c>
      <c r="BW52" s="230">
        <v>123645</v>
      </c>
      <c r="BX52" s="229">
        <v>0.21709999999999999</v>
      </c>
      <c r="BY52" s="228">
        <v>979</v>
      </c>
      <c r="BZ52" s="228">
        <v>952</v>
      </c>
      <c r="CA52" s="228">
        <v>26</v>
      </c>
      <c r="CB52" s="229">
        <v>2.7699999999999999E-2</v>
      </c>
      <c r="CC52" s="228">
        <v>899</v>
      </c>
      <c r="CD52" s="228">
        <v>893</v>
      </c>
      <c r="CE52" s="228">
        <v>6</v>
      </c>
      <c r="CF52" s="229">
        <v>7.1999999999999998E-3</v>
      </c>
      <c r="CG52" s="228">
        <v>74</v>
      </c>
      <c r="CH52" s="228">
        <v>54</v>
      </c>
      <c r="CI52" s="228">
        <v>20</v>
      </c>
      <c r="CJ52" s="229">
        <v>0.36220000000000002</v>
      </c>
      <c r="CK52" s="228">
        <v>6</v>
      </c>
      <c r="CL52" s="228">
        <v>6</v>
      </c>
      <c r="CM52" s="228">
        <v>0</v>
      </c>
      <c r="CN52" s="229">
        <v>6.4500000000000002E-2</v>
      </c>
      <c r="CO52" s="228">
        <v>764</v>
      </c>
      <c r="CP52" s="228">
        <v>764</v>
      </c>
      <c r="CQ52" s="228">
        <v>0</v>
      </c>
      <c r="CR52" s="229">
        <v>-1E-4</v>
      </c>
      <c r="CS52" s="228">
        <v>430</v>
      </c>
      <c r="CT52" s="228">
        <v>413</v>
      </c>
      <c r="CU52" s="228">
        <v>17</v>
      </c>
      <c r="CV52" s="229">
        <v>4.0300000000000002E-2</v>
      </c>
      <c r="CW52" s="230">
        <v>2173</v>
      </c>
      <c r="CX52" s="230">
        <v>2130</v>
      </c>
      <c r="CY52" s="228">
        <v>43</v>
      </c>
      <c r="CZ52" s="229">
        <v>2.0199999999999999E-2</v>
      </c>
      <c r="DA52" s="228">
        <v>19.579999999999998</v>
      </c>
      <c r="DB52" s="228">
        <v>20.47</v>
      </c>
      <c r="DC52" s="228">
        <v>-0.89</v>
      </c>
      <c r="DD52" s="228">
        <v>-0.89</v>
      </c>
      <c r="DE52" s="228">
        <v>24.58</v>
      </c>
      <c r="DF52" s="228">
        <v>24.64</v>
      </c>
      <c r="DG52" s="228">
        <v>-5</v>
      </c>
      <c r="DH52" s="228">
        <v>-0.06</v>
      </c>
      <c r="DI52" s="228">
        <v>19.78</v>
      </c>
      <c r="DJ52" s="228">
        <v>20.76</v>
      </c>
      <c r="DK52" s="228">
        <v>-0.98</v>
      </c>
      <c r="DL52" s="228">
        <v>-0.98</v>
      </c>
      <c r="DM52" s="228">
        <v>19.04</v>
      </c>
      <c r="DN52" s="228">
        <v>19.68</v>
      </c>
      <c r="DO52" s="228">
        <v>-0.64</v>
      </c>
      <c r="DP52" s="228">
        <v>-0.64</v>
      </c>
      <c r="DQ52" s="228">
        <v>0.56000000000000005</v>
      </c>
      <c r="DR52" s="228">
        <v>0.54</v>
      </c>
      <c r="DS52" s="228">
        <v>0.02</v>
      </c>
      <c r="DT52" s="229">
        <v>3.6999999999999998E-2</v>
      </c>
      <c r="DU52" s="228">
        <v>550</v>
      </c>
      <c r="DV52" s="228">
        <v>460</v>
      </c>
      <c r="DW52" s="228">
        <v>0.36</v>
      </c>
      <c r="DX52" s="228">
        <v>0.36</v>
      </c>
      <c r="DY52" s="228">
        <v>0</v>
      </c>
      <c r="DZ52" s="229">
        <v>0</v>
      </c>
      <c r="EA52" s="229">
        <v>8.1600000000000006E-2</v>
      </c>
      <c r="EB52" s="230">
        <v>1213750</v>
      </c>
      <c r="EC52" s="229">
        <v>6.1000000000000004E-3</v>
      </c>
      <c r="ED52" s="229">
        <v>8.1600000000000006E-2</v>
      </c>
      <c r="EE52" s="228">
        <v>2.97</v>
      </c>
      <c r="EF52" s="229">
        <v>6.0000000000000001E-3</v>
      </c>
      <c r="EG52" s="230">
        <v>359611</v>
      </c>
      <c r="EH52" s="230">
        <v>294672</v>
      </c>
      <c r="EI52" s="229">
        <v>0.22040000000000001</v>
      </c>
      <c r="EJ52" s="229">
        <v>0.51880000000000004</v>
      </c>
      <c r="EK52" s="228">
        <v>433.03</v>
      </c>
      <c r="EL52" s="228">
        <v>149.27000000000001</v>
      </c>
      <c r="EM52" s="228">
        <v>115.22</v>
      </c>
      <c r="EN52" s="228">
        <v>21.58</v>
      </c>
      <c r="EO52" s="228">
        <v>697.52</v>
      </c>
      <c r="EP52" s="228">
        <v>606.49</v>
      </c>
      <c r="EQ52" s="228">
        <v>91.03</v>
      </c>
      <c r="ER52" s="229">
        <v>0.15010000000000001</v>
      </c>
      <c r="ES52" s="228">
        <v>819.44</v>
      </c>
      <c r="ET52" s="228">
        <v>424.84</v>
      </c>
      <c r="EU52" s="228">
        <v>979.39</v>
      </c>
      <c r="EV52" s="231">
        <v>89873278</v>
      </c>
      <c r="EW52" s="231">
        <v>2223.66</v>
      </c>
      <c r="EX52" s="231">
        <v>2183.91</v>
      </c>
      <c r="EY52" s="228">
        <v>39.75</v>
      </c>
      <c r="EZ52" s="229">
        <v>1.8200000000000001E-2</v>
      </c>
      <c r="FA52" s="229">
        <v>0.48970000000000002</v>
      </c>
      <c r="FB52" s="227" t="s">
        <v>567</v>
      </c>
      <c r="FC52">
        <f t="shared" si="0"/>
        <v>80</v>
      </c>
    </row>
    <row r="53" spans="1:159" ht="17.25" thickBot="1" x14ac:dyDescent="0.3">
      <c r="A53" s="226">
        <v>46009</v>
      </c>
      <c r="B53" s="227" t="s">
        <v>157</v>
      </c>
      <c r="C53" s="227" t="s">
        <v>524</v>
      </c>
      <c r="D53" s="228">
        <v>325</v>
      </c>
      <c r="E53" s="228">
        <v>12</v>
      </c>
      <c r="F53" s="231">
        <v>2028.1</v>
      </c>
      <c r="G53" s="231">
        <v>2077.6</v>
      </c>
      <c r="H53" s="228">
        <v>-49.5</v>
      </c>
      <c r="I53" s="229">
        <v>-2.3800000000000002E-2</v>
      </c>
      <c r="J53" s="231">
        <v>2024.4</v>
      </c>
      <c r="K53" s="231">
        <v>2073.9</v>
      </c>
      <c r="L53" s="228">
        <v>-49.5</v>
      </c>
      <c r="M53" s="229">
        <v>-2.3900000000000001E-2</v>
      </c>
      <c r="N53" s="231">
        <v>2028.1</v>
      </c>
      <c r="O53" s="231">
        <v>2077.6</v>
      </c>
      <c r="P53" s="228">
        <v>-49.5</v>
      </c>
      <c r="Q53" s="229">
        <v>-2.3800000000000002E-2</v>
      </c>
      <c r="R53" s="231">
        <v>2041.4</v>
      </c>
      <c r="S53" s="231">
        <v>2091.1999999999998</v>
      </c>
      <c r="T53" s="228">
        <v>-49.8</v>
      </c>
      <c r="U53" s="229">
        <v>-2.3800000000000002E-2</v>
      </c>
      <c r="V53" s="231">
        <v>2056.5</v>
      </c>
      <c r="W53" s="231">
        <v>2090</v>
      </c>
      <c r="X53" s="228">
        <v>-33.5</v>
      </c>
      <c r="Y53" s="229">
        <v>-1.6E-2</v>
      </c>
      <c r="Z53" s="228">
        <v>3.7</v>
      </c>
      <c r="AA53" s="228">
        <v>3.7</v>
      </c>
      <c r="AB53" s="228">
        <v>0</v>
      </c>
      <c r="AC53" s="229">
        <v>1.8E-3</v>
      </c>
      <c r="AD53" s="228">
        <v>3.7</v>
      </c>
      <c r="AE53" s="228">
        <v>3.7</v>
      </c>
      <c r="AF53" s="228">
        <v>0</v>
      </c>
      <c r="AG53" s="229">
        <v>1.8E-3</v>
      </c>
      <c r="AH53" s="228">
        <v>17</v>
      </c>
      <c r="AI53" s="228">
        <v>17.3</v>
      </c>
      <c r="AJ53" s="228">
        <v>-0.3</v>
      </c>
      <c r="AK53" s="229">
        <v>8.3999999999999995E-3</v>
      </c>
      <c r="AL53" s="228">
        <v>32.1</v>
      </c>
      <c r="AM53" s="228">
        <v>16.100000000000001</v>
      </c>
      <c r="AN53" s="228">
        <v>16</v>
      </c>
      <c r="AO53" s="229">
        <v>1.5900000000000001E-2</v>
      </c>
      <c r="AP53" s="231">
        <v>2041.61</v>
      </c>
      <c r="AQ53" s="231">
        <v>2056.41</v>
      </c>
      <c r="AR53" s="228">
        <v>0</v>
      </c>
      <c r="AS53" s="228">
        <v>151</v>
      </c>
      <c r="AT53" s="228">
        <v>124</v>
      </c>
      <c r="AU53" s="228">
        <v>27</v>
      </c>
      <c r="AV53" s="229">
        <v>0.21879999999999999</v>
      </c>
      <c r="AW53" s="228">
        <v>117</v>
      </c>
      <c r="AX53" s="228">
        <v>87</v>
      </c>
      <c r="AY53" s="228">
        <v>30</v>
      </c>
      <c r="AZ53" s="229">
        <v>0.35110000000000002</v>
      </c>
      <c r="BA53" s="228">
        <v>33</v>
      </c>
      <c r="BB53" s="228">
        <v>37</v>
      </c>
      <c r="BC53" s="228">
        <v>-4</v>
      </c>
      <c r="BD53" s="229">
        <v>-0.105</v>
      </c>
      <c r="BE53" s="228">
        <v>1</v>
      </c>
      <c r="BF53" s="228">
        <v>0</v>
      </c>
      <c r="BG53" s="228">
        <v>1</v>
      </c>
      <c r="BH53" s="229">
        <v>0</v>
      </c>
      <c r="BI53" s="228">
        <v>277</v>
      </c>
      <c r="BJ53" s="228">
        <v>244</v>
      </c>
      <c r="BK53" s="228">
        <v>33</v>
      </c>
      <c r="BL53" s="229">
        <v>0.13569999999999999</v>
      </c>
      <c r="BM53" s="228">
        <v>233</v>
      </c>
      <c r="BN53" s="228">
        <v>97</v>
      </c>
      <c r="BO53" s="228">
        <v>136</v>
      </c>
      <c r="BP53" s="229">
        <v>1.4031</v>
      </c>
      <c r="BQ53" s="228">
        <v>661</v>
      </c>
      <c r="BR53" s="228">
        <v>464</v>
      </c>
      <c r="BS53" s="228">
        <v>196</v>
      </c>
      <c r="BT53" s="229">
        <v>0.4224</v>
      </c>
      <c r="BU53" s="230">
        <v>144232</v>
      </c>
      <c r="BV53" s="230">
        <v>144195</v>
      </c>
      <c r="BW53" s="228">
        <v>37</v>
      </c>
      <c r="BX53" s="229">
        <v>2.9999999999999997E-4</v>
      </c>
      <c r="BY53" s="228">
        <v>501</v>
      </c>
      <c r="BZ53" s="228">
        <v>495</v>
      </c>
      <c r="CA53" s="228">
        <v>6</v>
      </c>
      <c r="CB53" s="229">
        <v>1.21E-2</v>
      </c>
      <c r="CC53" s="228">
        <v>437</v>
      </c>
      <c r="CD53" s="228">
        <v>447</v>
      </c>
      <c r="CE53" s="228">
        <v>-10</v>
      </c>
      <c r="CF53" s="229">
        <v>-2.24E-2</v>
      </c>
      <c r="CG53" s="228">
        <v>62</v>
      </c>
      <c r="CH53" s="228">
        <v>46</v>
      </c>
      <c r="CI53" s="228">
        <v>16</v>
      </c>
      <c r="CJ53" s="229">
        <v>0.34570000000000001</v>
      </c>
      <c r="CK53" s="228">
        <v>2</v>
      </c>
      <c r="CL53" s="228">
        <v>2</v>
      </c>
      <c r="CM53" s="228">
        <v>0</v>
      </c>
      <c r="CN53" s="229">
        <v>3.6999999999999998E-2</v>
      </c>
      <c r="CO53" s="228">
        <v>299</v>
      </c>
      <c r="CP53" s="228">
        <v>269</v>
      </c>
      <c r="CQ53" s="228">
        <v>30</v>
      </c>
      <c r="CR53" s="229">
        <v>0.112</v>
      </c>
      <c r="CS53" s="228">
        <v>199</v>
      </c>
      <c r="CT53" s="228">
        <v>204</v>
      </c>
      <c r="CU53" s="228">
        <v>-5</v>
      </c>
      <c r="CV53" s="229">
        <v>-2.4E-2</v>
      </c>
      <c r="CW53" s="228">
        <v>999</v>
      </c>
      <c r="CX53" s="228">
        <v>968</v>
      </c>
      <c r="CY53" s="228">
        <v>31</v>
      </c>
      <c r="CZ53" s="229">
        <v>3.2300000000000002E-2</v>
      </c>
      <c r="DA53" s="228">
        <v>22.49</v>
      </c>
      <c r="DB53" s="228">
        <v>21.57</v>
      </c>
      <c r="DC53" s="228">
        <v>0.92</v>
      </c>
      <c r="DD53" s="228">
        <v>0.92</v>
      </c>
      <c r="DE53" s="228">
        <v>29.19</v>
      </c>
      <c r="DF53" s="228">
        <v>29.08</v>
      </c>
      <c r="DG53" s="228">
        <v>-6.7</v>
      </c>
      <c r="DH53" s="228">
        <v>0.11</v>
      </c>
      <c r="DI53" s="228">
        <v>23.28</v>
      </c>
      <c r="DJ53" s="228">
        <v>21.42</v>
      </c>
      <c r="DK53" s="228">
        <v>1.86</v>
      </c>
      <c r="DL53" s="228">
        <v>1.86</v>
      </c>
      <c r="DM53" s="228">
        <v>21.54</v>
      </c>
      <c r="DN53" s="228">
        <v>21.95</v>
      </c>
      <c r="DO53" s="228">
        <v>-0.41</v>
      </c>
      <c r="DP53" s="228">
        <v>-0.41</v>
      </c>
      <c r="DQ53" s="228">
        <v>0.66</v>
      </c>
      <c r="DR53" s="228">
        <v>0.76</v>
      </c>
      <c r="DS53" s="228">
        <v>-0.1</v>
      </c>
      <c r="DT53" s="229">
        <v>-0.13159999999999999</v>
      </c>
      <c r="DU53" s="231">
        <v>2200</v>
      </c>
      <c r="DV53" s="231">
        <v>1960</v>
      </c>
      <c r="DW53" s="228">
        <v>0.84</v>
      </c>
      <c r="DX53" s="228">
        <v>0.4</v>
      </c>
      <c r="DY53" s="228">
        <v>0.44</v>
      </c>
      <c r="DZ53" s="229">
        <v>1.1000000000000001</v>
      </c>
      <c r="EA53" s="229">
        <v>0.12759999999999999</v>
      </c>
      <c r="EB53" s="230">
        <v>236275</v>
      </c>
      <c r="EC53" s="229">
        <v>6.6E-3</v>
      </c>
      <c r="ED53" s="229">
        <v>0.12759999999999999</v>
      </c>
      <c r="EE53" s="228">
        <v>14.8</v>
      </c>
      <c r="EF53" s="229">
        <v>7.1999999999999998E-3</v>
      </c>
      <c r="EG53" s="230">
        <v>67899</v>
      </c>
      <c r="EH53" s="230">
        <v>67189</v>
      </c>
      <c r="EI53" s="229">
        <v>1.06E-2</v>
      </c>
      <c r="EJ53" s="229">
        <v>0.4708</v>
      </c>
      <c r="EK53" s="228">
        <v>292.62</v>
      </c>
      <c r="EL53" s="228">
        <v>228.62</v>
      </c>
      <c r="EM53" s="228">
        <v>152.13</v>
      </c>
      <c r="EN53" s="228">
        <v>27.72</v>
      </c>
      <c r="EO53" s="228">
        <v>673.36</v>
      </c>
      <c r="EP53" s="228">
        <v>479.79</v>
      </c>
      <c r="EQ53" s="228">
        <v>193.58</v>
      </c>
      <c r="ER53" s="229">
        <v>0.40350000000000003</v>
      </c>
      <c r="ES53" s="228">
        <v>316.17</v>
      </c>
      <c r="ET53" s="228">
        <v>193.98</v>
      </c>
      <c r="EU53" s="228">
        <v>501.64</v>
      </c>
      <c r="EV53" s="231">
        <v>12425041</v>
      </c>
      <c r="EW53" s="231">
        <v>1011.79</v>
      </c>
      <c r="EX53" s="228">
        <v>991.77</v>
      </c>
      <c r="EY53" s="228">
        <v>20.02</v>
      </c>
      <c r="EZ53" s="229">
        <v>2.0199999999999999E-2</v>
      </c>
      <c r="FA53" s="229">
        <v>0.39650000000000002</v>
      </c>
      <c r="FB53" s="227" t="s">
        <v>567</v>
      </c>
      <c r="FC53">
        <f t="shared" si="0"/>
        <v>64</v>
      </c>
    </row>
    <row r="54" spans="1:159" ht="17.25" thickBot="1" x14ac:dyDescent="0.3">
      <c r="A54" s="226">
        <v>46009</v>
      </c>
      <c r="B54" s="227" t="s">
        <v>615</v>
      </c>
      <c r="C54" s="227" t="s">
        <v>600</v>
      </c>
      <c r="D54" s="228">
        <v>2075</v>
      </c>
      <c r="E54" s="228">
        <v>12</v>
      </c>
      <c r="F54" s="228">
        <v>402.6</v>
      </c>
      <c r="G54" s="228">
        <v>400.3</v>
      </c>
      <c r="H54" s="228">
        <v>2.2999999999999998</v>
      </c>
      <c r="I54" s="229">
        <v>5.7000000000000002E-3</v>
      </c>
      <c r="J54" s="228">
        <v>402.35</v>
      </c>
      <c r="K54" s="228">
        <v>399.8</v>
      </c>
      <c r="L54" s="228">
        <v>2.5499999999999998</v>
      </c>
      <c r="M54" s="229">
        <v>6.4000000000000003E-3</v>
      </c>
      <c r="N54" s="228">
        <v>402.6</v>
      </c>
      <c r="O54" s="228">
        <v>400.3</v>
      </c>
      <c r="P54" s="228">
        <v>2.2999999999999998</v>
      </c>
      <c r="Q54" s="229">
        <v>5.7000000000000002E-3</v>
      </c>
      <c r="R54" s="228">
        <v>405</v>
      </c>
      <c r="S54" s="228">
        <v>402.75</v>
      </c>
      <c r="T54" s="228">
        <v>2.25</v>
      </c>
      <c r="U54" s="229">
        <v>5.5999999999999999E-3</v>
      </c>
      <c r="V54" s="228">
        <v>407.35</v>
      </c>
      <c r="W54" s="228">
        <v>406</v>
      </c>
      <c r="X54" s="228">
        <v>1.35</v>
      </c>
      <c r="Y54" s="229">
        <v>3.3E-3</v>
      </c>
      <c r="Z54" s="228">
        <v>0.25</v>
      </c>
      <c r="AA54" s="228">
        <v>0.5</v>
      </c>
      <c r="AB54" s="228">
        <v>-0.25</v>
      </c>
      <c r="AC54" s="229">
        <v>5.9999999999999995E-4</v>
      </c>
      <c r="AD54" s="228">
        <v>0.25</v>
      </c>
      <c r="AE54" s="228">
        <v>0.5</v>
      </c>
      <c r="AF54" s="228">
        <v>-0.25</v>
      </c>
      <c r="AG54" s="229">
        <v>5.9999999999999995E-4</v>
      </c>
      <c r="AH54" s="228">
        <v>2.65</v>
      </c>
      <c r="AI54" s="228">
        <v>2.95</v>
      </c>
      <c r="AJ54" s="228">
        <v>-0.3</v>
      </c>
      <c r="AK54" s="229">
        <v>6.6E-3</v>
      </c>
      <c r="AL54" s="228">
        <v>5</v>
      </c>
      <c r="AM54" s="228">
        <v>6.2</v>
      </c>
      <c r="AN54" s="228">
        <v>-1.2</v>
      </c>
      <c r="AO54" s="229">
        <v>1.24E-2</v>
      </c>
      <c r="AP54" s="228">
        <v>400.89</v>
      </c>
      <c r="AQ54" s="228">
        <v>402.62</v>
      </c>
      <c r="AR54" s="228">
        <v>0</v>
      </c>
      <c r="AS54" s="228">
        <v>116</v>
      </c>
      <c r="AT54" s="228">
        <v>95</v>
      </c>
      <c r="AU54" s="228">
        <v>20</v>
      </c>
      <c r="AV54" s="229">
        <v>0.214</v>
      </c>
      <c r="AW54" s="228">
        <v>101</v>
      </c>
      <c r="AX54" s="228">
        <v>77</v>
      </c>
      <c r="AY54" s="228">
        <v>24</v>
      </c>
      <c r="AZ54" s="229">
        <v>0.30530000000000002</v>
      </c>
      <c r="BA54" s="228">
        <v>14</v>
      </c>
      <c r="BB54" s="228">
        <v>17</v>
      </c>
      <c r="BC54" s="228">
        <v>-3</v>
      </c>
      <c r="BD54" s="229">
        <v>-0.1787</v>
      </c>
      <c r="BE54" s="228">
        <v>0</v>
      </c>
      <c r="BF54" s="228">
        <v>1</v>
      </c>
      <c r="BG54" s="228">
        <v>0</v>
      </c>
      <c r="BH54" s="229">
        <v>-0.33329999999999999</v>
      </c>
      <c r="BI54" s="228">
        <v>279</v>
      </c>
      <c r="BJ54" s="228">
        <v>291</v>
      </c>
      <c r="BK54" s="228">
        <v>-13</v>
      </c>
      <c r="BL54" s="229">
        <v>-4.3900000000000002E-2</v>
      </c>
      <c r="BM54" s="228">
        <v>195</v>
      </c>
      <c r="BN54" s="228">
        <v>145</v>
      </c>
      <c r="BO54" s="228">
        <v>50</v>
      </c>
      <c r="BP54" s="229">
        <v>0.34639999999999999</v>
      </c>
      <c r="BQ54" s="228">
        <v>590</v>
      </c>
      <c r="BR54" s="228">
        <v>532</v>
      </c>
      <c r="BS54" s="228">
        <v>58</v>
      </c>
      <c r="BT54" s="229">
        <v>0.1089</v>
      </c>
      <c r="BU54" s="230">
        <v>1120674</v>
      </c>
      <c r="BV54" s="230">
        <v>1173511</v>
      </c>
      <c r="BW54" s="230">
        <v>-52837</v>
      </c>
      <c r="BX54" s="229">
        <v>-4.4999999999999998E-2</v>
      </c>
      <c r="BY54" s="228">
        <v>647</v>
      </c>
      <c r="BZ54" s="228">
        <v>662</v>
      </c>
      <c r="CA54" s="228">
        <v>-15</v>
      </c>
      <c r="CB54" s="229">
        <v>-2.2700000000000001E-2</v>
      </c>
      <c r="CC54" s="228">
        <v>603</v>
      </c>
      <c r="CD54" s="228">
        <v>619</v>
      </c>
      <c r="CE54" s="228">
        <v>-17</v>
      </c>
      <c r="CF54" s="229">
        <v>-2.6800000000000001E-2</v>
      </c>
      <c r="CG54" s="228">
        <v>40</v>
      </c>
      <c r="CH54" s="228">
        <v>39</v>
      </c>
      <c r="CI54" s="228">
        <v>2</v>
      </c>
      <c r="CJ54" s="229">
        <v>4.0899999999999999E-2</v>
      </c>
      <c r="CK54" s="228">
        <v>4</v>
      </c>
      <c r="CL54" s="228">
        <v>4</v>
      </c>
      <c r="CM54" s="228">
        <v>0</v>
      </c>
      <c r="CN54" s="229">
        <v>0</v>
      </c>
      <c r="CO54" s="228">
        <v>543</v>
      </c>
      <c r="CP54" s="228">
        <v>556</v>
      </c>
      <c r="CQ54" s="228">
        <v>-13</v>
      </c>
      <c r="CR54" s="229">
        <v>-2.2700000000000001E-2</v>
      </c>
      <c r="CS54" s="228">
        <v>363</v>
      </c>
      <c r="CT54" s="228">
        <v>361</v>
      </c>
      <c r="CU54" s="228">
        <v>2</v>
      </c>
      <c r="CV54" s="229">
        <v>6.7000000000000002E-3</v>
      </c>
      <c r="CW54" s="230">
        <v>1554</v>
      </c>
      <c r="CX54" s="230">
        <v>1579</v>
      </c>
      <c r="CY54" s="228">
        <v>-25</v>
      </c>
      <c r="CZ54" s="229">
        <v>-1.6E-2</v>
      </c>
      <c r="DA54" s="228">
        <v>27.08</v>
      </c>
      <c r="DB54" s="228">
        <v>28.08</v>
      </c>
      <c r="DC54" s="228">
        <v>-1</v>
      </c>
      <c r="DD54" s="228">
        <v>-1</v>
      </c>
      <c r="DE54" s="228">
        <v>40.92</v>
      </c>
      <c r="DF54" s="228">
        <v>41.02</v>
      </c>
      <c r="DG54" s="228">
        <v>-13.84</v>
      </c>
      <c r="DH54" s="228">
        <v>-0.1</v>
      </c>
      <c r="DI54" s="228">
        <v>27.16</v>
      </c>
      <c r="DJ54" s="228">
        <v>28.65</v>
      </c>
      <c r="DK54" s="228">
        <v>-1.49</v>
      </c>
      <c r="DL54" s="228">
        <v>-1.49</v>
      </c>
      <c r="DM54" s="228">
        <v>26.98</v>
      </c>
      <c r="DN54" s="228">
        <v>26.94</v>
      </c>
      <c r="DO54" s="228">
        <v>0.04</v>
      </c>
      <c r="DP54" s="228">
        <v>0.04</v>
      </c>
      <c r="DQ54" s="228">
        <v>0.67</v>
      </c>
      <c r="DR54" s="228">
        <v>0.65</v>
      </c>
      <c r="DS54" s="228">
        <v>0.02</v>
      </c>
      <c r="DT54" s="229">
        <v>3.0800000000000001E-2</v>
      </c>
      <c r="DU54" s="228">
        <v>430</v>
      </c>
      <c r="DV54" s="228">
        <v>380</v>
      </c>
      <c r="DW54" s="228">
        <v>0.7</v>
      </c>
      <c r="DX54" s="228">
        <v>0.5</v>
      </c>
      <c r="DY54" s="228">
        <v>0.2</v>
      </c>
      <c r="DZ54" s="229">
        <v>0.4</v>
      </c>
      <c r="EA54" s="229">
        <v>6.8699999999999997E-2</v>
      </c>
      <c r="EB54" s="230">
        <v>1064475</v>
      </c>
      <c r="EC54" s="229">
        <v>6.0000000000000001E-3</v>
      </c>
      <c r="ED54" s="229">
        <v>6.8699999999999997E-2</v>
      </c>
      <c r="EE54" s="228">
        <v>1.73</v>
      </c>
      <c r="EF54" s="229">
        <v>4.3E-3</v>
      </c>
      <c r="EG54" s="230">
        <v>698872</v>
      </c>
      <c r="EH54" s="230">
        <v>653606</v>
      </c>
      <c r="EI54" s="229">
        <v>6.93E-2</v>
      </c>
      <c r="EJ54" s="229">
        <v>0.62360000000000004</v>
      </c>
      <c r="EK54" s="228">
        <v>290.62</v>
      </c>
      <c r="EL54" s="228">
        <v>192.61</v>
      </c>
      <c r="EM54" s="228">
        <v>115.2</v>
      </c>
      <c r="EN54" s="228">
        <v>12.21</v>
      </c>
      <c r="EO54" s="228">
        <v>598.41999999999996</v>
      </c>
      <c r="EP54" s="228">
        <v>544.28</v>
      </c>
      <c r="EQ54" s="228">
        <v>54.14</v>
      </c>
      <c r="ER54" s="229">
        <v>9.9500000000000005E-2</v>
      </c>
      <c r="ES54" s="228">
        <v>592.94000000000005</v>
      </c>
      <c r="ET54" s="228">
        <v>359.21</v>
      </c>
      <c r="EU54" s="228">
        <v>647.54999999999995</v>
      </c>
      <c r="EV54" s="231">
        <v>94196226</v>
      </c>
      <c r="EW54" s="231">
        <v>1599.7</v>
      </c>
      <c r="EX54" s="231">
        <v>1622.9</v>
      </c>
      <c r="EY54" s="228">
        <v>-23.2</v>
      </c>
      <c r="EZ54" s="229">
        <v>-1.43E-2</v>
      </c>
      <c r="FA54" s="229">
        <v>0.40970000000000001</v>
      </c>
      <c r="FB54" s="227" t="s">
        <v>556</v>
      </c>
      <c r="FC54">
        <f t="shared" si="0"/>
        <v>44</v>
      </c>
    </row>
    <row r="55" spans="1:159" ht="17.25" thickBot="1" x14ac:dyDescent="0.3">
      <c r="A55" s="226">
        <v>46009</v>
      </c>
      <c r="B55" s="227" t="s">
        <v>170</v>
      </c>
      <c r="C55" s="227" t="s">
        <v>205</v>
      </c>
      <c r="D55" s="228">
        <v>100</v>
      </c>
      <c r="E55" s="228">
        <v>12</v>
      </c>
      <c r="F55" s="231">
        <v>6390.5</v>
      </c>
      <c r="G55" s="231">
        <v>6299.5</v>
      </c>
      <c r="H55" s="228">
        <v>91</v>
      </c>
      <c r="I55" s="229">
        <v>1.44E-2</v>
      </c>
      <c r="J55" s="231">
        <v>6380</v>
      </c>
      <c r="K55" s="231">
        <v>6293</v>
      </c>
      <c r="L55" s="228">
        <v>87</v>
      </c>
      <c r="M55" s="229">
        <v>1.38E-2</v>
      </c>
      <c r="N55" s="231">
        <v>6390.5</v>
      </c>
      <c r="O55" s="231">
        <v>6299.5</v>
      </c>
      <c r="P55" s="228">
        <v>91</v>
      </c>
      <c r="Q55" s="229">
        <v>1.44E-2</v>
      </c>
      <c r="R55" s="231">
        <v>6434</v>
      </c>
      <c r="S55" s="231">
        <v>6339</v>
      </c>
      <c r="T55" s="228">
        <v>95</v>
      </c>
      <c r="U55" s="229">
        <v>1.4999999999999999E-2</v>
      </c>
      <c r="V55" s="231">
        <v>6471.5</v>
      </c>
      <c r="W55" s="231">
        <v>6377</v>
      </c>
      <c r="X55" s="228">
        <v>94.5</v>
      </c>
      <c r="Y55" s="229">
        <v>1.4800000000000001E-2</v>
      </c>
      <c r="Z55" s="228">
        <v>10.5</v>
      </c>
      <c r="AA55" s="228">
        <v>6.5</v>
      </c>
      <c r="AB55" s="228">
        <v>4</v>
      </c>
      <c r="AC55" s="229">
        <v>1.6000000000000001E-3</v>
      </c>
      <c r="AD55" s="228">
        <v>10.5</v>
      </c>
      <c r="AE55" s="228">
        <v>6.5</v>
      </c>
      <c r="AF55" s="228">
        <v>4</v>
      </c>
      <c r="AG55" s="229">
        <v>1.6000000000000001E-3</v>
      </c>
      <c r="AH55" s="228">
        <v>54</v>
      </c>
      <c r="AI55" s="228">
        <v>46</v>
      </c>
      <c r="AJ55" s="228">
        <v>8</v>
      </c>
      <c r="AK55" s="229">
        <v>8.5000000000000006E-3</v>
      </c>
      <c r="AL55" s="228">
        <v>91.5</v>
      </c>
      <c r="AM55" s="228">
        <v>84</v>
      </c>
      <c r="AN55" s="228">
        <v>7.5</v>
      </c>
      <c r="AO55" s="229">
        <v>1.43E-2</v>
      </c>
      <c r="AP55" s="231">
        <v>6383.82</v>
      </c>
      <c r="AQ55" s="231">
        <v>6429.52</v>
      </c>
      <c r="AR55" s="228">
        <v>0</v>
      </c>
      <c r="AS55" s="228">
        <v>345</v>
      </c>
      <c r="AT55" s="228">
        <v>110</v>
      </c>
      <c r="AU55" s="228">
        <v>235</v>
      </c>
      <c r="AV55" s="229">
        <v>2.1375999999999999</v>
      </c>
      <c r="AW55" s="228">
        <v>241</v>
      </c>
      <c r="AX55" s="228">
        <v>93</v>
      </c>
      <c r="AY55" s="228">
        <v>148</v>
      </c>
      <c r="AZ55" s="229">
        <v>1.597</v>
      </c>
      <c r="BA55" s="228">
        <v>102</v>
      </c>
      <c r="BB55" s="228">
        <v>17</v>
      </c>
      <c r="BC55" s="228">
        <v>85</v>
      </c>
      <c r="BD55" s="229">
        <v>5.0724999999999998</v>
      </c>
      <c r="BE55" s="228">
        <v>2</v>
      </c>
      <c r="BF55" s="228">
        <v>0</v>
      </c>
      <c r="BG55" s="228">
        <v>2</v>
      </c>
      <c r="BH55" s="229">
        <v>4.5713999999999997</v>
      </c>
      <c r="BI55" s="230">
        <v>1149</v>
      </c>
      <c r="BJ55" s="228">
        <v>338</v>
      </c>
      <c r="BK55" s="228">
        <v>811</v>
      </c>
      <c r="BL55" s="229">
        <v>2.3959999999999999</v>
      </c>
      <c r="BM55" s="228">
        <v>357</v>
      </c>
      <c r="BN55" s="228">
        <v>151</v>
      </c>
      <c r="BO55" s="228">
        <v>206</v>
      </c>
      <c r="BP55" s="229">
        <v>1.3665</v>
      </c>
      <c r="BQ55" s="230">
        <v>1852</v>
      </c>
      <c r="BR55" s="228">
        <v>599</v>
      </c>
      <c r="BS55" s="230">
        <v>1252</v>
      </c>
      <c r="BT55" s="229">
        <v>2.0895000000000001</v>
      </c>
      <c r="BU55" s="230">
        <v>402438</v>
      </c>
      <c r="BV55" s="230">
        <v>198427</v>
      </c>
      <c r="BW55" s="230">
        <v>204011</v>
      </c>
      <c r="BX55" s="229">
        <v>1.0281</v>
      </c>
      <c r="BY55" s="230">
        <v>1960</v>
      </c>
      <c r="BZ55" s="230">
        <v>1937</v>
      </c>
      <c r="CA55" s="228">
        <v>23</v>
      </c>
      <c r="CB55" s="229">
        <v>1.1900000000000001E-2</v>
      </c>
      <c r="CC55" s="230">
        <v>1818</v>
      </c>
      <c r="CD55" s="230">
        <v>1872</v>
      </c>
      <c r="CE55" s="228">
        <v>-54</v>
      </c>
      <c r="CF55" s="229">
        <v>-2.8799999999999999E-2</v>
      </c>
      <c r="CG55" s="228">
        <v>137</v>
      </c>
      <c r="CH55" s="228">
        <v>61</v>
      </c>
      <c r="CI55" s="228">
        <v>76</v>
      </c>
      <c r="CJ55" s="229">
        <v>1.2345999999999999</v>
      </c>
      <c r="CK55" s="228">
        <v>5</v>
      </c>
      <c r="CL55" s="228">
        <v>4</v>
      </c>
      <c r="CM55" s="228">
        <v>1</v>
      </c>
      <c r="CN55" s="229">
        <v>0.34549999999999997</v>
      </c>
      <c r="CO55" s="228">
        <v>624</v>
      </c>
      <c r="CP55" s="228">
        <v>610</v>
      </c>
      <c r="CQ55" s="228">
        <v>14</v>
      </c>
      <c r="CR55" s="229">
        <v>2.3099999999999999E-2</v>
      </c>
      <c r="CS55" s="228">
        <v>441</v>
      </c>
      <c r="CT55" s="228">
        <v>430</v>
      </c>
      <c r="CU55" s="228">
        <v>12</v>
      </c>
      <c r="CV55" s="229">
        <v>2.6800000000000001E-2</v>
      </c>
      <c r="CW55" s="230">
        <v>3025</v>
      </c>
      <c r="CX55" s="230">
        <v>2977</v>
      </c>
      <c r="CY55" s="228">
        <v>49</v>
      </c>
      <c r="CZ55" s="229">
        <v>1.6299999999999999E-2</v>
      </c>
      <c r="DA55" s="228">
        <v>19.53</v>
      </c>
      <c r="DB55" s="228">
        <v>20.46</v>
      </c>
      <c r="DC55" s="228">
        <v>-0.93</v>
      </c>
      <c r="DD55" s="228">
        <v>-0.93</v>
      </c>
      <c r="DE55" s="228">
        <v>30.37</v>
      </c>
      <c r="DF55" s="228">
        <v>30.39</v>
      </c>
      <c r="DG55" s="228">
        <v>-10.84</v>
      </c>
      <c r="DH55" s="228">
        <v>-0.02</v>
      </c>
      <c r="DI55" s="228">
        <v>19.579999999999998</v>
      </c>
      <c r="DJ55" s="228">
        <v>20.97</v>
      </c>
      <c r="DK55" s="228">
        <v>-1.39</v>
      </c>
      <c r="DL55" s="228">
        <v>-1.39</v>
      </c>
      <c r="DM55" s="228">
        <v>19.37</v>
      </c>
      <c r="DN55" s="228">
        <v>19.32</v>
      </c>
      <c r="DO55" s="228">
        <v>0.05</v>
      </c>
      <c r="DP55" s="228">
        <v>0.05</v>
      </c>
      <c r="DQ55" s="228">
        <v>0.71</v>
      </c>
      <c r="DR55" s="228">
        <v>0.7</v>
      </c>
      <c r="DS55" s="228">
        <v>0.01</v>
      </c>
      <c r="DT55" s="229">
        <v>1.43E-2</v>
      </c>
      <c r="DU55" s="231">
        <v>7200</v>
      </c>
      <c r="DV55" s="231">
        <v>5800</v>
      </c>
      <c r="DW55" s="228">
        <v>0.31</v>
      </c>
      <c r="DX55" s="228">
        <v>0.45</v>
      </c>
      <c r="DY55" s="228">
        <v>-0.14000000000000001</v>
      </c>
      <c r="DZ55" s="229">
        <v>-0.31109999999999999</v>
      </c>
      <c r="EA55" s="229">
        <v>7.2300000000000003E-2</v>
      </c>
      <c r="EB55" s="230">
        <v>101400</v>
      </c>
      <c r="EC55" s="229">
        <v>6.7999999999999996E-3</v>
      </c>
      <c r="ED55" s="229">
        <v>7.2300000000000003E-2</v>
      </c>
      <c r="EE55" s="228">
        <v>45.7</v>
      </c>
      <c r="EF55" s="229">
        <v>7.1999999999999998E-3</v>
      </c>
      <c r="EG55" s="230">
        <v>275736</v>
      </c>
      <c r="EH55" s="230">
        <v>133845</v>
      </c>
      <c r="EI55" s="229">
        <v>1.0601</v>
      </c>
      <c r="EJ55" s="229">
        <v>0.68520000000000003</v>
      </c>
      <c r="EK55" s="231">
        <v>1176.43</v>
      </c>
      <c r="EL55" s="228">
        <v>352.89</v>
      </c>
      <c r="EM55" s="228">
        <v>345.87</v>
      </c>
      <c r="EN55" s="228">
        <v>26.69</v>
      </c>
      <c r="EO55" s="231">
        <v>1875.19</v>
      </c>
      <c r="EP55" s="228">
        <v>604.74</v>
      </c>
      <c r="EQ55" s="231">
        <v>1270.45</v>
      </c>
      <c r="ER55" s="229">
        <v>2.1008</v>
      </c>
      <c r="ES55" s="228">
        <v>656.21</v>
      </c>
      <c r="ET55" s="228">
        <v>425.96</v>
      </c>
      <c r="EU55" s="231">
        <v>1961.09</v>
      </c>
      <c r="EV55" s="231">
        <v>16353614</v>
      </c>
      <c r="EW55" s="231">
        <v>3043.25</v>
      </c>
      <c r="EX55" s="231">
        <v>2965.95</v>
      </c>
      <c r="EY55" s="228">
        <v>77.3</v>
      </c>
      <c r="EZ55" s="229">
        <v>2.6100000000000002E-2</v>
      </c>
      <c r="FA55" s="229">
        <v>0.28949999999999998</v>
      </c>
      <c r="FB55" s="227" t="s">
        <v>555</v>
      </c>
      <c r="FC55">
        <f t="shared" si="0"/>
        <v>142</v>
      </c>
    </row>
    <row r="56" spans="1:159" ht="17.25" thickBot="1" x14ac:dyDescent="0.3">
      <c r="A56" s="226">
        <v>46009</v>
      </c>
      <c r="B56" s="227" t="s">
        <v>184</v>
      </c>
      <c r="C56" s="227" t="s">
        <v>512</v>
      </c>
      <c r="D56" s="228">
        <v>50</v>
      </c>
      <c r="E56" s="228">
        <v>12</v>
      </c>
      <c r="F56" s="231">
        <v>13326</v>
      </c>
      <c r="G56" s="231">
        <v>13263</v>
      </c>
      <c r="H56" s="228">
        <v>63</v>
      </c>
      <c r="I56" s="229">
        <v>4.7999999999999996E-3</v>
      </c>
      <c r="J56" s="231">
        <v>13299</v>
      </c>
      <c r="K56" s="231">
        <v>13274</v>
      </c>
      <c r="L56" s="228">
        <v>25</v>
      </c>
      <c r="M56" s="229">
        <v>1.9E-3</v>
      </c>
      <c r="N56" s="231">
        <v>13326</v>
      </c>
      <c r="O56" s="231">
        <v>13263</v>
      </c>
      <c r="P56" s="228">
        <v>63</v>
      </c>
      <c r="Q56" s="229">
        <v>4.7999999999999996E-3</v>
      </c>
      <c r="R56" s="231">
        <v>13417</v>
      </c>
      <c r="S56" s="231">
        <v>13342</v>
      </c>
      <c r="T56" s="228">
        <v>75</v>
      </c>
      <c r="U56" s="229">
        <v>5.5999999999999999E-3</v>
      </c>
      <c r="V56" s="231">
        <v>13466</v>
      </c>
      <c r="W56" s="231">
        <v>13434</v>
      </c>
      <c r="X56" s="228">
        <v>32</v>
      </c>
      <c r="Y56" s="229">
        <v>2.3999999999999998E-3</v>
      </c>
      <c r="Z56" s="228">
        <v>27</v>
      </c>
      <c r="AA56" s="228">
        <v>-11</v>
      </c>
      <c r="AB56" s="228">
        <v>38</v>
      </c>
      <c r="AC56" s="229">
        <v>2E-3</v>
      </c>
      <c r="AD56" s="228">
        <v>27</v>
      </c>
      <c r="AE56" s="228">
        <v>-11</v>
      </c>
      <c r="AF56" s="228">
        <v>38</v>
      </c>
      <c r="AG56" s="229">
        <v>2E-3</v>
      </c>
      <c r="AH56" s="228">
        <v>118</v>
      </c>
      <c r="AI56" s="228">
        <v>68</v>
      </c>
      <c r="AJ56" s="228">
        <v>50</v>
      </c>
      <c r="AK56" s="229">
        <v>8.8999999999999999E-3</v>
      </c>
      <c r="AL56" s="228">
        <v>167</v>
      </c>
      <c r="AM56" s="228">
        <v>160</v>
      </c>
      <c r="AN56" s="228">
        <v>7</v>
      </c>
      <c r="AO56" s="229">
        <v>1.26E-2</v>
      </c>
      <c r="AP56" s="231">
        <v>13310.36</v>
      </c>
      <c r="AQ56" s="231">
        <v>13391.01</v>
      </c>
      <c r="AR56" s="228">
        <v>0</v>
      </c>
      <c r="AS56" s="230">
        <v>1180</v>
      </c>
      <c r="AT56" s="228">
        <v>930</v>
      </c>
      <c r="AU56" s="228">
        <v>250</v>
      </c>
      <c r="AV56" s="229">
        <v>0.26819999999999999</v>
      </c>
      <c r="AW56" s="228">
        <v>954</v>
      </c>
      <c r="AX56" s="228">
        <v>774</v>
      </c>
      <c r="AY56" s="228">
        <v>180</v>
      </c>
      <c r="AZ56" s="229">
        <v>0.2331</v>
      </c>
      <c r="BA56" s="228">
        <v>209</v>
      </c>
      <c r="BB56" s="228">
        <v>136</v>
      </c>
      <c r="BC56" s="228">
        <v>74</v>
      </c>
      <c r="BD56" s="229">
        <v>0.54220000000000002</v>
      </c>
      <c r="BE56" s="228">
        <v>17</v>
      </c>
      <c r="BF56" s="228">
        <v>21</v>
      </c>
      <c r="BG56" s="228">
        <v>-4</v>
      </c>
      <c r="BH56" s="229">
        <v>-0.20699999999999999</v>
      </c>
      <c r="BI56" s="230">
        <v>9549</v>
      </c>
      <c r="BJ56" s="230">
        <v>7591</v>
      </c>
      <c r="BK56" s="230">
        <v>1958</v>
      </c>
      <c r="BL56" s="229">
        <v>0.25790000000000002</v>
      </c>
      <c r="BM56" s="230">
        <v>7538</v>
      </c>
      <c r="BN56" s="230">
        <v>8251</v>
      </c>
      <c r="BO56" s="228">
        <v>-713</v>
      </c>
      <c r="BP56" s="229">
        <v>-8.6400000000000005E-2</v>
      </c>
      <c r="BQ56" s="230">
        <v>18267</v>
      </c>
      <c r="BR56" s="230">
        <v>16772</v>
      </c>
      <c r="BS56" s="230">
        <v>1495</v>
      </c>
      <c r="BT56" s="229">
        <v>8.9099999999999999E-2</v>
      </c>
      <c r="BU56" s="230">
        <v>573632</v>
      </c>
      <c r="BV56" s="230">
        <v>371954</v>
      </c>
      <c r="BW56" s="230">
        <v>201678</v>
      </c>
      <c r="BX56" s="229">
        <v>0.54220000000000002</v>
      </c>
      <c r="BY56" s="230">
        <v>2965</v>
      </c>
      <c r="BZ56" s="230">
        <v>2956</v>
      </c>
      <c r="CA56" s="228">
        <v>8</v>
      </c>
      <c r="CB56" s="229">
        <v>2.8999999999999998E-3</v>
      </c>
      <c r="CC56" s="230">
        <v>2553</v>
      </c>
      <c r="CD56" s="230">
        <v>2594</v>
      </c>
      <c r="CE56" s="228">
        <v>-41</v>
      </c>
      <c r="CF56" s="229">
        <v>-1.5800000000000002E-2</v>
      </c>
      <c r="CG56" s="228">
        <v>351</v>
      </c>
      <c r="CH56" s="228">
        <v>300</v>
      </c>
      <c r="CI56" s="228">
        <v>51</v>
      </c>
      <c r="CJ56" s="229">
        <v>0.16880000000000001</v>
      </c>
      <c r="CK56" s="228">
        <v>61</v>
      </c>
      <c r="CL56" s="228">
        <v>62</v>
      </c>
      <c r="CM56" s="228">
        <v>-1</v>
      </c>
      <c r="CN56" s="229">
        <v>-1.9400000000000001E-2</v>
      </c>
      <c r="CO56" s="230">
        <v>4777</v>
      </c>
      <c r="CP56" s="230">
        <v>4815</v>
      </c>
      <c r="CQ56" s="228">
        <v>-37</v>
      </c>
      <c r="CR56" s="229">
        <v>-7.7000000000000002E-3</v>
      </c>
      <c r="CS56" s="230">
        <v>2531</v>
      </c>
      <c r="CT56" s="230">
        <v>2506</v>
      </c>
      <c r="CU56" s="228">
        <v>26</v>
      </c>
      <c r="CV56" s="229">
        <v>1.03E-2</v>
      </c>
      <c r="CW56" s="230">
        <v>10274</v>
      </c>
      <c r="CX56" s="230">
        <v>10277</v>
      </c>
      <c r="CY56" s="228">
        <v>-3</v>
      </c>
      <c r="CZ56" s="229">
        <v>-2.9999999999999997E-4</v>
      </c>
      <c r="DA56" s="228">
        <v>35.04</v>
      </c>
      <c r="DB56" s="228">
        <v>35.229999999999997</v>
      </c>
      <c r="DC56" s="228">
        <v>-0.19</v>
      </c>
      <c r="DD56" s="228">
        <v>-0.19</v>
      </c>
      <c r="DE56" s="228">
        <v>44.86</v>
      </c>
      <c r="DF56" s="228">
        <v>44.97</v>
      </c>
      <c r="DG56" s="228">
        <v>-9.82</v>
      </c>
      <c r="DH56" s="228">
        <v>-0.11</v>
      </c>
      <c r="DI56" s="228">
        <v>33.840000000000003</v>
      </c>
      <c r="DJ56" s="228">
        <v>35.28</v>
      </c>
      <c r="DK56" s="228">
        <v>-1.44</v>
      </c>
      <c r="DL56" s="228">
        <v>-1.44</v>
      </c>
      <c r="DM56" s="228">
        <v>36.56</v>
      </c>
      <c r="DN56" s="228">
        <v>35.18</v>
      </c>
      <c r="DO56" s="228">
        <v>1.38</v>
      </c>
      <c r="DP56" s="228">
        <v>1.38</v>
      </c>
      <c r="DQ56" s="228">
        <v>0.53</v>
      </c>
      <c r="DR56" s="228">
        <v>0.52</v>
      </c>
      <c r="DS56" s="228">
        <v>0.01</v>
      </c>
      <c r="DT56" s="229">
        <v>1.9199999999999998E-2</v>
      </c>
      <c r="DU56" s="231">
        <v>15000</v>
      </c>
      <c r="DV56" s="231">
        <v>12000</v>
      </c>
      <c r="DW56" s="228">
        <v>0.79</v>
      </c>
      <c r="DX56" s="228">
        <v>1.0900000000000001</v>
      </c>
      <c r="DY56" s="228">
        <v>-0.3</v>
      </c>
      <c r="DZ56" s="229">
        <v>-0.2752</v>
      </c>
      <c r="EA56" s="229">
        <v>0.13880000000000001</v>
      </c>
      <c r="EB56" s="230">
        <v>271700</v>
      </c>
      <c r="EC56" s="229">
        <v>6.7999999999999996E-3</v>
      </c>
      <c r="ED56" s="229">
        <v>0.13880000000000001</v>
      </c>
      <c r="EE56" s="228">
        <v>80.650000000000006</v>
      </c>
      <c r="EF56" s="229">
        <v>6.1000000000000004E-3</v>
      </c>
      <c r="EG56" s="230">
        <v>169787</v>
      </c>
      <c r="EH56" s="230">
        <v>104013</v>
      </c>
      <c r="EI56" s="229">
        <v>0.63239999999999996</v>
      </c>
      <c r="EJ56" s="229">
        <v>0.29599999999999999</v>
      </c>
      <c r="EK56" s="231">
        <v>10159.049999999999</v>
      </c>
      <c r="EL56" s="231">
        <v>7260.36</v>
      </c>
      <c r="EM56" s="231">
        <v>1179.8399999999999</v>
      </c>
      <c r="EN56" s="228">
        <v>178.86</v>
      </c>
      <c r="EO56" s="231">
        <v>18599.25</v>
      </c>
      <c r="EP56" s="231">
        <v>17078.03</v>
      </c>
      <c r="EQ56" s="231">
        <v>1521.23</v>
      </c>
      <c r="ER56" s="229">
        <v>8.9099999999999999E-2</v>
      </c>
      <c r="ES56" s="231">
        <v>5300.23</v>
      </c>
      <c r="ET56" s="231">
        <v>2472.2399999999998</v>
      </c>
      <c r="EU56" s="231">
        <v>2967.73</v>
      </c>
      <c r="EV56" s="231">
        <v>6445442</v>
      </c>
      <c r="EW56" s="231">
        <v>10740.2</v>
      </c>
      <c r="EX56" s="231">
        <v>10736.62</v>
      </c>
      <c r="EY56" s="228">
        <v>3.58</v>
      </c>
      <c r="EZ56" s="229">
        <v>2.9999999999999997E-4</v>
      </c>
      <c r="FA56" s="229">
        <v>1.1960999999999999</v>
      </c>
      <c r="FB56" s="227" t="s">
        <v>555</v>
      </c>
      <c r="FC56">
        <f t="shared" si="0"/>
        <v>412</v>
      </c>
    </row>
    <row r="57" spans="1:159" ht="17.25" thickBot="1" x14ac:dyDescent="0.3">
      <c r="A57" s="226">
        <v>46009</v>
      </c>
      <c r="B57" s="227" t="s">
        <v>206</v>
      </c>
      <c r="C57" s="227" t="s">
        <v>207</v>
      </c>
      <c r="D57" s="228">
        <v>825</v>
      </c>
      <c r="E57" s="228">
        <v>12</v>
      </c>
      <c r="F57" s="228">
        <v>680</v>
      </c>
      <c r="G57" s="228">
        <v>683.8</v>
      </c>
      <c r="H57" s="228">
        <v>-3.8</v>
      </c>
      <c r="I57" s="229">
        <v>-5.5999999999999999E-3</v>
      </c>
      <c r="J57" s="228">
        <v>679.05</v>
      </c>
      <c r="K57" s="228">
        <v>683.1</v>
      </c>
      <c r="L57" s="228">
        <v>-4.05</v>
      </c>
      <c r="M57" s="229">
        <v>-5.8999999999999999E-3</v>
      </c>
      <c r="N57" s="228">
        <v>680</v>
      </c>
      <c r="O57" s="228">
        <v>683.8</v>
      </c>
      <c r="P57" s="228">
        <v>-3.8</v>
      </c>
      <c r="Q57" s="229">
        <v>-5.5999999999999999E-3</v>
      </c>
      <c r="R57" s="228">
        <v>683.9</v>
      </c>
      <c r="S57" s="228">
        <v>687.75</v>
      </c>
      <c r="T57" s="228">
        <v>-3.85</v>
      </c>
      <c r="U57" s="229">
        <v>-5.5999999999999999E-3</v>
      </c>
      <c r="V57" s="228">
        <v>687.1</v>
      </c>
      <c r="W57" s="228">
        <v>691.85</v>
      </c>
      <c r="X57" s="228">
        <v>-4.75</v>
      </c>
      <c r="Y57" s="229">
        <v>-6.8999999999999999E-3</v>
      </c>
      <c r="Z57" s="228">
        <v>0.95</v>
      </c>
      <c r="AA57" s="228">
        <v>0.7</v>
      </c>
      <c r="AB57" s="228">
        <v>0.25</v>
      </c>
      <c r="AC57" s="229">
        <v>1.4E-3</v>
      </c>
      <c r="AD57" s="228">
        <v>0.95</v>
      </c>
      <c r="AE57" s="228">
        <v>0.7</v>
      </c>
      <c r="AF57" s="228">
        <v>0.25</v>
      </c>
      <c r="AG57" s="229">
        <v>1.4E-3</v>
      </c>
      <c r="AH57" s="228">
        <v>4.8499999999999996</v>
      </c>
      <c r="AI57" s="228">
        <v>4.6500000000000004</v>
      </c>
      <c r="AJ57" s="228">
        <v>0.2</v>
      </c>
      <c r="AK57" s="229">
        <v>7.1000000000000004E-3</v>
      </c>
      <c r="AL57" s="228">
        <v>8.0500000000000007</v>
      </c>
      <c r="AM57" s="228">
        <v>8.75</v>
      </c>
      <c r="AN57" s="228">
        <v>-0.7</v>
      </c>
      <c r="AO57" s="229">
        <v>1.1900000000000001E-2</v>
      </c>
      <c r="AP57" s="228">
        <v>681</v>
      </c>
      <c r="AQ57" s="228">
        <v>685.23</v>
      </c>
      <c r="AR57" s="228">
        <v>0</v>
      </c>
      <c r="AS57" s="228">
        <v>504</v>
      </c>
      <c r="AT57" s="228">
        <v>322</v>
      </c>
      <c r="AU57" s="228">
        <v>182</v>
      </c>
      <c r="AV57" s="229">
        <v>0.56499999999999995</v>
      </c>
      <c r="AW57" s="228">
        <v>413</v>
      </c>
      <c r="AX57" s="228">
        <v>268</v>
      </c>
      <c r="AY57" s="228">
        <v>145</v>
      </c>
      <c r="AZ57" s="229">
        <v>0.54200000000000004</v>
      </c>
      <c r="BA57" s="228">
        <v>85</v>
      </c>
      <c r="BB57" s="228">
        <v>51</v>
      </c>
      <c r="BC57" s="228">
        <v>34</v>
      </c>
      <c r="BD57" s="229">
        <v>0.66739999999999999</v>
      </c>
      <c r="BE57" s="228">
        <v>6</v>
      </c>
      <c r="BF57" s="228">
        <v>3</v>
      </c>
      <c r="BG57" s="228">
        <v>3</v>
      </c>
      <c r="BH57" s="229">
        <v>0.84750000000000003</v>
      </c>
      <c r="BI57" s="230">
        <v>1683</v>
      </c>
      <c r="BJ57" s="230">
        <v>1225</v>
      </c>
      <c r="BK57" s="228">
        <v>458</v>
      </c>
      <c r="BL57" s="229">
        <v>0.374</v>
      </c>
      <c r="BM57" s="230">
        <v>1222</v>
      </c>
      <c r="BN57" s="228">
        <v>476</v>
      </c>
      <c r="BO57" s="228">
        <v>746</v>
      </c>
      <c r="BP57" s="229">
        <v>1.5689</v>
      </c>
      <c r="BQ57" s="230">
        <v>3409</v>
      </c>
      <c r="BR57" s="230">
        <v>2023</v>
      </c>
      <c r="BS57" s="230">
        <v>1386</v>
      </c>
      <c r="BT57" s="229">
        <v>0.6855</v>
      </c>
      <c r="BU57" s="230">
        <v>1643012</v>
      </c>
      <c r="BV57" s="230">
        <v>1793008</v>
      </c>
      <c r="BW57" s="230">
        <v>-149996</v>
      </c>
      <c r="BX57" s="229">
        <v>-8.3699999999999997E-2</v>
      </c>
      <c r="BY57" s="230">
        <v>3512</v>
      </c>
      <c r="BZ57" s="230">
        <v>3471</v>
      </c>
      <c r="CA57" s="228">
        <v>41</v>
      </c>
      <c r="CB57" s="229">
        <v>1.1900000000000001E-2</v>
      </c>
      <c r="CC57" s="230">
        <v>3271</v>
      </c>
      <c r="CD57" s="230">
        <v>3268</v>
      </c>
      <c r="CE57" s="228">
        <v>3</v>
      </c>
      <c r="CF57" s="229">
        <v>8.9999999999999998E-4</v>
      </c>
      <c r="CG57" s="228">
        <v>210</v>
      </c>
      <c r="CH57" s="228">
        <v>173</v>
      </c>
      <c r="CI57" s="228">
        <v>38</v>
      </c>
      <c r="CJ57" s="229">
        <v>0.217</v>
      </c>
      <c r="CK57" s="228">
        <v>31</v>
      </c>
      <c r="CL57" s="228">
        <v>30</v>
      </c>
      <c r="CM57" s="228">
        <v>1</v>
      </c>
      <c r="CN57" s="229">
        <v>2.4E-2</v>
      </c>
      <c r="CO57" s="230">
        <v>1559</v>
      </c>
      <c r="CP57" s="230">
        <v>1557</v>
      </c>
      <c r="CQ57" s="228">
        <v>1</v>
      </c>
      <c r="CR57" s="229">
        <v>6.9999999999999999E-4</v>
      </c>
      <c r="CS57" s="230">
        <v>1029</v>
      </c>
      <c r="CT57" s="228">
        <v>968</v>
      </c>
      <c r="CU57" s="228">
        <v>61</v>
      </c>
      <c r="CV57" s="229">
        <v>6.25E-2</v>
      </c>
      <c r="CW57" s="230">
        <v>6100</v>
      </c>
      <c r="CX57" s="230">
        <v>5997</v>
      </c>
      <c r="CY57" s="228">
        <v>103</v>
      </c>
      <c r="CZ57" s="229">
        <v>1.72E-2</v>
      </c>
      <c r="DA57" s="228">
        <v>24.56</v>
      </c>
      <c r="DB57" s="228">
        <v>24.27</v>
      </c>
      <c r="DC57" s="228">
        <v>0.28999999999999998</v>
      </c>
      <c r="DD57" s="228">
        <v>0.28999999999999998</v>
      </c>
      <c r="DE57" s="228">
        <v>34.97</v>
      </c>
      <c r="DF57" s="228">
        <v>35.049999999999997</v>
      </c>
      <c r="DG57" s="228">
        <v>-10.41</v>
      </c>
      <c r="DH57" s="228">
        <v>-0.08</v>
      </c>
      <c r="DI57" s="228">
        <v>24.56</v>
      </c>
      <c r="DJ57" s="228">
        <v>24.67</v>
      </c>
      <c r="DK57" s="228">
        <v>-0.11</v>
      </c>
      <c r="DL57" s="228">
        <v>-0.11</v>
      </c>
      <c r="DM57" s="228">
        <v>24.55</v>
      </c>
      <c r="DN57" s="228">
        <v>23.23</v>
      </c>
      <c r="DO57" s="228">
        <v>1.32</v>
      </c>
      <c r="DP57" s="228">
        <v>1.32</v>
      </c>
      <c r="DQ57" s="228">
        <v>0.66</v>
      </c>
      <c r="DR57" s="228">
        <v>0.62</v>
      </c>
      <c r="DS57" s="228">
        <v>0.04</v>
      </c>
      <c r="DT57" s="229">
        <v>6.4500000000000002E-2</v>
      </c>
      <c r="DU57" s="228">
        <v>730</v>
      </c>
      <c r="DV57" s="228">
        <v>700</v>
      </c>
      <c r="DW57" s="228">
        <v>0.73</v>
      </c>
      <c r="DX57" s="228">
        <v>0.39</v>
      </c>
      <c r="DY57" s="228">
        <v>0.34</v>
      </c>
      <c r="DZ57" s="229">
        <v>0.87180000000000002</v>
      </c>
      <c r="EA57" s="229">
        <v>6.88E-2</v>
      </c>
      <c r="EB57" s="230">
        <v>2990625</v>
      </c>
      <c r="EC57" s="229">
        <v>5.7000000000000002E-3</v>
      </c>
      <c r="ED57" s="229">
        <v>6.88E-2</v>
      </c>
      <c r="EE57" s="228">
        <v>4.2300000000000004</v>
      </c>
      <c r="EF57" s="229">
        <v>6.1999999999999998E-3</v>
      </c>
      <c r="EG57" s="230">
        <v>683950</v>
      </c>
      <c r="EH57" s="230">
        <v>864985</v>
      </c>
      <c r="EI57" s="229">
        <v>-0.20930000000000001</v>
      </c>
      <c r="EJ57" s="229">
        <v>0.4163</v>
      </c>
      <c r="EK57" s="231">
        <v>1766.71</v>
      </c>
      <c r="EL57" s="231">
        <v>1219.6199999999999</v>
      </c>
      <c r="EM57" s="228">
        <v>505.11</v>
      </c>
      <c r="EN57" s="228">
        <v>51.12</v>
      </c>
      <c r="EO57" s="231">
        <v>3491.44</v>
      </c>
      <c r="EP57" s="231">
        <v>2102.59</v>
      </c>
      <c r="EQ57" s="231">
        <v>1388.85</v>
      </c>
      <c r="ER57" s="229">
        <v>0.66049999999999998</v>
      </c>
      <c r="ES57" s="231">
        <v>1680.13</v>
      </c>
      <c r="ET57" s="231">
        <v>1067.79</v>
      </c>
      <c r="EU57" s="231">
        <v>3513.95</v>
      </c>
      <c r="EV57" s="231">
        <v>83667734</v>
      </c>
      <c r="EW57" s="231">
        <v>6261.87</v>
      </c>
      <c r="EX57" s="231">
        <v>6190.04</v>
      </c>
      <c r="EY57" s="228">
        <v>71.83</v>
      </c>
      <c r="EZ57" s="229">
        <v>1.1599999999999999E-2</v>
      </c>
      <c r="FA57" s="229">
        <v>1.0721000000000001</v>
      </c>
      <c r="FB57" s="227" t="s">
        <v>567</v>
      </c>
      <c r="FC57">
        <f t="shared" si="0"/>
        <v>241</v>
      </c>
    </row>
    <row r="58" spans="1:159" ht="17.25" thickBot="1" x14ac:dyDescent="0.3">
      <c r="A58" s="226">
        <v>46009</v>
      </c>
      <c r="B58" s="227" t="s">
        <v>615</v>
      </c>
      <c r="C58" s="227" t="s">
        <v>583</v>
      </c>
      <c r="D58" s="228">
        <v>150</v>
      </c>
      <c r="E58" s="228">
        <v>12</v>
      </c>
      <c r="F58" s="231">
        <v>3769.6</v>
      </c>
      <c r="G58" s="231">
        <v>3825.1</v>
      </c>
      <c r="H58" s="228">
        <v>-55.5</v>
      </c>
      <c r="I58" s="229">
        <v>-1.4500000000000001E-2</v>
      </c>
      <c r="J58" s="231">
        <v>3757.2</v>
      </c>
      <c r="K58" s="231">
        <v>3826.2</v>
      </c>
      <c r="L58" s="228">
        <v>-69</v>
      </c>
      <c r="M58" s="229">
        <v>-1.7999999999999999E-2</v>
      </c>
      <c r="N58" s="231">
        <v>3769.6</v>
      </c>
      <c r="O58" s="231">
        <v>3825.1</v>
      </c>
      <c r="P58" s="228">
        <v>-55.5</v>
      </c>
      <c r="Q58" s="229">
        <v>-1.4500000000000001E-2</v>
      </c>
      <c r="R58" s="231">
        <v>3784.6</v>
      </c>
      <c r="S58" s="231">
        <v>3833.7</v>
      </c>
      <c r="T58" s="228">
        <v>-49.1</v>
      </c>
      <c r="U58" s="229">
        <v>-1.2800000000000001E-2</v>
      </c>
      <c r="V58" s="231">
        <v>3798.8</v>
      </c>
      <c r="W58" s="231">
        <v>3847.8</v>
      </c>
      <c r="X58" s="228">
        <v>-49</v>
      </c>
      <c r="Y58" s="229">
        <v>-1.2699999999999999E-2</v>
      </c>
      <c r="Z58" s="228">
        <v>12.4</v>
      </c>
      <c r="AA58" s="228">
        <v>-1.1000000000000001</v>
      </c>
      <c r="AB58" s="228">
        <v>13.5</v>
      </c>
      <c r="AC58" s="229">
        <v>3.3E-3</v>
      </c>
      <c r="AD58" s="228">
        <v>12.4</v>
      </c>
      <c r="AE58" s="228">
        <v>-1.1000000000000001</v>
      </c>
      <c r="AF58" s="228">
        <v>13.5</v>
      </c>
      <c r="AG58" s="229">
        <v>3.3E-3</v>
      </c>
      <c r="AH58" s="228">
        <v>27.4</v>
      </c>
      <c r="AI58" s="228">
        <v>7.5</v>
      </c>
      <c r="AJ58" s="228">
        <v>19.899999999999999</v>
      </c>
      <c r="AK58" s="229">
        <v>7.3000000000000001E-3</v>
      </c>
      <c r="AL58" s="228">
        <v>41.6</v>
      </c>
      <c r="AM58" s="228">
        <v>21.6</v>
      </c>
      <c r="AN58" s="228">
        <v>20</v>
      </c>
      <c r="AO58" s="229">
        <v>1.11E-2</v>
      </c>
      <c r="AP58" s="231">
        <v>3777.75</v>
      </c>
      <c r="AQ58" s="231">
        <v>3790.57</v>
      </c>
      <c r="AR58" s="228">
        <v>0</v>
      </c>
      <c r="AS58" s="228">
        <v>193</v>
      </c>
      <c r="AT58" s="228">
        <v>246</v>
      </c>
      <c r="AU58" s="228">
        <v>-53</v>
      </c>
      <c r="AV58" s="229">
        <v>-0.21629999999999999</v>
      </c>
      <c r="AW58" s="228">
        <v>137</v>
      </c>
      <c r="AX58" s="228">
        <v>180</v>
      </c>
      <c r="AY58" s="228">
        <v>-43</v>
      </c>
      <c r="AZ58" s="229">
        <v>-0.23649999999999999</v>
      </c>
      <c r="BA58" s="228">
        <v>50</v>
      </c>
      <c r="BB58" s="228">
        <v>62</v>
      </c>
      <c r="BC58" s="228">
        <v>-12</v>
      </c>
      <c r="BD58" s="229">
        <v>-0.1938</v>
      </c>
      <c r="BE58" s="228">
        <v>5</v>
      </c>
      <c r="BF58" s="228">
        <v>4</v>
      </c>
      <c r="BG58" s="228">
        <v>1</v>
      </c>
      <c r="BH58" s="229">
        <v>0.37309999999999999</v>
      </c>
      <c r="BI58" s="230">
        <v>1252</v>
      </c>
      <c r="BJ58" s="228">
        <v>716</v>
      </c>
      <c r="BK58" s="228">
        <v>537</v>
      </c>
      <c r="BL58" s="229">
        <v>0.75029999999999997</v>
      </c>
      <c r="BM58" s="228">
        <v>499</v>
      </c>
      <c r="BN58" s="228">
        <v>289</v>
      </c>
      <c r="BO58" s="228">
        <v>210</v>
      </c>
      <c r="BP58" s="229">
        <v>0.72460000000000002</v>
      </c>
      <c r="BQ58" s="230">
        <v>1944</v>
      </c>
      <c r="BR58" s="230">
        <v>1251</v>
      </c>
      <c r="BS58" s="228">
        <v>693</v>
      </c>
      <c r="BT58" s="229">
        <v>0.5544</v>
      </c>
      <c r="BU58" s="230">
        <v>333267</v>
      </c>
      <c r="BV58" s="230">
        <v>410186</v>
      </c>
      <c r="BW58" s="230">
        <v>-76919</v>
      </c>
      <c r="BX58" s="229">
        <v>-0.1875</v>
      </c>
      <c r="BY58" s="230">
        <v>2235</v>
      </c>
      <c r="BZ58" s="230">
        <v>2203</v>
      </c>
      <c r="CA58" s="228">
        <v>32</v>
      </c>
      <c r="CB58" s="229">
        <v>1.44E-2</v>
      </c>
      <c r="CC58" s="230">
        <v>2046</v>
      </c>
      <c r="CD58" s="230">
        <v>2036</v>
      </c>
      <c r="CE58" s="228">
        <v>10</v>
      </c>
      <c r="CF58" s="229">
        <v>4.7999999999999996E-3</v>
      </c>
      <c r="CG58" s="228">
        <v>171</v>
      </c>
      <c r="CH58" s="228">
        <v>151</v>
      </c>
      <c r="CI58" s="228">
        <v>20</v>
      </c>
      <c r="CJ58" s="229">
        <v>0.1308</v>
      </c>
      <c r="CK58" s="228">
        <v>18</v>
      </c>
      <c r="CL58" s="228">
        <v>16</v>
      </c>
      <c r="CM58" s="228">
        <v>2</v>
      </c>
      <c r="CN58" s="229">
        <v>0.14080000000000001</v>
      </c>
      <c r="CO58" s="230">
        <v>1045</v>
      </c>
      <c r="CP58" s="228">
        <v>917</v>
      </c>
      <c r="CQ58" s="228">
        <v>128</v>
      </c>
      <c r="CR58" s="229">
        <v>0.13969999999999999</v>
      </c>
      <c r="CS58" s="228">
        <v>464</v>
      </c>
      <c r="CT58" s="228">
        <v>436</v>
      </c>
      <c r="CU58" s="228">
        <v>28</v>
      </c>
      <c r="CV58" s="229">
        <v>6.3899999999999998E-2</v>
      </c>
      <c r="CW58" s="230">
        <v>3744</v>
      </c>
      <c r="CX58" s="230">
        <v>3557</v>
      </c>
      <c r="CY58" s="228">
        <v>188</v>
      </c>
      <c r="CZ58" s="229">
        <v>5.28E-2</v>
      </c>
      <c r="DA58" s="228">
        <v>22.85</v>
      </c>
      <c r="DB58" s="228">
        <v>22.57</v>
      </c>
      <c r="DC58" s="228">
        <v>0.28000000000000003</v>
      </c>
      <c r="DD58" s="228">
        <v>0.28000000000000003</v>
      </c>
      <c r="DE58" s="228">
        <v>30.75</v>
      </c>
      <c r="DF58" s="228">
        <v>30.73</v>
      </c>
      <c r="DG58" s="228">
        <v>-7.9</v>
      </c>
      <c r="DH58" s="228">
        <v>0.02</v>
      </c>
      <c r="DI58" s="228">
        <v>23.62</v>
      </c>
      <c r="DJ58" s="228">
        <v>22.89</v>
      </c>
      <c r="DK58" s="228">
        <v>0.73</v>
      </c>
      <c r="DL58" s="228">
        <v>0.73</v>
      </c>
      <c r="DM58" s="228">
        <v>20.93</v>
      </c>
      <c r="DN58" s="228">
        <v>21.76</v>
      </c>
      <c r="DO58" s="228">
        <v>-0.83</v>
      </c>
      <c r="DP58" s="228">
        <v>-0.83</v>
      </c>
      <c r="DQ58" s="228">
        <v>0.44</v>
      </c>
      <c r="DR58" s="228">
        <v>0.48</v>
      </c>
      <c r="DS58" s="228">
        <v>-0.04</v>
      </c>
      <c r="DT58" s="229">
        <v>-8.3299999999999999E-2</v>
      </c>
      <c r="DU58" s="231">
        <v>4000</v>
      </c>
      <c r="DV58" s="231">
        <v>3800</v>
      </c>
      <c r="DW58" s="228">
        <v>0.4</v>
      </c>
      <c r="DX58" s="228">
        <v>0.4</v>
      </c>
      <c r="DY58" s="228">
        <v>0</v>
      </c>
      <c r="DZ58" s="229">
        <v>0</v>
      </c>
      <c r="EA58" s="229">
        <v>8.4599999999999995E-2</v>
      </c>
      <c r="EB58" s="230">
        <v>442950</v>
      </c>
      <c r="EC58" s="229">
        <v>4.0000000000000001E-3</v>
      </c>
      <c r="ED58" s="229">
        <v>8.4599999999999995E-2</v>
      </c>
      <c r="EE58" s="228">
        <v>12.82</v>
      </c>
      <c r="EF58" s="229">
        <v>3.3999999999999998E-3</v>
      </c>
      <c r="EG58" s="230">
        <v>192201</v>
      </c>
      <c r="EH58" s="230">
        <v>274582</v>
      </c>
      <c r="EI58" s="229">
        <v>-0.3</v>
      </c>
      <c r="EJ58" s="229">
        <v>0.57669999999999999</v>
      </c>
      <c r="EK58" s="231">
        <v>1323.75</v>
      </c>
      <c r="EL58" s="228">
        <v>498.22</v>
      </c>
      <c r="EM58" s="228">
        <v>193.15</v>
      </c>
      <c r="EN58" s="228">
        <v>42.65</v>
      </c>
      <c r="EO58" s="231">
        <v>2015.12</v>
      </c>
      <c r="EP58" s="231">
        <v>1302.3599999999999</v>
      </c>
      <c r="EQ58" s="228">
        <v>712.76</v>
      </c>
      <c r="ER58" s="229">
        <v>0.54730000000000001</v>
      </c>
      <c r="ES58" s="231">
        <v>1119.79</v>
      </c>
      <c r="ET58" s="228">
        <v>468.28</v>
      </c>
      <c r="EU58" s="231">
        <v>2235.7800000000002</v>
      </c>
      <c r="EV58" s="231">
        <v>22136392</v>
      </c>
      <c r="EW58" s="231">
        <v>3823.85</v>
      </c>
      <c r="EX58" s="231">
        <v>3666.97</v>
      </c>
      <c r="EY58" s="228">
        <v>156.88</v>
      </c>
      <c r="EZ58" s="229">
        <v>4.2799999999999998E-2</v>
      </c>
      <c r="FA58" s="229">
        <v>0.44869999999999999</v>
      </c>
      <c r="FB58" s="227" t="s">
        <v>567</v>
      </c>
      <c r="FC58">
        <f t="shared" si="0"/>
        <v>189</v>
      </c>
    </row>
    <row r="59" spans="1:159" ht="17.25" thickBot="1" x14ac:dyDescent="0.3">
      <c r="A59" s="226">
        <v>46009</v>
      </c>
      <c r="B59" s="227" t="s">
        <v>170</v>
      </c>
      <c r="C59" s="227" t="s">
        <v>208</v>
      </c>
      <c r="D59" s="228">
        <v>625</v>
      </c>
      <c r="E59" s="228">
        <v>12</v>
      </c>
      <c r="F59" s="231">
        <v>1279.5999999999999</v>
      </c>
      <c r="G59" s="231">
        <v>1273.2</v>
      </c>
      <c r="H59" s="228">
        <v>6.4</v>
      </c>
      <c r="I59" s="229">
        <v>5.0000000000000001E-3</v>
      </c>
      <c r="J59" s="231">
        <v>1280</v>
      </c>
      <c r="K59" s="231">
        <v>1272</v>
      </c>
      <c r="L59" s="228">
        <v>8</v>
      </c>
      <c r="M59" s="229">
        <v>6.3E-3</v>
      </c>
      <c r="N59" s="231">
        <v>1279.5999999999999</v>
      </c>
      <c r="O59" s="231">
        <v>1273.2</v>
      </c>
      <c r="P59" s="228">
        <v>6.4</v>
      </c>
      <c r="Q59" s="229">
        <v>5.0000000000000001E-3</v>
      </c>
      <c r="R59" s="231">
        <v>1286.4000000000001</v>
      </c>
      <c r="S59" s="231">
        <v>1279.4000000000001</v>
      </c>
      <c r="T59" s="228">
        <v>7</v>
      </c>
      <c r="U59" s="229">
        <v>5.4999999999999997E-3</v>
      </c>
      <c r="V59" s="231">
        <v>1288.7</v>
      </c>
      <c r="W59" s="231">
        <v>1291</v>
      </c>
      <c r="X59" s="228">
        <v>-2.2999999999999998</v>
      </c>
      <c r="Y59" s="229">
        <v>-1.8E-3</v>
      </c>
      <c r="Z59" s="228">
        <v>-0.4</v>
      </c>
      <c r="AA59" s="228">
        <v>1.2</v>
      </c>
      <c r="AB59" s="228">
        <v>-1.6</v>
      </c>
      <c r="AC59" s="229">
        <v>-2.9999999999999997E-4</v>
      </c>
      <c r="AD59" s="228">
        <v>-0.4</v>
      </c>
      <c r="AE59" s="228">
        <v>1.2</v>
      </c>
      <c r="AF59" s="228">
        <v>-1.6</v>
      </c>
      <c r="AG59" s="229">
        <v>-2.9999999999999997E-4</v>
      </c>
      <c r="AH59" s="228">
        <v>6.4</v>
      </c>
      <c r="AI59" s="228">
        <v>7.4</v>
      </c>
      <c r="AJ59" s="228">
        <v>-1</v>
      </c>
      <c r="AK59" s="229">
        <v>5.0000000000000001E-3</v>
      </c>
      <c r="AL59" s="228">
        <v>8.6999999999999993</v>
      </c>
      <c r="AM59" s="228">
        <v>19</v>
      </c>
      <c r="AN59" s="228">
        <v>-10.3</v>
      </c>
      <c r="AO59" s="229">
        <v>6.7999999999999996E-3</v>
      </c>
      <c r="AP59" s="231">
        <v>1275.28</v>
      </c>
      <c r="AQ59" s="231">
        <v>1280.8599999999999</v>
      </c>
      <c r="AR59" s="228">
        <v>0</v>
      </c>
      <c r="AS59" s="228">
        <v>234</v>
      </c>
      <c r="AT59" s="228">
        <v>167</v>
      </c>
      <c r="AU59" s="228">
        <v>66</v>
      </c>
      <c r="AV59" s="229">
        <v>0.39660000000000001</v>
      </c>
      <c r="AW59" s="228">
        <v>172</v>
      </c>
      <c r="AX59" s="228">
        <v>136</v>
      </c>
      <c r="AY59" s="228">
        <v>37</v>
      </c>
      <c r="AZ59" s="229">
        <v>0.26900000000000002</v>
      </c>
      <c r="BA59" s="228">
        <v>60</v>
      </c>
      <c r="BB59" s="228">
        <v>31</v>
      </c>
      <c r="BC59" s="228">
        <v>29</v>
      </c>
      <c r="BD59" s="229">
        <v>0.92820000000000003</v>
      </c>
      <c r="BE59" s="228">
        <v>1</v>
      </c>
      <c r="BF59" s="228">
        <v>0</v>
      </c>
      <c r="BG59" s="228">
        <v>1</v>
      </c>
      <c r="BH59" s="229">
        <v>2.75</v>
      </c>
      <c r="BI59" s="228">
        <v>460</v>
      </c>
      <c r="BJ59" s="228">
        <v>435</v>
      </c>
      <c r="BK59" s="228">
        <v>25</v>
      </c>
      <c r="BL59" s="229">
        <v>5.8099999999999999E-2</v>
      </c>
      <c r="BM59" s="228">
        <v>242</v>
      </c>
      <c r="BN59" s="228">
        <v>230</v>
      </c>
      <c r="BO59" s="228">
        <v>12</v>
      </c>
      <c r="BP59" s="229">
        <v>5.3900000000000003E-2</v>
      </c>
      <c r="BQ59" s="228">
        <v>936</v>
      </c>
      <c r="BR59" s="228">
        <v>832</v>
      </c>
      <c r="BS59" s="228">
        <v>104</v>
      </c>
      <c r="BT59" s="229">
        <v>0.125</v>
      </c>
      <c r="BU59" s="230">
        <v>912456</v>
      </c>
      <c r="BV59" s="230">
        <v>916042</v>
      </c>
      <c r="BW59" s="230">
        <v>-3586</v>
      </c>
      <c r="BX59" s="229">
        <v>-3.8999999999999998E-3</v>
      </c>
      <c r="BY59" s="230">
        <v>1780</v>
      </c>
      <c r="BZ59" s="230">
        <v>1743</v>
      </c>
      <c r="CA59" s="228">
        <v>37</v>
      </c>
      <c r="CB59" s="229">
        <v>2.12E-2</v>
      </c>
      <c r="CC59" s="230">
        <v>1602</v>
      </c>
      <c r="CD59" s="230">
        <v>1602</v>
      </c>
      <c r="CE59" s="228">
        <v>1</v>
      </c>
      <c r="CF59" s="229">
        <v>2.9999999999999997E-4</v>
      </c>
      <c r="CG59" s="228">
        <v>172</v>
      </c>
      <c r="CH59" s="228">
        <v>136</v>
      </c>
      <c r="CI59" s="228">
        <v>36</v>
      </c>
      <c r="CJ59" s="229">
        <v>0.26319999999999999</v>
      </c>
      <c r="CK59" s="228">
        <v>6</v>
      </c>
      <c r="CL59" s="228">
        <v>5</v>
      </c>
      <c r="CM59" s="228">
        <v>0</v>
      </c>
      <c r="CN59" s="229">
        <v>8.9599999999999999E-2</v>
      </c>
      <c r="CO59" s="228">
        <v>854</v>
      </c>
      <c r="CP59" s="228">
        <v>869</v>
      </c>
      <c r="CQ59" s="228">
        <v>-15</v>
      </c>
      <c r="CR59" s="229">
        <v>-1.7000000000000001E-2</v>
      </c>
      <c r="CS59" s="228">
        <v>431</v>
      </c>
      <c r="CT59" s="228">
        <v>425</v>
      </c>
      <c r="CU59" s="228">
        <v>6</v>
      </c>
      <c r="CV59" s="229">
        <v>1.2999999999999999E-2</v>
      </c>
      <c r="CW59" s="230">
        <v>3065</v>
      </c>
      <c r="CX59" s="230">
        <v>3038</v>
      </c>
      <c r="CY59" s="228">
        <v>28</v>
      </c>
      <c r="CZ59" s="229">
        <v>9.1000000000000004E-3</v>
      </c>
      <c r="DA59" s="228">
        <v>14.64</v>
      </c>
      <c r="DB59" s="228">
        <v>14.89</v>
      </c>
      <c r="DC59" s="228">
        <v>-0.25</v>
      </c>
      <c r="DD59" s="228">
        <v>-0.25</v>
      </c>
      <c r="DE59" s="228">
        <v>23.98</v>
      </c>
      <c r="DF59" s="228">
        <v>24.02</v>
      </c>
      <c r="DG59" s="228">
        <v>-9.34</v>
      </c>
      <c r="DH59" s="228">
        <v>-0.04</v>
      </c>
      <c r="DI59" s="228">
        <v>14</v>
      </c>
      <c r="DJ59" s="228">
        <v>14.74</v>
      </c>
      <c r="DK59" s="228">
        <v>-0.74</v>
      </c>
      <c r="DL59" s="228">
        <v>-0.74</v>
      </c>
      <c r="DM59" s="228">
        <v>15.84</v>
      </c>
      <c r="DN59" s="228">
        <v>15.17</v>
      </c>
      <c r="DO59" s="228">
        <v>0.67</v>
      </c>
      <c r="DP59" s="228">
        <v>0.67</v>
      </c>
      <c r="DQ59" s="228">
        <v>0.5</v>
      </c>
      <c r="DR59" s="228">
        <v>0.49</v>
      </c>
      <c r="DS59" s="228">
        <v>0.01</v>
      </c>
      <c r="DT59" s="229">
        <v>2.0400000000000001E-2</v>
      </c>
      <c r="DU59" s="231">
        <v>1300</v>
      </c>
      <c r="DV59" s="231">
        <v>1140</v>
      </c>
      <c r="DW59" s="228">
        <v>0.53</v>
      </c>
      <c r="DX59" s="228">
        <v>0.53</v>
      </c>
      <c r="DY59" s="228">
        <v>0</v>
      </c>
      <c r="DZ59" s="229">
        <v>0</v>
      </c>
      <c r="EA59" s="229">
        <v>0.10009999999999999</v>
      </c>
      <c r="EB59" s="230">
        <v>1108125</v>
      </c>
      <c r="EC59" s="229">
        <v>5.3E-3</v>
      </c>
      <c r="ED59" s="229">
        <v>0.10009999999999999</v>
      </c>
      <c r="EE59" s="228">
        <v>5.58</v>
      </c>
      <c r="EF59" s="229">
        <v>4.4000000000000003E-3</v>
      </c>
      <c r="EG59" s="230">
        <v>537664</v>
      </c>
      <c r="EH59" s="230">
        <v>533813</v>
      </c>
      <c r="EI59" s="229">
        <v>7.1999999999999998E-3</v>
      </c>
      <c r="EJ59" s="229">
        <v>0.58919999999999995</v>
      </c>
      <c r="EK59" s="228">
        <v>467.21</v>
      </c>
      <c r="EL59" s="228">
        <v>239.54</v>
      </c>
      <c r="EM59" s="228">
        <v>233.25</v>
      </c>
      <c r="EN59" s="228">
        <v>22.05</v>
      </c>
      <c r="EO59" s="228">
        <v>940</v>
      </c>
      <c r="EP59" s="228">
        <v>837.16</v>
      </c>
      <c r="EQ59" s="228">
        <v>102.83</v>
      </c>
      <c r="ER59" s="229">
        <v>0.12280000000000001</v>
      </c>
      <c r="ES59" s="228">
        <v>874.74</v>
      </c>
      <c r="ET59" s="228">
        <v>407.6</v>
      </c>
      <c r="EU59" s="231">
        <v>1781.36</v>
      </c>
      <c r="EV59" s="231">
        <v>61006521</v>
      </c>
      <c r="EW59" s="231">
        <v>3063.7</v>
      </c>
      <c r="EX59" s="231">
        <v>3027.1</v>
      </c>
      <c r="EY59" s="228">
        <v>36.6</v>
      </c>
      <c r="EZ59" s="229">
        <v>1.21E-2</v>
      </c>
      <c r="FA59" s="229">
        <v>0.39269999999999999</v>
      </c>
      <c r="FB59" s="227" t="s">
        <v>555</v>
      </c>
      <c r="FC59">
        <f t="shared" si="0"/>
        <v>178</v>
      </c>
    </row>
    <row r="60" spans="1:159" ht="17.25" thickBot="1" x14ac:dyDescent="0.3">
      <c r="A60" s="226">
        <v>46009</v>
      </c>
      <c r="B60" s="227" t="s">
        <v>162</v>
      </c>
      <c r="C60" s="227" t="s">
        <v>209</v>
      </c>
      <c r="D60" s="228">
        <v>175</v>
      </c>
      <c r="E60" s="228">
        <v>12</v>
      </c>
      <c r="F60" s="231">
        <v>7113.5</v>
      </c>
      <c r="G60" s="231">
        <v>7144</v>
      </c>
      <c r="H60" s="228">
        <v>-30.5</v>
      </c>
      <c r="I60" s="229">
        <v>-4.3E-3</v>
      </c>
      <c r="J60" s="231">
        <v>7106.5</v>
      </c>
      <c r="K60" s="231">
        <v>7134.5</v>
      </c>
      <c r="L60" s="228">
        <v>-28</v>
      </c>
      <c r="M60" s="229">
        <v>-3.8999999999999998E-3</v>
      </c>
      <c r="N60" s="231">
        <v>7113.5</v>
      </c>
      <c r="O60" s="231">
        <v>7144</v>
      </c>
      <c r="P60" s="228">
        <v>-30.5</v>
      </c>
      <c r="Q60" s="229">
        <v>-4.3E-3</v>
      </c>
      <c r="R60" s="231">
        <v>7163</v>
      </c>
      <c r="S60" s="231">
        <v>7192</v>
      </c>
      <c r="T60" s="228">
        <v>-29</v>
      </c>
      <c r="U60" s="229">
        <v>-4.0000000000000001E-3</v>
      </c>
      <c r="V60" s="231">
        <v>7214</v>
      </c>
      <c r="W60" s="231">
        <v>7238</v>
      </c>
      <c r="X60" s="228">
        <v>-24</v>
      </c>
      <c r="Y60" s="229">
        <v>-3.3E-3</v>
      </c>
      <c r="Z60" s="228">
        <v>7</v>
      </c>
      <c r="AA60" s="228">
        <v>9.5</v>
      </c>
      <c r="AB60" s="228">
        <v>-2.5</v>
      </c>
      <c r="AC60" s="229">
        <v>1E-3</v>
      </c>
      <c r="AD60" s="228">
        <v>7</v>
      </c>
      <c r="AE60" s="228">
        <v>9.5</v>
      </c>
      <c r="AF60" s="228">
        <v>-2.5</v>
      </c>
      <c r="AG60" s="229">
        <v>1E-3</v>
      </c>
      <c r="AH60" s="228">
        <v>56.5</v>
      </c>
      <c r="AI60" s="228">
        <v>57.5</v>
      </c>
      <c r="AJ60" s="228">
        <v>-1</v>
      </c>
      <c r="AK60" s="229">
        <v>8.0000000000000002E-3</v>
      </c>
      <c r="AL60" s="228">
        <v>107.5</v>
      </c>
      <c r="AM60" s="228">
        <v>103.5</v>
      </c>
      <c r="AN60" s="228">
        <v>4</v>
      </c>
      <c r="AO60" s="229">
        <v>1.5100000000000001E-2</v>
      </c>
      <c r="AP60" s="231">
        <v>7085.62</v>
      </c>
      <c r="AQ60" s="231">
        <v>7136.4</v>
      </c>
      <c r="AR60" s="228">
        <v>0</v>
      </c>
      <c r="AS60" s="228">
        <v>486</v>
      </c>
      <c r="AT60" s="228">
        <v>718</v>
      </c>
      <c r="AU60" s="228">
        <v>-232</v>
      </c>
      <c r="AV60" s="229">
        <v>-0.3226</v>
      </c>
      <c r="AW60" s="228">
        <v>320</v>
      </c>
      <c r="AX60" s="228">
        <v>555</v>
      </c>
      <c r="AY60" s="228">
        <v>-235</v>
      </c>
      <c r="AZ60" s="229">
        <v>-0.42330000000000001</v>
      </c>
      <c r="BA60" s="228">
        <v>162</v>
      </c>
      <c r="BB60" s="228">
        <v>158</v>
      </c>
      <c r="BC60" s="228">
        <v>4</v>
      </c>
      <c r="BD60" s="229">
        <v>2.4400000000000002E-2</v>
      </c>
      <c r="BE60" s="228">
        <v>4</v>
      </c>
      <c r="BF60" s="228">
        <v>5</v>
      </c>
      <c r="BG60" s="228">
        <v>-1</v>
      </c>
      <c r="BH60" s="229">
        <v>-0.1351</v>
      </c>
      <c r="BI60" s="230">
        <v>2875</v>
      </c>
      <c r="BJ60" s="230">
        <v>3380</v>
      </c>
      <c r="BK60" s="228">
        <v>-505</v>
      </c>
      <c r="BL60" s="229">
        <v>-0.14940000000000001</v>
      </c>
      <c r="BM60" s="230">
        <v>2244</v>
      </c>
      <c r="BN60" s="230">
        <v>1788</v>
      </c>
      <c r="BO60" s="228">
        <v>456</v>
      </c>
      <c r="BP60" s="229">
        <v>0.25480000000000003</v>
      </c>
      <c r="BQ60" s="230">
        <v>5605</v>
      </c>
      <c r="BR60" s="230">
        <v>5886</v>
      </c>
      <c r="BS60" s="228">
        <v>-281</v>
      </c>
      <c r="BT60" s="229">
        <v>-4.7699999999999999E-2</v>
      </c>
      <c r="BU60" s="230">
        <v>337716</v>
      </c>
      <c r="BV60" s="230">
        <v>910440</v>
      </c>
      <c r="BW60" s="230">
        <v>-572724</v>
      </c>
      <c r="BX60" s="229">
        <v>-0.62909999999999999</v>
      </c>
      <c r="BY60" s="230">
        <v>2272</v>
      </c>
      <c r="BZ60" s="230">
        <v>2264</v>
      </c>
      <c r="CA60" s="228">
        <v>8</v>
      </c>
      <c r="CB60" s="229">
        <v>3.3999999999999998E-3</v>
      </c>
      <c r="CC60" s="230">
        <v>2031</v>
      </c>
      <c r="CD60" s="230">
        <v>2068</v>
      </c>
      <c r="CE60" s="228">
        <v>-37</v>
      </c>
      <c r="CF60" s="229">
        <v>-1.78E-2</v>
      </c>
      <c r="CG60" s="228">
        <v>227</v>
      </c>
      <c r="CH60" s="228">
        <v>183</v>
      </c>
      <c r="CI60" s="228">
        <v>44</v>
      </c>
      <c r="CJ60" s="229">
        <v>0.23849999999999999</v>
      </c>
      <c r="CK60" s="228">
        <v>14</v>
      </c>
      <c r="CL60" s="228">
        <v>13</v>
      </c>
      <c r="CM60" s="228">
        <v>1</v>
      </c>
      <c r="CN60" s="229">
        <v>5.4300000000000001E-2</v>
      </c>
      <c r="CO60" s="230">
        <v>1912</v>
      </c>
      <c r="CP60" s="230">
        <v>1955</v>
      </c>
      <c r="CQ60" s="228">
        <v>-43</v>
      </c>
      <c r="CR60" s="229">
        <v>-2.1999999999999999E-2</v>
      </c>
      <c r="CS60" s="230">
        <v>1377</v>
      </c>
      <c r="CT60" s="230">
        <v>1452</v>
      </c>
      <c r="CU60" s="228">
        <v>-75</v>
      </c>
      <c r="CV60" s="229">
        <v>-5.1499999999999997E-2</v>
      </c>
      <c r="CW60" s="230">
        <v>5561</v>
      </c>
      <c r="CX60" s="230">
        <v>5671</v>
      </c>
      <c r="CY60" s="228">
        <v>-110</v>
      </c>
      <c r="CZ60" s="229">
        <v>-1.9400000000000001E-2</v>
      </c>
      <c r="DA60" s="228">
        <v>19.760000000000002</v>
      </c>
      <c r="DB60" s="228">
        <v>20.09</v>
      </c>
      <c r="DC60" s="228">
        <v>-0.33</v>
      </c>
      <c r="DD60" s="228">
        <v>-0.33</v>
      </c>
      <c r="DE60" s="228">
        <v>27.08</v>
      </c>
      <c r="DF60" s="228">
        <v>27.15</v>
      </c>
      <c r="DG60" s="228">
        <v>-7.32</v>
      </c>
      <c r="DH60" s="228">
        <v>-7.0000000000000007E-2</v>
      </c>
      <c r="DI60" s="228">
        <v>19.79</v>
      </c>
      <c r="DJ60" s="228">
        <v>20.12</v>
      </c>
      <c r="DK60" s="228">
        <v>-0.33</v>
      </c>
      <c r="DL60" s="228">
        <v>-0.33</v>
      </c>
      <c r="DM60" s="228">
        <v>19.72</v>
      </c>
      <c r="DN60" s="228">
        <v>20.05</v>
      </c>
      <c r="DO60" s="228">
        <v>-0.33</v>
      </c>
      <c r="DP60" s="228">
        <v>-0.33</v>
      </c>
      <c r="DQ60" s="228">
        <v>0.72</v>
      </c>
      <c r="DR60" s="228">
        <v>0.74</v>
      </c>
      <c r="DS60" s="228">
        <v>-0.02</v>
      </c>
      <c r="DT60" s="229">
        <v>-2.7E-2</v>
      </c>
      <c r="DU60" s="231">
        <v>7300</v>
      </c>
      <c r="DV60" s="231">
        <v>6300</v>
      </c>
      <c r="DW60" s="228">
        <v>0.78</v>
      </c>
      <c r="DX60" s="228">
        <v>0.53</v>
      </c>
      <c r="DY60" s="228">
        <v>0.25</v>
      </c>
      <c r="DZ60" s="229">
        <v>0.47170000000000001</v>
      </c>
      <c r="EA60" s="229">
        <v>0.1061</v>
      </c>
      <c r="EB60" s="230">
        <v>276300</v>
      </c>
      <c r="EC60" s="229">
        <v>7.0000000000000001E-3</v>
      </c>
      <c r="ED60" s="229">
        <v>0.1061</v>
      </c>
      <c r="EE60" s="228">
        <v>50.78</v>
      </c>
      <c r="EF60" s="229">
        <v>7.1999999999999998E-3</v>
      </c>
      <c r="EG60" s="230">
        <v>195893</v>
      </c>
      <c r="EH60" s="230">
        <v>676193</v>
      </c>
      <c r="EI60" s="229">
        <v>-0.71030000000000004</v>
      </c>
      <c r="EJ60" s="229">
        <v>0.58009999999999995</v>
      </c>
      <c r="EK60" s="231">
        <v>2942.59</v>
      </c>
      <c r="EL60" s="231">
        <v>2185.6</v>
      </c>
      <c r="EM60" s="228">
        <v>413.91</v>
      </c>
      <c r="EN60" s="228">
        <v>41.31</v>
      </c>
      <c r="EO60" s="231">
        <v>5542.1</v>
      </c>
      <c r="EP60" s="231">
        <v>5903</v>
      </c>
      <c r="EQ60" s="228">
        <v>-360.9</v>
      </c>
      <c r="ER60" s="229">
        <v>-6.1100000000000002E-2</v>
      </c>
      <c r="ES60" s="231">
        <v>1998.48</v>
      </c>
      <c r="ET60" s="231">
        <v>1308.0999999999999</v>
      </c>
      <c r="EU60" s="231">
        <v>2273.9</v>
      </c>
      <c r="EV60" s="231">
        <v>20353850</v>
      </c>
      <c r="EW60" s="231">
        <v>5580.48</v>
      </c>
      <c r="EX60" s="231">
        <v>5703.02</v>
      </c>
      <c r="EY60" s="228">
        <v>-122.54</v>
      </c>
      <c r="EZ60" s="229">
        <v>-2.1499999999999998E-2</v>
      </c>
      <c r="FA60" s="229">
        <v>0.3841</v>
      </c>
      <c r="FB60" s="227" t="s">
        <v>567</v>
      </c>
      <c r="FC60">
        <f t="shared" si="0"/>
        <v>241</v>
      </c>
    </row>
    <row r="61" spans="1:159" ht="17.25" thickBot="1" x14ac:dyDescent="0.3">
      <c r="A61" s="226">
        <v>46009</v>
      </c>
      <c r="B61" s="227" t="s">
        <v>615</v>
      </c>
      <c r="C61" s="227" t="s">
        <v>668</v>
      </c>
      <c r="D61" s="228">
        <v>2425</v>
      </c>
      <c r="E61" s="228">
        <v>12</v>
      </c>
      <c r="F61" s="228">
        <v>285.5</v>
      </c>
      <c r="G61" s="228">
        <v>285</v>
      </c>
      <c r="H61" s="228">
        <v>0.5</v>
      </c>
      <c r="I61" s="229">
        <v>1.8E-3</v>
      </c>
      <c r="J61" s="228">
        <v>284.75</v>
      </c>
      <c r="K61" s="228">
        <v>284.45</v>
      </c>
      <c r="L61" s="228">
        <v>0.3</v>
      </c>
      <c r="M61" s="229">
        <v>1.1000000000000001E-3</v>
      </c>
      <c r="N61" s="228">
        <v>285.5</v>
      </c>
      <c r="O61" s="228">
        <v>285</v>
      </c>
      <c r="P61" s="228">
        <v>0.5</v>
      </c>
      <c r="Q61" s="229">
        <v>1.8E-3</v>
      </c>
      <c r="R61" s="228">
        <v>287.35000000000002</v>
      </c>
      <c r="S61" s="228">
        <v>286.95</v>
      </c>
      <c r="T61" s="228">
        <v>0.4</v>
      </c>
      <c r="U61" s="229">
        <v>1.4E-3</v>
      </c>
      <c r="V61" s="228">
        <v>289</v>
      </c>
      <c r="W61" s="228">
        <v>288.5</v>
      </c>
      <c r="X61" s="228">
        <v>0.5</v>
      </c>
      <c r="Y61" s="229">
        <v>1.6999999999999999E-3</v>
      </c>
      <c r="Z61" s="228">
        <v>0.75</v>
      </c>
      <c r="AA61" s="228">
        <v>0.55000000000000004</v>
      </c>
      <c r="AB61" s="228">
        <v>0.2</v>
      </c>
      <c r="AC61" s="229">
        <v>2.5999999999999999E-3</v>
      </c>
      <c r="AD61" s="228">
        <v>0.75</v>
      </c>
      <c r="AE61" s="228">
        <v>0.55000000000000004</v>
      </c>
      <c r="AF61" s="228">
        <v>0.2</v>
      </c>
      <c r="AG61" s="229">
        <v>2.5999999999999999E-3</v>
      </c>
      <c r="AH61" s="228">
        <v>2.6</v>
      </c>
      <c r="AI61" s="228">
        <v>2.5</v>
      </c>
      <c r="AJ61" s="228">
        <v>0.1</v>
      </c>
      <c r="AK61" s="229">
        <v>9.1000000000000004E-3</v>
      </c>
      <c r="AL61" s="228">
        <v>4.25</v>
      </c>
      <c r="AM61" s="228">
        <v>4.05</v>
      </c>
      <c r="AN61" s="228">
        <v>0.2</v>
      </c>
      <c r="AO61" s="229">
        <v>1.49E-2</v>
      </c>
      <c r="AP61" s="228">
        <v>284.82</v>
      </c>
      <c r="AQ61" s="228">
        <v>286.72000000000003</v>
      </c>
      <c r="AR61" s="228">
        <v>0</v>
      </c>
      <c r="AS61" s="228">
        <v>658</v>
      </c>
      <c r="AT61" s="228">
        <v>753</v>
      </c>
      <c r="AU61" s="228">
        <v>-96</v>
      </c>
      <c r="AV61" s="229">
        <v>-0.1268</v>
      </c>
      <c r="AW61" s="228">
        <v>471</v>
      </c>
      <c r="AX61" s="228">
        <v>629</v>
      </c>
      <c r="AY61" s="228">
        <v>-158</v>
      </c>
      <c r="AZ61" s="229">
        <v>-0.25130000000000002</v>
      </c>
      <c r="BA61" s="228">
        <v>177</v>
      </c>
      <c r="BB61" s="228">
        <v>118</v>
      </c>
      <c r="BC61" s="228">
        <v>59</v>
      </c>
      <c r="BD61" s="229">
        <v>0.50439999999999996</v>
      </c>
      <c r="BE61" s="228">
        <v>10</v>
      </c>
      <c r="BF61" s="228">
        <v>7</v>
      </c>
      <c r="BG61" s="228">
        <v>3</v>
      </c>
      <c r="BH61" s="229">
        <v>0.45450000000000002</v>
      </c>
      <c r="BI61" s="230">
        <v>1985</v>
      </c>
      <c r="BJ61" s="230">
        <v>2922</v>
      </c>
      <c r="BK61" s="228">
        <v>-937</v>
      </c>
      <c r="BL61" s="229">
        <v>-0.32069999999999999</v>
      </c>
      <c r="BM61" s="230">
        <v>1096</v>
      </c>
      <c r="BN61" s="230">
        <v>1745</v>
      </c>
      <c r="BO61" s="228">
        <v>-650</v>
      </c>
      <c r="BP61" s="229">
        <v>-0.37219999999999998</v>
      </c>
      <c r="BQ61" s="230">
        <v>3738</v>
      </c>
      <c r="BR61" s="230">
        <v>5421</v>
      </c>
      <c r="BS61" s="230">
        <v>-1682</v>
      </c>
      <c r="BT61" s="229">
        <v>-0.31040000000000001</v>
      </c>
      <c r="BU61" s="230">
        <v>15323561</v>
      </c>
      <c r="BV61" s="230">
        <v>28795494</v>
      </c>
      <c r="BW61" s="230">
        <v>-13471933</v>
      </c>
      <c r="BX61" s="229">
        <v>-0.46779999999999999</v>
      </c>
      <c r="BY61" s="230">
        <v>8782</v>
      </c>
      <c r="BZ61" s="230">
        <v>8715</v>
      </c>
      <c r="CA61" s="228">
        <v>67</v>
      </c>
      <c r="CB61" s="229">
        <v>7.7000000000000002E-3</v>
      </c>
      <c r="CC61" s="230">
        <v>8115</v>
      </c>
      <c r="CD61" s="230">
        <v>8184</v>
      </c>
      <c r="CE61" s="228">
        <v>-69</v>
      </c>
      <c r="CF61" s="229">
        <v>-8.3999999999999995E-3</v>
      </c>
      <c r="CG61" s="228">
        <v>614</v>
      </c>
      <c r="CH61" s="228">
        <v>481</v>
      </c>
      <c r="CI61" s="228">
        <v>133</v>
      </c>
      <c r="CJ61" s="229">
        <v>0.27550000000000002</v>
      </c>
      <c r="CK61" s="228">
        <v>53</v>
      </c>
      <c r="CL61" s="228">
        <v>49</v>
      </c>
      <c r="CM61" s="228">
        <v>3</v>
      </c>
      <c r="CN61" s="229">
        <v>6.3E-2</v>
      </c>
      <c r="CO61" s="230">
        <v>2729</v>
      </c>
      <c r="CP61" s="230">
        <v>2771</v>
      </c>
      <c r="CQ61" s="228">
        <v>-41</v>
      </c>
      <c r="CR61" s="229">
        <v>-1.49E-2</v>
      </c>
      <c r="CS61" s="230">
        <v>1452</v>
      </c>
      <c r="CT61" s="230">
        <v>1471</v>
      </c>
      <c r="CU61" s="228">
        <v>-18</v>
      </c>
      <c r="CV61" s="229">
        <v>-1.2500000000000001E-2</v>
      </c>
      <c r="CW61" s="230">
        <v>12963</v>
      </c>
      <c r="CX61" s="230">
        <v>12956</v>
      </c>
      <c r="CY61" s="228">
        <v>7</v>
      </c>
      <c r="CZ61" s="229">
        <v>5.9999999999999995E-4</v>
      </c>
      <c r="DA61" s="228">
        <v>28.12</v>
      </c>
      <c r="DB61" s="228">
        <v>29.47</v>
      </c>
      <c r="DC61" s="228">
        <v>-1.35</v>
      </c>
      <c r="DD61" s="228">
        <v>-1.35</v>
      </c>
      <c r="DE61" s="228">
        <v>43.83</v>
      </c>
      <c r="DF61" s="228">
        <v>43.94</v>
      </c>
      <c r="DG61" s="228">
        <v>-15.71</v>
      </c>
      <c r="DH61" s="228">
        <v>-0.11</v>
      </c>
      <c r="DI61" s="228">
        <v>28.38</v>
      </c>
      <c r="DJ61" s="228">
        <v>30.08</v>
      </c>
      <c r="DK61" s="228">
        <v>-1.7</v>
      </c>
      <c r="DL61" s="228">
        <v>-1.7</v>
      </c>
      <c r="DM61" s="228">
        <v>27.67</v>
      </c>
      <c r="DN61" s="228">
        <v>28.43</v>
      </c>
      <c r="DO61" s="228">
        <v>-0.76</v>
      </c>
      <c r="DP61" s="228">
        <v>-0.76</v>
      </c>
      <c r="DQ61" s="228">
        <v>0.53</v>
      </c>
      <c r="DR61" s="228">
        <v>0.53</v>
      </c>
      <c r="DS61" s="228">
        <v>0</v>
      </c>
      <c r="DT61" s="229">
        <v>0</v>
      </c>
      <c r="DU61" s="228">
        <v>310</v>
      </c>
      <c r="DV61" s="228">
        <v>285</v>
      </c>
      <c r="DW61" s="228">
        <v>0.55000000000000004</v>
      </c>
      <c r="DX61" s="228">
        <v>0.6</v>
      </c>
      <c r="DY61" s="228">
        <v>-0.05</v>
      </c>
      <c r="DZ61" s="229">
        <v>-8.3299999999999999E-2</v>
      </c>
      <c r="EA61" s="229">
        <v>7.5899999999999995E-2</v>
      </c>
      <c r="EB61" s="230">
        <v>18590050</v>
      </c>
      <c r="EC61" s="229">
        <v>6.4999999999999997E-3</v>
      </c>
      <c r="ED61" s="229">
        <v>7.5899999999999995E-2</v>
      </c>
      <c r="EE61" s="228">
        <v>1.9</v>
      </c>
      <c r="EF61" s="229">
        <v>6.7000000000000002E-3</v>
      </c>
      <c r="EG61" s="230">
        <v>8524949</v>
      </c>
      <c r="EH61" s="230">
        <v>17217413</v>
      </c>
      <c r="EI61" s="229">
        <v>-0.50490000000000002</v>
      </c>
      <c r="EJ61" s="229">
        <v>0.55630000000000002</v>
      </c>
      <c r="EK61" s="231">
        <v>2093.2600000000002</v>
      </c>
      <c r="EL61" s="231">
        <v>1074.52</v>
      </c>
      <c r="EM61" s="228">
        <v>657.38</v>
      </c>
      <c r="EN61" s="228">
        <v>129.54</v>
      </c>
      <c r="EO61" s="231">
        <v>3825.16</v>
      </c>
      <c r="EP61" s="231">
        <v>5575.63</v>
      </c>
      <c r="EQ61" s="231">
        <v>-1750.47</v>
      </c>
      <c r="ER61" s="229">
        <v>-0.31390000000000001</v>
      </c>
      <c r="ES61" s="231">
        <v>2947.79</v>
      </c>
      <c r="ET61" s="231">
        <v>1461.62</v>
      </c>
      <c r="EU61" s="231">
        <v>8786.23</v>
      </c>
      <c r="EV61" s="231">
        <v>1361988292</v>
      </c>
      <c r="EW61" s="231">
        <v>13195.64</v>
      </c>
      <c r="EX61" s="231">
        <v>13178.66</v>
      </c>
      <c r="EY61" s="228">
        <v>16.98</v>
      </c>
      <c r="EZ61" s="229">
        <v>1.2999999999999999E-3</v>
      </c>
      <c r="FA61" s="229">
        <v>0.33339999999999997</v>
      </c>
      <c r="FB61" s="227" t="s">
        <v>555</v>
      </c>
      <c r="FC61">
        <f t="shared" si="0"/>
        <v>667</v>
      </c>
    </row>
    <row r="62" spans="1:159" ht="17.25" thickBot="1" x14ac:dyDescent="0.3">
      <c r="A62" s="226">
        <v>46009</v>
      </c>
      <c r="B62" s="227" t="s">
        <v>162</v>
      </c>
      <c r="C62" s="227" t="s">
        <v>211</v>
      </c>
      <c r="D62" s="228">
        <v>1800</v>
      </c>
      <c r="E62" s="228">
        <v>12</v>
      </c>
      <c r="F62" s="228">
        <v>359.5</v>
      </c>
      <c r="G62" s="228">
        <v>364.1</v>
      </c>
      <c r="H62" s="228">
        <v>-4.5999999999999996</v>
      </c>
      <c r="I62" s="229">
        <v>-1.26E-2</v>
      </c>
      <c r="J62" s="228">
        <v>359.05</v>
      </c>
      <c r="K62" s="228">
        <v>363.8</v>
      </c>
      <c r="L62" s="228">
        <v>-4.75</v>
      </c>
      <c r="M62" s="229">
        <v>-1.3100000000000001E-2</v>
      </c>
      <c r="N62" s="228">
        <v>359.5</v>
      </c>
      <c r="O62" s="228">
        <v>364.1</v>
      </c>
      <c r="P62" s="228">
        <v>-4.5999999999999996</v>
      </c>
      <c r="Q62" s="229">
        <v>-1.26E-2</v>
      </c>
      <c r="R62" s="228">
        <v>361.7</v>
      </c>
      <c r="S62" s="228">
        <v>366.25</v>
      </c>
      <c r="T62" s="228">
        <v>-4.55</v>
      </c>
      <c r="U62" s="229">
        <v>-1.24E-2</v>
      </c>
      <c r="V62" s="228">
        <v>364.35</v>
      </c>
      <c r="W62" s="228">
        <v>368.75</v>
      </c>
      <c r="X62" s="228">
        <v>-4.4000000000000004</v>
      </c>
      <c r="Y62" s="229">
        <v>-1.1900000000000001E-2</v>
      </c>
      <c r="Z62" s="228">
        <v>0.45</v>
      </c>
      <c r="AA62" s="228">
        <v>0.3</v>
      </c>
      <c r="AB62" s="228">
        <v>0.15</v>
      </c>
      <c r="AC62" s="229">
        <v>1.2999999999999999E-3</v>
      </c>
      <c r="AD62" s="228">
        <v>0.45</v>
      </c>
      <c r="AE62" s="228">
        <v>0.3</v>
      </c>
      <c r="AF62" s="228">
        <v>0.15</v>
      </c>
      <c r="AG62" s="229">
        <v>1.2999999999999999E-3</v>
      </c>
      <c r="AH62" s="228">
        <v>2.65</v>
      </c>
      <c r="AI62" s="228">
        <v>2.4500000000000002</v>
      </c>
      <c r="AJ62" s="228">
        <v>0.2</v>
      </c>
      <c r="AK62" s="229">
        <v>7.4000000000000003E-3</v>
      </c>
      <c r="AL62" s="228">
        <v>5.3</v>
      </c>
      <c r="AM62" s="228">
        <v>4.95</v>
      </c>
      <c r="AN62" s="228">
        <v>0.35</v>
      </c>
      <c r="AO62" s="229">
        <v>1.4800000000000001E-2</v>
      </c>
      <c r="AP62" s="228">
        <v>360.09</v>
      </c>
      <c r="AQ62" s="228">
        <v>362.36</v>
      </c>
      <c r="AR62" s="228">
        <v>0</v>
      </c>
      <c r="AS62" s="228">
        <v>133</v>
      </c>
      <c r="AT62" s="228">
        <v>74</v>
      </c>
      <c r="AU62" s="228">
        <v>59</v>
      </c>
      <c r="AV62" s="229">
        <v>0.78959999999999997</v>
      </c>
      <c r="AW62" s="228">
        <v>100</v>
      </c>
      <c r="AX62" s="228">
        <v>59</v>
      </c>
      <c r="AY62" s="228">
        <v>42</v>
      </c>
      <c r="AZ62" s="229">
        <v>0.71489999999999998</v>
      </c>
      <c r="BA62" s="228">
        <v>31</v>
      </c>
      <c r="BB62" s="228">
        <v>15</v>
      </c>
      <c r="BC62" s="228">
        <v>16</v>
      </c>
      <c r="BD62" s="229">
        <v>1.0921000000000001</v>
      </c>
      <c r="BE62" s="228">
        <v>2</v>
      </c>
      <c r="BF62" s="228">
        <v>1</v>
      </c>
      <c r="BG62" s="228">
        <v>1</v>
      </c>
      <c r="BH62" s="229">
        <v>0.70589999999999997</v>
      </c>
      <c r="BI62" s="228">
        <v>454</v>
      </c>
      <c r="BJ62" s="228">
        <v>368</v>
      </c>
      <c r="BK62" s="228">
        <v>85</v>
      </c>
      <c r="BL62" s="229">
        <v>0.2321</v>
      </c>
      <c r="BM62" s="228">
        <v>214</v>
      </c>
      <c r="BN62" s="228">
        <v>152</v>
      </c>
      <c r="BO62" s="228">
        <v>62</v>
      </c>
      <c r="BP62" s="229">
        <v>0.40860000000000002</v>
      </c>
      <c r="BQ62" s="228">
        <v>801</v>
      </c>
      <c r="BR62" s="228">
        <v>595</v>
      </c>
      <c r="BS62" s="228">
        <v>206</v>
      </c>
      <c r="BT62" s="229">
        <v>0.34699999999999998</v>
      </c>
      <c r="BU62" s="230">
        <v>1107291</v>
      </c>
      <c r="BV62" s="230">
        <v>990424</v>
      </c>
      <c r="BW62" s="230">
        <v>116867</v>
      </c>
      <c r="BX62" s="229">
        <v>0.11799999999999999</v>
      </c>
      <c r="BY62" s="230">
        <v>1134</v>
      </c>
      <c r="BZ62" s="230">
        <v>1116</v>
      </c>
      <c r="CA62" s="228">
        <v>18</v>
      </c>
      <c r="CB62" s="229">
        <v>1.5900000000000001E-2</v>
      </c>
      <c r="CC62" s="230">
        <v>1039</v>
      </c>
      <c r="CD62" s="230">
        <v>1038</v>
      </c>
      <c r="CE62" s="228">
        <v>2</v>
      </c>
      <c r="CF62" s="229">
        <v>1.6999999999999999E-3</v>
      </c>
      <c r="CG62" s="228">
        <v>85</v>
      </c>
      <c r="CH62" s="228">
        <v>70</v>
      </c>
      <c r="CI62" s="228">
        <v>15</v>
      </c>
      <c r="CJ62" s="229">
        <v>0.21809999999999999</v>
      </c>
      <c r="CK62" s="228">
        <v>10</v>
      </c>
      <c r="CL62" s="228">
        <v>9</v>
      </c>
      <c r="CM62" s="228">
        <v>1</v>
      </c>
      <c r="CN62" s="229">
        <v>8.09E-2</v>
      </c>
      <c r="CO62" s="228">
        <v>459</v>
      </c>
      <c r="CP62" s="228">
        <v>406</v>
      </c>
      <c r="CQ62" s="228">
        <v>53</v>
      </c>
      <c r="CR62" s="229">
        <v>0.13170000000000001</v>
      </c>
      <c r="CS62" s="228">
        <v>302</v>
      </c>
      <c r="CT62" s="228">
        <v>286</v>
      </c>
      <c r="CU62" s="228">
        <v>16</v>
      </c>
      <c r="CV62" s="229">
        <v>5.4899999999999997E-2</v>
      </c>
      <c r="CW62" s="230">
        <v>1896</v>
      </c>
      <c r="CX62" s="230">
        <v>1809</v>
      </c>
      <c r="CY62" s="228">
        <v>87</v>
      </c>
      <c r="CZ62" s="229">
        <v>4.8099999999999997E-2</v>
      </c>
      <c r="DA62" s="228">
        <v>22.82</v>
      </c>
      <c r="DB62" s="228">
        <v>22.73</v>
      </c>
      <c r="DC62" s="228">
        <v>0.09</v>
      </c>
      <c r="DD62" s="228">
        <v>0.09</v>
      </c>
      <c r="DE62" s="228">
        <v>33.44</v>
      </c>
      <c r="DF62" s="228">
        <v>33.479999999999997</v>
      </c>
      <c r="DG62" s="228">
        <v>-10.62</v>
      </c>
      <c r="DH62" s="228">
        <v>-0.04</v>
      </c>
      <c r="DI62" s="228">
        <v>23.52</v>
      </c>
      <c r="DJ62" s="228">
        <v>22.9</v>
      </c>
      <c r="DK62" s="228">
        <v>0.62</v>
      </c>
      <c r="DL62" s="228">
        <v>0.62</v>
      </c>
      <c r="DM62" s="228">
        <v>21.32</v>
      </c>
      <c r="DN62" s="228">
        <v>22.3</v>
      </c>
      <c r="DO62" s="228">
        <v>-0.98</v>
      </c>
      <c r="DP62" s="228">
        <v>-0.98</v>
      </c>
      <c r="DQ62" s="228">
        <v>0.66</v>
      </c>
      <c r="DR62" s="228">
        <v>0.71</v>
      </c>
      <c r="DS62" s="228">
        <v>-0.05</v>
      </c>
      <c r="DT62" s="229">
        <v>-7.0400000000000004E-2</v>
      </c>
      <c r="DU62" s="228">
        <v>380</v>
      </c>
      <c r="DV62" s="228">
        <v>360</v>
      </c>
      <c r="DW62" s="228">
        <v>0.47</v>
      </c>
      <c r="DX62" s="228">
        <v>0.41</v>
      </c>
      <c r="DY62" s="228">
        <v>0.06</v>
      </c>
      <c r="DZ62" s="229">
        <v>0.14630000000000001</v>
      </c>
      <c r="EA62" s="229">
        <v>8.3599999999999994E-2</v>
      </c>
      <c r="EB62" s="230">
        <v>2192400</v>
      </c>
      <c r="EC62" s="229">
        <v>6.1000000000000004E-3</v>
      </c>
      <c r="ED62" s="229">
        <v>8.3599999999999994E-2</v>
      </c>
      <c r="EE62" s="228">
        <v>2.27</v>
      </c>
      <c r="EF62" s="229">
        <v>6.3E-3</v>
      </c>
      <c r="EG62" s="230">
        <v>465250</v>
      </c>
      <c r="EH62" s="230">
        <v>447994</v>
      </c>
      <c r="EI62" s="229">
        <v>3.85E-2</v>
      </c>
      <c r="EJ62" s="229">
        <v>0.42020000000000002</v>
      </c>
      <c r="EK62" s="228">
        <v>472.72</v>
      </c>
      <c r="EL62" s="228">
        <v>215.13</v>
      </c>
      <c r="EM62" s="228">
        <v>133.61000000000001</v>
      </c>
      <c r="EN62" s="228">
        <v>12.19</v>
      </c>
      <c r="EO62" s="228">
        <v>821.47</v>
      </c>
      <c r="EP62" s="228">
        <v>616.24</v>
      </c>
      <c r="EQ62" s="228">
        <v>205.23</v>
      </c>
      <c r="ER62" s="229">
        <v>0.33300000000000002</v>
      </c>
      <c r="ES62" s="228">
        <v>490.28</v>
      </c>
      <c r="ET62" s="228">
        <v>311.76</v>
      </c>
      <c r="EU62" s="231">
        <v>1134.8900000000001</v>
      </c>
      <c r="EV62" s="231">
        <v>68856800</v>
      </c>
      <c r="EW62" s="231">
        <v>1936.93</v>
      </c>
      <c r="EX62" s="231">
        <v>1864.15</v>
      </c>
      <c r="EY62" s="228">
        <v>72.78</v>
      </c>
      <c r="EZ62" s="229">
        <v>3.9E-2</v>
      </c>
      <c r="FA62" s="229">
        <v>0.76580000000000004</v>
      </c>
      <c r="FB62" s="227" t="s">
        <v>567</v>
      </c>
      <c r="FC62">
        <f t="shared" si="0"/>
        <v>95</v>
      </c>
    </row>
    <row r="63" spans="1:159" ht="17.25" thickBot="1" x14ac:dyDescent="0.3">
      <c r="A63" s="226">
        <v>46009</v>
      </c>
      <c r="B63" s="227" t="s">
        <v>172</v>
      </c>
      <c r="C63" s="227" t="s">
        <v>212</v>
      </c>
      <c r="D63" s="228">
        <v>5000</v>
      </c>
      <c r="E63" s="228">
        <v>12</v>
      </c>
      <c r="F63" s="228">
        <v>265.5</v>
      </c>
      <c r="G63" s="228">
        <v>264.3</v>
      </c>
      <c r="H63" s="228">
        <v>1.2</v>
      </c>
      <c r="I63" s="229">
        <v>4.4999999999999997E-3</v>
      </c>
      <c r="J63" s="228">
        <v>265.39999999999998</v>
      </c>
      <c r="K63" s="228">
        <v>263.60000000000002</v>
      </c>
      <c r="L63" s="228">
        <v>1.8</v>
      </c>
      <c r="M63" s="229">
        <v>6.7999999999999996E-3</v>
      </c>
      <c r="N63" s="228">
        <v>265.5</v>
      </c>
      <c r="O63" s="228">
        <v>264.3</v>
      </c>
      <c r="P63" s="228">
        <v>1.2</v>
      </c>
      <c r="Q63" s="229">
        <v>4.4999999999999997E-3</v>
      </c>
      <c r="R63" s="228">
        <v>266.95</v>
      </c>
      <c r="S63" s="228">
        <v>265.75</v>
      </c>
      <c r="T63" s="228">
        <v>1.2</v>
      </c>
      <c r="U63" s="229">
        <v>4.4999999999999997E-3</v>
      </c>
      <c r="V63" s="228">
        <v>267.85000000000002</v>
      </c>
      <c r="W63" s="228">
        <v>266.60000000000002</v>
      </c>
      <c r="X63" s="228">
        <v>1.25</v>
      </c>
      <c r="Y63" s="229">
        <v>4.7000000000000002E-3</v>
      </c>
      <c r="Z63" s="228">
        <v>0.1</v>
      </c>
      <c r="AA63" s="228">
        <v>0.7</v>
      </c>
      <c r="AB63" s="228">
        <v>-0.6</v>
      </c>
      <c r="AC63" s="229">
        <v>4.0000000000000002E-4</v>
      </c>
      <c r="AD63" s="228">
        <v>0.1</v>
      </c>
      <c r="AE63" s="228">
        <v>0.7</v>
      </c>
      <c r="AF63" s="228">
        <v>-0.6</v>
      </c>
      <c r="AG63" s="229">
        <v>4.0000000000000002E-4</v>
      </c>
      <c r="AH63" s="228">
        <v>1.55</v>
      </c>
      <c r="AI63" s="228">
        <v>2.15</v>
      </c>
      <c r="AJ63" s="228">
        <v>-0.6</v>
      </c>
      <c r="AK63" s="229">
        <v>5.7999999999999996E-3</v>
      </c>
      <c r="AL63" s="228">
        <v>2.4500000000000002</v>
      </c>
      <c r="AM63" s="228">
        <v>3</v>
      </c>
      <c r="AN63" s="228">
        <v>-0.55000000000000004</v>
      </c>
      <c r="AO63" s="229">
        <v>9.1999999999999998E-3</v>
      </c>
      <c r="AP63" s="228">
        <v>265.64</v>
      </c>
      <c r="AQ63" s="228">
        <v>266.81</v>
      </c>
      <c r="AR63" s="228">
        <v>0</v>
      </c>
      <c r="AS63" s="228">
        <v>320</v>
      </c>
      <c r="AT63" s="228">
        <v>310</v>
      </c>
      <c r="AU63" s="228">
        <v>9</v>
      </c>
      <c r="AV63" s="229">
        <v>0.03</v>
      </c>
      <c r="AW63" s="228">
        <v>252</v>
      </c>
      <c r="AX63" s="228">
        <v>242</v>
      </c>
      <c r="AY63" s="228">
        <v>10</v>
      </c>
      <c r="AZ63" s="229">
        <v>3.95E-2</v>
      </c>
      <c r="BA63" s="228">
        <v>59</v>
      </c>
      <c r="BB63" s="228">
        <v>64</v>
      </c>
      <c r="BC63" s="228">
        <v>-5</v>
      </c>
      <c r="BD63" s="229">
        <v>-7.2599999999999998E-2</v>
      </c>
      <c r="BE63" s="228">
        <v>8</v>
      </c>
      <c r="BF63" s="228">
        <v>4</v>
      </c>
      <c r="BG63" s="228">
        <v>4</v>
      </c>
      <c r="BH63" s="229">
        <v>1.0645</v>
      </c>
      <c r="BI63" s="230">
        <v>1523</v>
      </c>
      <c r="BJ63" s="230">
        <v>1266</v>
      </c>
      <c r="BK63" s="228">
        <v>256</v>
      </c>
      <c r="BL63" s="229">
        <v>0.20230000000000001</v>
      </c>
      <c r="BM63" s="230">
        <v>1130</v>
      </c>
      <c r="BN63" s="228">
        <v>742</v>
      </c>
      <c r="BO63" s="228">
        <v>388</v>
      </c>
      <c r="BP63" s="229">
        <v>0.52259999999999995</v>
      </c>
      <c r="BQ63" s="230">
        <v>2973</v>
      </c>
      <c r="BR63" s="230">
        <v>2319</v>
      </c>
      <c r="BS63" s="228">
        <v>654</v>
      </c>
      <c r="BT63" s="229">
        <v>0.28179999999999999</v>
      </c>
      <c r="BU63" s="230">
        <v>8038987</v>
      </c>
      <c r="BV63" s="230">
        <v>3883202</v>
      </c>
      <c r="BW63" s="230">
        <v>4155785</v>
      </c>
      <c r="BX63" s="229">
        <v>1.0702</v>
      </c>
      <c r="BY63" s="230">
        <v>1757</v>
      </c>
      <c r="BZ63" s="230">
        <v>1785</v>
      </c>
      <c r="CA63" s="228">
        <v>-28</v>
      </c>
      <c r="CB63" s="229">
        <v>-1.5699999999999999E-2</v>
      </c>
      <c r="CC63" s="230">
        <v>1523</v>
      </c>
      <c r="CD63" s="230">
        <v>1559</v>
      </c>
      <c r="CE63" s="228">
        <v>-36</v>
      </c>
      <c r="CF63" s="229">
        <v>-2.3E-2</v>
      </c>
      <c r="CG63" s="228">
        <v>215</v>
      </c>
      <c r="CH63" s="228">
        <v>209</v>
      </c>
      <c r="CI63" s="228">
        <v>6</v>
      </c>
      <c r="CJ63" s="229">
        <v>2.7300000000000001E-2</v>
      </c>
      <c r="CK63" s="228">
        <v>18</v>
      </c>
      <c r="CL63" s="228">
        <v>16</v>
      </c>
      <c r="CM63" s="228">
        <v>2</v>
      </c>
      <c r="CN63" s="229">
        <v>0.13009999999999999</v>
      </c>
      <c r="CO63" s="230">
        <v>1151</v>
      </c>
      <c r="CP63" s="230">
        <v>1174</v>
      </c>
      <c r="CQ63" s="228">
        <v>-23</v>
      </c>
      <c r="CR63" s="229">
        <v>-1.95E-2</v>
      </c>
      <c r="CS63" s="230">
        <v>1181</v>
      </c>
      <c r="CT63" s="230">
        <v>1156</v>
      </c>
      <c r="CU63" s="228">
        <v>24</v>
      </c>
      <c r="CV63" s="229">
        <v>2.0899999999999998E-2</v>
      </c>
      <c r="CW63" s="230">
        <v>4088</v>
      </c>
      <c r="CX63" s="230">
        <v>4115</v>
      </c>
      <c r="CY63" s="228">
        <v>-27</v>
      </c>
      <c r="CZ63" s="229">
        <v>-6.4999999999999997E-3</v>
      </c>
      <c r="DA63" s="228">
        <v>18.75</v>
      </c>
      <c r="DB63" s="228">
        <v>19.47</v>
      </c>
      <c r="DC63" s="228">
        <v>-0.72</v>
      </c>
      <c r="DD63" s="228">
        <v>-0.72</v>
      </c>
      <c r="DE63" s="228">
        <v>28.31</v>
      </c>
      <c r="DF63" s="228">
        <v>28.37</v>
      </c>
      <c r="DG63" s="228">
        <v>-9.56</v>
      </c>
      <c r="DH63" s="228">
        <v>-0.06</v>
      </c>
      <c r="DI63" s="228">
        <v>18.2</v>
      </c>
      <c r="DJ63" s="228">
        <v>19.079999999999998</v>
      </c>
      <c r="DK63" s="228">
        <v>-0.88</v>
      </c>
      <c r="DL63" s="228">
        <v>-0.88</v>
      </c>
      <c r="DM63" s="228">
        <v>19.489999999999998</v>
      </c>
      <c r="DN63" s="228">
        <v>20.13</v>
      </c>
      <c r="DO63" s="228">
        <v>-0.64</v>
      </c>
      <c r="DP63" s="228">
        <v>-0.64</v>
      </c>
      <c r="DQ63" s="228">
        <v>1.03</v>
      </c>
      <c r="DR63" s="228">
        <v>0.99</v>
      </c>
      <c r="DS63" s="228">
        <v>0.04</v>
      </c>
      <c r="DT63" s="229">
        <v>4.0399999999999998E-2</v>
      </c>
      <c r="DU63" s="228">
        <v>280</v>
      </c>
      <c r="DV63" s="228">
        <v>250</v>
      </c>
      <c r="DW63" s="228">
        <v>0.74</v>
      </c>
      <c r="DX63" s="228">
        <v>0.59</v>
      </c>
      <c r="DY63" s="228">
        <v>0.15</v>
      </c>
      <c r="DZ63" s="229">
        <v>0.25419999999999998</v>
      </c>
      <c r="EA63" s="229">
        <v>0.1328</v>
      </c>
      <c r="EB63" s="230">
        <v>8495000</v>
      </c>
      <c r="EC63" s="229">
        <v>5.4999999999999997E-3</v>
      </c>
      <c r="ED63" s="229">
        <v>0.1328</v>
      </c>
      <c r="EE63" s="228">
        <v>1.17</v>
      </c>
      <c r="EF63" s="229">
        <v>4.4000000000000003E-3</v>
      </c>
      <c r="EG63" s="230">
        <v>5382567</v>
      </c>
      <c r="EH63" s="230">
        <v>2247034</v>
      </c>
      <c r="EI63" s="229">
        <v>1.3954</v>
      </c>
      <c r="EJ63" s="229">
        <v>0.66959999999999997</v>
      </c>
      <c r="EK63" s="231">
        <v>1561.19</v>
      </c>
      <c r="EL63" s="231">
        <v>1111.96</v>
      </c>
      <c r="EM63" s="228">
        <v>320.02</v>
      </c>
      <c r="EN63" s="228">
        <v>27.08</v>
      </c>
      <c r="EO63" s="231">
        <v>2993.17</v>
      </c>
      <c r="EP63" s="231">
        <v>2333.02</v>
      </c>
      <c r="EQ63" s="228">
        <v>660.15</v>
      </c>
      <c r="ER63" s="229">
        <v>0.28299999999999997</v>
      </c>
      <c r="ES63" s="231">
        <v>1155.79</v>
      </c>
      <c r="ET63" s="231">
        <v>1112.1300000000001</v>
      </c>
      <c r="EU63" s="231">
        <v>1758.02</v>
      </c>
      <c r="EV63" s="231">
        <v>338654719</v>
      </c>
      <c r="EW63" s="231">
        <v>4025.94</v>
      </c>
      <c r="EX63" s="231">
        <v>4042.49</v>
      </c>
      <c r="EY63" s="228">
        <v>-16.55</v>
      </c>
      <c r="EZ63" s="229">
        <v>-4.1000000000000003E-3</v>
      </c>
      <c r="FA63" s="229">
        <v>0.45469999999999999</v>
      </c>
      <c r="FB63" s="227" t="s">
        <v>556</v>
      </c>
      <c r="FC63">
        <f t="shared" si="0"/>
        <v>234</v>
      </c>
    </row>
    <row r="64" spans="1:159" ht="17.25" thickBot="1" x14ac:dyDescent="0.3">
      <c r="A64" s="226">
        <v>46009</v>
      </c>
      <c r="B64" s="227" t="s">
        <v>181</v>
      </c>
      <c r="C64" s="227" t="s">
        <v>480</v>
      </c>
      <c r="D64" s="228">
        <v>65</v>
      </c>
      <c r="E64" s="228">
        <v>12</v>
      </c>
      <c r="F64" s="231">
        <v>27368.5</v>
      </c>
      <c r="G64" s="231">
        <v>27375.7</v>
      </c>
      <c r="H64" s="228">
        <v>-7.2</v>
      </c>
      <c r="I64" s="229">
        <v>-2.9999999999999997E-4</v>
      </c>
      <c r="J64" s="231">
        <v>27267.1</v>
      </c>
      <c r="K64" s="231">
        <v>27251.95</v>
      </c>
      <c r="L64" s="228">
        <v>15.15</v>
      </c>
      <c r="M64" s="229">
        <v>5.9999999999999995E-4</v>
      </c>
      <c r="N64" s="231">
        <v>27368.5</v>
      </c>
      <c r="O64" s="231">
        <v>27375.7</v>
      </c>
      <c r="P64" s="228">
        <v>-7.2</v>
      </c>
      <c r="Q64" s="229">
        <v>-2.9999999999999997E-4</v>
      </c>
      <c r="R64" s="231">
        <v>27672.400000000001</v>
      </c>
      <c r="S64" s="231">
        <v>27554</v>
      </c>
      <c r="T64" s="228">
        <v>118.4</v>
      </c>
      <c r="U64" s="229">
        <v>4.3E-3</v>
      </c>
      <c r="V64" s="228">
        <v>0</v>
      </c>
      <c r="W64" s="228">
        <v>0</v>
      </c>
      <c r="X64" s="228">
        <v>0</v>
      </c>
      <c r="Y64" s="229">
        <v>0</v>
      </c>
      <c r="Z64" s="228">
        <v>101.4</v>
      </c>
      <c r="AA64" s="228">
        <v>123.75</v>
      </c>
      <c r="AB64" s="228">
        <v>-22.35</v>
      </c>
      <c r="AC64" s="229">
        <v>3.7000000000000002E-3</v>
      </c>
      <c r="AD64" s="228">
        <v>101.4</v>
      </c>
      <c r="AE64" s="228">
        <v>123.75</v>
      </c>
      <c r="AF64" s="228">
        <v>-22.35</v>
      </c>
      <c r="AG64" s="229">
        <v>3.7000000000000002E-3</v>
      </c>
      <c r="AH64" s="228">
        <v>405.3</v>
      </c>
      <c r="AI64" s="228">
        <v>302.05</v>
      </c>
      <c r="AJ64" s="228">
        <v>103.25</v>
      </c>
      <c r="AK64" s="229">
        <v>1.49E-2</v>
      </c>
      <c r="AL64" s="228">
        <v>0</v>
      </c>
      <c r="AM64" s="228">
        <v>0</v>
      </c>
      <c r="AN64" s="228">
        <v>0</v>
      </c>
      <c r="AO64" s="229">
        <v>0</v>
      </c>
      <c r="AP64" s="231">
        <v>27406.51</v>
      </c>
      <c r="AQ64" s="231">
        <v>27618.06</v>
      </c>
      <c r="AR64" s="228">
        <v>0</v>
      </c>
      <c r="AS64" s="228">
        <v>33</v>
      </c>
      <c r="AT64" s="228">
        <v>76</v>
      </c>
      <c r="AU64" s="228">
        <v>-43</v>
      </c>
      <c r="AV64" s="229">
        <v>-0.56100000000000005</v>
      </c>
      <c r="AW64" s="228">
        <v>31</v>
      </c>
      <c r="AX64" s="228">
        <v>67</v>
      </c>
      <c r="AY64" s="228">
        <v>-35</v>
      </c>
      <c r="AZ64" s="229">
        <v>-0.53210000000000002</v>
      </c>
      <c r="BA64" s="228">
        <v>2</v>
      </c>
      <c r="BB64" s="228">
        <v>9</v>
      </c>
      <c r="BC64" s="228">
        <v>-7</v>
      </c>
      <c r="BD64" s="229">
        <v>-0.76919999999999999</v>
      </c>
      <c r="BE64" s="228">
        <v>0</v>
      </c>
      <c r="BF64" s="228">
        <v>0</v>
      </c>
      <c r="BG64" s="228">
        <v>0</v>
      </c>
      <c r="BH64" s="229">
        <v>0</v>
      </c>
      <c r="BI64" s="230">
        <v>4060</v>
      </c>
      <c r="BJ64" s="230">
        <v>4896</v>
      </c>
      <c r="BK64" s="228">
        <v>-836</v>
      </c>
      <c r="BL64" s="229">
        <v>-0.17080000000000001</v>
      </c>
      <c r="BM64" s="230">
        <v>3503</v>
      </c>
      <c r="BN64" s="230">
        <v>3227</v>
      </c>
      <c r="BO64" s="228">
        <v>276</v>
      </c>
      <c r="BP64" s="229">
        <v>8.5599999999999996E-2</v>
      </c>
      <c r="BQ64" s="230">
        <v>7596</v>
      </c>
      <c r="BR64" s="230">
        <v>8199</v>
      </c>
      <c r="BS64" s="228">
        <v>-603</v>
      </c>
      <c r="BT64" s="229">
        <v>-7.3499999999999996E-2</v>
      </c>
      <c r="BU64" s="228">
        <v>0</v>
      </c>
      <c r="BV64" s="228">
        <v>0</v>
      </c>
      <c r="BW64" s="228">
        <v>0</v>
      </c>
      <c r="BX64" s="229">
        <v>0</v>
      </c>
      <c r="BY64" s="228">
        <v>119</v>
      </c>
      <c r="BZ64" s="228">
        <v>119</v>
      </c>
      <c r="CA64" s="228">
        <v>0</v>
      </c>
      <c r="CB64" s="229">
        <v>6.9999999999999999E-4</v>
      </c>
      <c r="CC64" s="228">
        <v>107</v>
      </c>
      <c r="CD64" s="228">
        <v>108</v>
      </c>
      <c r="CE64" s="228">
        <v>-1</v>
      </c>
      <c r="CF64" s="229">
        <v>-9.9000000000000008E-3</v>
      </c>
      <c r="CG64" s="228">
        <v>12</v>
      </c>
      <c r="CH64" s="228">
        <v>11</v>
      </c>
      <c r="CI64" s="228">
        <v>1</v>
      </c>
      <c r="CJ64" s="229">
        <v>0.10290000000000001</v>
      </c>
      <c r="CK64" s="228">
        <v>0</v>
      </c>
      <c r="CL64" s="228">
        <v>0</v>
      </c>
      <c r="CM64" s="228">
        <v>0</v>
      </c>
      <c r="CN64" s="229">
        <v>0</v>
      </c>
      <c r="CO64" s="230">
        <v>2630</v>
      </c>
      <c r="CP64" s="230">
        <v>2592</v>
      </c>
      <c r="CQ64" s="228">
        <v>39</v>
      </c>
      <c r="CR64" s="229">
        <v>1.49E-2</v>
      </c>
      <c r="CS64" s="230">
        <v>1669</v>
      </c>
      <c r="CT64" s="230">
        <v>1480</v>
      </c>
      <c r="CU64" s="228">
        <v>190</v>
      </c>
      <c r="CV64" s="229">
        <v>0.12820000000000001</v>
      </c>
      <c r="CW64" s="230">
        <v>4419</v>
      </c>
      <c r="CX64" s="230">
        <v>4191</v>
      </c>
      <c r="CY64" s="228">
        <v>228</v>
      </c>
      <c r="CZ64" s="229">
        <v>5.45E-2</v>
      </c>
      <c r="DA64" s="228">
        <v>10.45</v>
      </c>
      <c r="DB64" s="228">
        <v>10.71</v>
      </c>
      <c r="DC64" s="228">
        <v>-0.26</v>
      </c>
      <c r="DD64" s="228">
        <v>-0.26</v>
      </c>
      <c r="DE64" s="228">
        <v>16.59</v>
      </c>
      <c r="DF64" s="228">
        <v>16.63</v>
      </c>
      <c r="DG64" s="228">
        <v>-6.14</v>
      </c>
      <c r="DH64" s="228">
        <v>-0.04</v>
      </c>
      <c r="DI64" s="228">
        <v>10.45</v>
      </c>
      <c r="DJ64" s="228">
        <v>10.62</v>
      </c>
      <c r="DK64" s="228">
        <v>-0.17</v>
      </c>
      <c r="DL64" s="228">
        <v>-0.17</v>
      </c>
      <c r="DM64" s="228">
        <v>10.46</v>
      </c>
      <c r="DN64" s="228">
        <v>10.85</v>
      </c>
      <c r="DO64" s="228">
        <v>-0.39</v>
      </c>
      <c r="DP64" s="228">
        <v>-0.39</v>
      </c>
      <c r="DQ64" s="228">
        <v>0.63</v>
      </c>
      <c r="DR64" s="228">
        <v>0.56999999999999995</v>
      </c>
      <c r="DS64" s="228">
        <v>0.06</v>
      </c>
      <c r="DT64" s="229">
        <v>0.1053</v>
      </c>
      <c r="DU64" s="231">
        <v>27500</v>
      </c>
      <c r="DV64" s="231">
        <v>27500</v>
      </c>
      <c r="DW64" s="228">
        <v>0.86</v>
      </c>
      <c r="DX64" s="228">
        <v>0.66</v>
      </c>
      <c r="DY64" s="228">
        <v>0.2</v>
      </c>
      <c r="DZ64" s="229">
        <v>0.30299999999999999</v>
      </c>
      <c r="EA64" s="229">
        <v>0.1031</v>
      </c>
      <c r="EB64" s="230">
        <v>4080</v>
      </c>
      <c r="EC64" s="229">
        <v>1.11E-2</v>
      </c>
      <c r="ED64" s="229">
        <v>0.1031</v>
      </c>
      <c r="EE64" s="228">
        <v>211.55</v>
      </c>
      <c r="EF64" s="229">
        <v>7.7000000000000002E-3</v>
      </c>
      <c r="EG64" s="228">
        <v>0</v>
      </c>
      <c r="EH64" s="228">
        <v>0</v>
      </c>
      <c r="EI64" s="229">
        <v>0</v>
      </c>
      <c r="EJ64" s="229">
        <v>0</v>
      </c>
      <c r="EK64" s="231">
        <v>4132.58</v>
      </c>
      <c r="EL64" s="231">
        <v>3499.28</v>
      </c>
      <c r="EM64" s="228">
        <v>33.159999999999997</v>
      </c>
      <c r="EN64" s="228">
        <v>0</v>
      </c>
      <c r="EO64" s="231">
        <v>7665.02</v>
      </c>
      <c r="EP64" s="231">
        <v>8283.74</v>
      </c>
      <c r="EQ64" s="228">
        <v>-618.72</v>
      </c>
      <c r="ER64" s="229">
        <v>-7.4700000000000003E-2</v>
      </c>
      <c r="ES64" s="231">
        <v>2690.7</v>
      </c>
      <c r="ET64" s="231">
        <v>1660.13</v>
      </c>
      <c r="EU64" s="228">
        <v>119.55</v>
      </c>
      <c r="EV64" s="228">
        <v>0</v>
      </c>
      <c r="EW64" s="231">
        <v>4470.37</v>
      </c>
      <c r="EX64" s="231">
        <v>4250.51</v>
      </c>
      <c r="EY64" s="228">
        <v>219.86</v>
      </c>
      <c r="EZ64" s="229">
        <v>5.1700000000000003E-2</v>
      </c>
      <c r="FA64" s="229">
        <v>0</v>
      </c>
      <c r="FB64" s="227" t="s">
        <v>567</v>
      </c>
      <c r="FC64">
        <f t="shared" si="0"/>
        <v>12</v>
      </c>
    </row>
    <row r="65" spans="1:159" ht="17.25" thickBot="1" x14ac:dyDescent="0.3">
      <c r="A65" s="226">
        <v>46009</v>
      </c>
      <c r="B65" s="227" t="s">
        <v>170</v>
      </c>
      <c r="C65" s="227" t="s">
        <v>678</v>
      </c>
      <c r="D65" s="228">
        <v>775</v>
      </c>
      <c r="E65" s="228">
        <v>12</v>
      </c>
      <c r="F65" s="228">
        <v>866.8</v>
      </c>
      <c r="G65" s="228">
        <v>871.65</v>
      </c>
      <c r="H65" s="228">
        <v>-4.8499999999999996</v>
      </c>
      <c r="I65" s="229">
        <v>-5.5999999999999999E-3</v>
      </c>
      <c r="J65" s="228">
        <v>866.35</v>
      </c>
      <c r="K65" s="228">
        <v>870.95</v>
      </c>
      <c r="L65" s="228">
        <v>-4.5999999999999996</v>
      </c>
      <c r="M65" s="229">
        <v>-5.3E-3</v>
      </c>
      <c r="N65" s="228">
        <v>866.8</v>
      </c>
      <c r="O65" s="228">
        <v>871.65</v>
      </c>
      <c r="P65" s="228">
        <v>-4.8499999999999996</v>
      </c>
      <c r="Q65" s="229">
        <v>-5.5999999999999999E-3</v>
      </c>
      <c r="R65" s="228">
        <v>872.55</v>
      </c>
      <c r="S65" s="228">
        <v>876.2</v>
      </c>
      <c r="T65" s="228">
        <v>-3.65</v>
      </c>
      <c r="U65" s="229">
        <v>-4.1999999999999997E-3</v>
      </c>
      <c r="V65" s="228">
        <v>873.05</v>
      </c>
      <c r="W65" s="228">
        <v>879</v>
      </c>
      <c r="X65" s="228">
        <v>-5.95</v>
      </c>
      <c r="Y65" s="229">
        <v>-6.7999999999999996E-3</v>
      </c>
      <c r="Z65" s="228">
        <v>0.45</v>
      </c>
      <c r="AA65" s="228">
        <v>0.7</v>
      </c>
      <c r="AB65" s="228">
        <v>-0.25</v>
      </c>
      <c r="AC65" s="229">
        <v>5.0000000000000001E-4</v>
      </c>
      <c r="AD65" s="228">
        <v>0.45</v>
      </c>
      <c r="AE65" s="228">
        <v>0.7</v>
      </c>
      <c r="AF65" s="228">
        <v>-0.25</v>
      </c>
      <c r="AG65" s="229">
        <v>5.0000000000000001E-4</v>
      </c>
      <c r="AH65" s="228">
        <v>6.2</v>
      </c>
      <c r="AI65" s="228">
        <v>5.25</v>
      </c>
      <c r="AJ65" s="228">
        <v>0.95</v>
      </c>
      <c r="AK65" s="229">
        <v>7.1999999999999998E-3</v>
      </c>
      <c r="AL65" s="228">
        <v>6.7</v>
      </c>
      <c r="AM65" s="228">
        <v>8.0500000000000007</v>
      </c>
      <c r="AN65" s="228">
        <v>-1.35</v>
      </c>
      <c r="AO65" s="229">
        <v>7.7000000000000002E-3</v>
      </c>
      <c r="AP65" s="228">
        <v>864.43</v>
      </c>
      <c r="AQ65" s="228">
        <v>869.86</v>
      </c>
      <c r="AR65" s="228">
        <v>0</v>
      </c>
      <c r="AS65" s="228">
        <v>157</v>
      </c>
      <c r="AT65" s="228">
        <v>183</v>
      </c>
      <c r="AU65" s="228">
        <v>-26</v>
      </c>
      <c r="AV65" s="229">
        <v>-0.14319999999999999</v>
      </c>
      <c r="AW65" s="228">
        <v>134</v>
      </c>
      <c r="AX65" s="228">
        <v>150</v>
      </c>
      <c r="AY65" s="228">
        <v>-16</v>
      </c>
      <c r="AZ65" s="229">
        <v>-0.10780000000000001</v>
      </c>
      <c r="BA65" s="228">
        <v>23</v>
      </c>
      <c r="BB65" s="228">
        <v>33</v>
      </c>
      <c r="BC65" s="228">
        <v>-10</v>
      </c>
      <c r="BD65" s="229">
        <v>-0.31019999999999998</v>
      </c>
      <c r="BE65" s="228">
        <v>1</v>
      </c>
      <c r="BF65" s="228">
        <v>0</v>
      </c>
      <c r="BG65" s="228">
        <v>0</v>
      </c>
      <c r="BH65" s="229">
        <v>0.33329999999999999</v>
      </c>
      <c r="BI65" s="228">
        <v>517</v>
      </c>
      <c r="BJ65" s="228">
        <v>254</v>
      </c>
      <c r="BK65" s="228">
        <v>264</v>
      </c>
      <c r="BL65" s="229">
        <v>1.0384</v>
      </c>
      <c r="BM65" s="228">
        <v>289</v>
      </c>
      <c r="BN65" s="228">
        <v>102</v>
      </c>
      <c r="BO65" s="228">
        <v>187</v>
      </c>
      <c r="BP65" s="229">
        <v>1.8283</v>
      </c>
      <c r="BQ65" s="228">
        <v>963</v>
      </c>
      <c r="BR65" s="228">
        <v>539</v>
      </c>
      <c r="BS65" s="228">
        <v>424</v>
      </c>
      <c r="BT65" s="229">
        <v>0.78600000000000003</v>
      </c>
      <c r="BU65" s="230">
        <v>1872425</v>
      </c>
      <c r="BV65" s="230">
        <v>1641590</v>
      </c>
      <c r="BW65" s="230">
        <v>230835</v>
      </c>
      <c r="BX65" s="229">
        <v>0.1406</v>
      </c>
      <c r="BY65" s="230">
        <v>1238</v>
      </c>
      <c r="BZ65" s="230">
        <v>1255</v>
      </c>
      <c r="CA65" s="228">
        <v>-16</v>
      </c>
      <c r="CB65" s="229">
        <v>-1.3100000000000001E-2</v>
      </c>
      <c r="CC65" s="230">
        <v>1159</v>
      </c>
      <c r="CD65" s="230">
        <v>1181</v>
      </c>
      <c r="CE65" s="228">
        <v>-22</v>
      </c>
      <c r="CF65" s="229">
        <v>-1.84E-2</v>
      </c>
      <c r="CG65" s="228">
        <v>76</v>
      </c>
      <c r="CH65" s="228">
        <v>71</v>
      </c>
      <c r="CI65" s="228">
        <v>5</v>
      </c>
      <c r="CJ65" s="229">
        <v>7.0599999999999996E-2</v>
      </c>
      <c r="CK65" s="228">
        <v>3</v>
      </c>
      <c r="CL65" s="228">
        <v>3</v>
      </c>
      <c r="CM65" s="228">
        <v>0</v>
      </c>
      <c r="CN65" s="229">
        <v>9.5200000000000007E-2</v>
      </c>
      <c r="CO65" s="228">
        <v>558</v>
      </c>
      <c r="CP65" s="228">
        <v>577</v>
      </c>
      <c r="CQ65" s="228">
        <v>-19</v>
      </c>
      <c r="CR65" s="229">
        <v>-3.2099999999999997E-2</v>
      </c>
      <c r="CS65" s="228">
        <v>251</v>
      </c>
      <c r="CT65" s="228">
        <v>257</v>
      </c>
      <c r="CU65" s="228">
        <v>-5</v>
      </c>
      <c r="CV65" s="229">
        <v>-2.12E-2</v>
      </c>
      <c r="CW65" s="230">
        <v>2048</v>
      </c>
      <c r="CX65" s="230">
        <v>2088</v>
      </c>
      <c r="CY65" s="228">
        <v>-40</v>
      </c>
      <c r="CZ65" s="229">
        <v>-1.9400000000000001E-2</v>
      </c>
      <c r="DA65" s="228">
        <v>21.65</v>
      </c>
      <c r="DB65" s="228">
        <v>23.33</v>
      </c>
      <c r="DC65" s="228">
        <v>-1.68</v>
      </c>
      <c r="DD65" s="228">
        <v>-1.68</v>
      </c>
      <c r="DE65" s="228">
        <v>35.19</v>
      </c>
      <c r="DF65" s="228">
        <v>35.270000000000003</v>
      </c>
      <c r="DG65" s="228">
        <v>-13.54</v>
      </c>
      <c r="DH65" s="228">
        <v>-0.08</v>
      </c>
      <c r="DI65" s="228">
        <v>22.13</v>
      </c>
      <c r="DJ65" s="228">
        <v>23.52</v>
      </c>
      <c r="DK65" s="228">
        <v>-1.39</v>
      </c>
      <c r="DL65" s="228">
        <v>-1.39</v>
      </c>
      <c r="DM65" s="228">
        <v>20.8</v>
      </c>
      <c r="DN65" s="228">
        <v>22.86</v>
      </c>
      <c r="DO65" s="228">
        <v>-2.06</v>
      </c>
      <c r="DP65" s="228">
        <v>-2.06</v>
      </c>
      <c r="DQ65" s="228">
        <v>0.45</v>
      </c>
      <c r="DR65" s="228">
        <v>0.44</v>
      </c>
      <c r="DS65" s="228">
        <v>0.01</v>
      </c>
      <c r="DT65" s="229">
        <v>2.2700000000000001E-2</v>
      </c>
      <c r="DU65" s="231">
        <v>1000</v>
      </c>
      <c r="DV65" s="228">
        <v>860</v>
      </c>
      <c r="DW65" s="228">
        <v>0.56000000000000005</v>
      </c>
      <c r="DX65" s="228">
        <v>0.4</v>
      </c>
      <c r="DY65" s="228">
        <v>0.16</v>
      </c>
      <c r="DZ65" s="229">
        <v>0.4</v>
      </c>
      <c r="EA65" s="229">
        <v>6.4199999999999993E-2</v>
      </c>
      <c r="EB65" s="230">
        <v>856375</v>
      </c>
      <c r="EC65" s="229">
        <v>6.6E-3</v>
      </c>
      <c r="ED65" s="229">
        <v>6.4199999999999993E-2</v>
      </c>
      <c r="EE65" s="228">
        <v>5.43</v>
      </c>
      <c r="EF65" s="229">
        <v>6.3E-3</v>
      </c>
      <c r="EG65" s="230">
        <v>1137544</v>
      </c>
      <c r="EH65" s="230">
        <v>1118962</v>
      </c>
      <c r="EI65" s="229">
        <v>1.66E-2</v>
      </c>
      <c r="EJ65" s="229">
        <v>0.60750000000000004</v>
      </c>
      <c r="EK65" s="228">
        <v>537</v>
      </c>
      <c r="EL65" s="228">
        <v>293.29000000000002</v>
      </c>
      <c r="EM65" s="228">
        <v>156.91</v>
      </c>
      <c r="EN65" s="228">
        <v>27.83</v>
      </c>
      <c r="EO65" s="228">
        <v>987.21</v>
      </c>
      <c r="EP65" s="228">
        <v>553.97</v>
      </c>
      <c r="EQ65" s="228">
        <v>433.24</v>
      </c>
      <c r="ER65" s="229">
        <v>0.78210000000000002</v>
      </c>
      <c r="ES65" s="228">
        <v>605.20000000000005</v>
      </c>
      <c r="ET65" s="228">
        <v>256.36</v>
      </c>
      <c r="EU65" s="231">
        <v>1238.8699999999999</v>
      </c>
      <c r="EV65" s="231">
        <v>62490435</v>
      </c>
      <c r="EW65" s="231">
        <v>2100.42</v>
      </c>
      <c r="EX65" s="231">
        <v>2150.81</v>
      </c>
      <c r="EY65" s="228">
        <v>-50.39</v>
      </c>
      <c r="EZ65" s="229">
        <v>-2.3400000000000001E-2</v>
      </c>
      <c r="FA65" s="229">
        <v>0.37809999999999999</v>
      </c>
      <c r="FB65" s="227" t="s">
        <v>568</v>
      </c>
      <c r="FC65">
        <f t="shared" si="0"/>
        <v>79</v>
      </c>
    </row>
    <row r="66" spans="1:159" ht="17.25" thickBot="1" x14ac:dyDescent="0.3">
      <c r="A66" s="226">
        <v>46009</v>
      </c>
      <c r="B66" s="227" t="s">
        <v>193</v>
      </c>
      <c r="C66" s="227" t="s">
        <v>213</v>
      </c>
      <c r="D66" s="228">
        <v>3150</v>
      </c>
      <c r="E66" s="228">
        <v>12</v>
      </c>
      <c r="F66" s="228">
        <v>168.09</v>
      </c>
      <c r="G66" s="228">
        <v>169.34</v>
      </c>
      <c r="H66" s="228">
        <v>-1.25</v>
      </c>
      <c r="I66" s="229">
        <v>-7.4000000000000003E-3</v>
      </c>
      <c r="J66" s="228">
        <v>167.55</v>
      </c>
      <c r="K66" s="228">
        <v>169.07</v>
      </c>
      <c r="L66" s="228">
        <v>-1.52</v>
      </c>
      <c r="M66" s="229">
        <v>-8.9999999999999993E-3</v>
      </c>
      <c r="N66" s="228">
        <v>168.09</v>
      </c>
      <c r="O66" s="228">
        <v>169.34</v>
      </c>
      <c r="P66" s="228">
        <v>-1.25</v>
      </c>
      <c r="Q66" s="229">
        <v>-7.4000000000000003E-3</v>
      </c>
      <c r="R66" s="228">
        <v>169.08</v>
      </c>
      <c r="S66" s="228">
        <v>170.31</v>
      </c>
      <c r="T66" s="228">
        <v>-1.23</v>
      </c>
      <c r="U66" s="229">
        <v>-7.1999999999999998E-3</v>
      </c>
      <c r="V66" s="228">
        <v>170.03</v>
      </c>
      <c r="W66" s="228">
        <v>170.9</v>
      </c>
      <c r="X66" s="228">
        <v>-0.87</v>
      </c>
      <c r="Y66" s="229">
        <v>-5.1000000000000004E-3</v>
      </c>
      <c r="Z66" s="228">
        <v>0.54</v>
      </c>
      <c r="AA66" s="228">
        <v>0.27</v>
      </c>
      <c r="AB66" s="228">
        <v>0.27</v>
      </c>
      <c r="AC66" s="229">
        <v>3.2000000000000002E-3</v>
      </c>
      <c r="AD66" s="228">
        <v>0.54</v>
      </c>
      <c r="AE66" s="228">
        <v>0.27</v>
      </c>
      <c r="AF66" s="228">
        <v>0.27</v>
      </c>
      <c r="AG66" s="229">
        <v>3.2000000000000002E-3</v>
      </c>
      <c r="AH66" s="228">
        <v>1.53</v>
      </c>
      <c r="AI66" s="228">
        <v>1.24</v>
      </c>
      <c r="AJ66" s="228">
        <v>0.28999999999999998</v>
      </c>
      <c r="AK66" s="229">
        <v>9.1000000000000004E-3</v>
      </c>
      <c r="AL66" s="228">
        <v>2.48</v>
      </c>
      <c r="AM66" s="228">
        <v>1.83</v>
      </c>
      <c r="AN66" s="228">
        <v>0.65</v>
      </c>
      <c r="AO66" s="229">
        <v>1.4800000000000001E-2</v>
      </c>
      <c r="AP66" s="228">
        <v>168.15</v>
      </c>
      <c r="AQ66" s="228">
        <v>169.21</v>
      </c>
      <c r="AR66" s="228">
        <v>0</v>
      </c>
      <c r="AS66" s="228">
        <v>141</v>
      </c>
      <c r="AT66" s="228">
        <v>125</v>
      </c>
      <c r="AU66" s="228">
        <v>16</v>
      </c>
      <c r="AV66" s="229">
        <v>0.1308</v>
      </c>
      <c r="AW66" s="228">
        <v>103</v>
      </c>
      <c r="AX66" s="228">
        <v>109</v>
      </c>
      <c r="AY66" s="228">
        <v>-6</v>
      </c>
      <c r="AZ66" s="229">
        <v>-5.8200000000000002E-2</v>
      </c>
      <c r="BA66" s="228">
        <v>36</v>
      </c>
      <c r="BB66" s="228">
        <v>14</v>
      </c>
      <c r="BC66" s="228">
        <v>23</v>
      </c>
      <c r="BD66" s="229">
        <v>1.6732</v>
      </c>
      <c r="BE66" s="228">
        <v>2</v>
      </c>
      <c r="BF66" s="228">
        <v>2</v>
      </c>
      <c r="BG66" s="228">
        <v>0</v>
      </c>
      <c r="BH66" s="229">
        <v>-2.2700000000000001E-2</v>
      </c>
      <c r="BI66" s="228">
        <v>381</v>
      </c>
      <c r="BJ66" s="228">
        <v>411</v>
      </c>
      <c r="BK66" s="228">
        <v>-30</v>
      </c>
      <c r="BL66" s="229">
        <v>-7.2400000000000006E-2</v>
      </c>
      <c r="BM66" s="228">
        <v>153</v>
      </c>
      <c r="BN66" s="228">
        <v>158</v>
      </c>
      <c r="BO66" s="228">
        <v>-6</v>
      </c>
      <c r="BP66" s="229">
        <v>-3.5799999999999998E-2</v>
      </c>
      <c r="BQ66" s="228">
        <v>675</v>
      </c>
      <c r="BR66" s="228">
        <v>694</v>
      </c>
      <c r="BS66" s="228">
        <v>-19</v>
      </c>
      <c r="BT66" s="229">
        <v>-2.7400000000000001E-2</v>
      </c>
      <c r="BU66" s="230">
        <v>3912420</v>
      </c>
      <c r="BV66" s="230">
        <v>3466200</v>
      </c>
      <c r="BW66" s="230">
        <v>446220</v>
      </c>
      <c r="BX66" s="229">
        <v>0.12870000000000001</v>
      </c>
      <c r="BY66" s="230">
        <v>1673</v>
      </c>
      <c r="BZ66" s="230">
        <v>1672</v>
      </c>
      <c r="CA66" s="228">
        <v>1</v>
      </c>
      <c r="CB66" s="229">
        <v>4.0000000000000002E-4</v>
      </c>
      <c r="CC66" s="230">
        <v>1484</v>
      </c>
      <c r="CD66" s="230">
        <v>1498</v>
      </c>
      <c r="CE66" s="228">
        <v>-14</v>
      </c>
      <c r="CF66" s="229">
        <v>-9.1000000000000004E-3</v>
      </c>
      <c r="CG66" s="228">
        <v>167</v>
      </c>
      <c r="CH66" s="228">
        <v>153</v>
      </c>
      <c r="CI66" s="228">
        <v>13</v>
      </c>
      <c r="CJ66" s="229">
        <v>8.7400000000000005E-2</v>
      </c>
      <c r="CK66" s="228">
        <v>22</v>
      </c>
      <c r="CL66" s="228">
        <v>21</v>
      </c>
      <c r="CM66" s="228">
        <v>1</v>
      </c>
      <c r="CN66" s="229">
        <v>4.2700000000000002E-2</v>
      </c>
      <c r="CO66" s="230">
        <v>1155</v>
      </c>
      <c r="CP66" s="230">
        <v>1150</v>
      </c>
      <c r="CQ66" s="228">
        <v>5</v>
      </c>
      <c r="CR66" s="229">
        <v>4.4000000000000003E-3</v>
      </c>
      <c r="CS66" s="228">
        <v>755</v>
      </c>
      <c r="CT66" s="228">
        <v>763</v>
      </c>
      <c r="CU66" s="228">
        <v>-8</v>
      </c>
      <c r="CV66" s="229">
        <v>-1.04E-2</v>
      </c>
      <c r="CW66" s="230">
        <v>3583</v>
      </c>
      <c r="CX66" s="230">
        <v>3585</v>
      </c>
      <c r="CY66" s="228">
        <v>-2</v>
      </c>
      <c r="CZ66" s="229">
        <v>-5.9999999999999995E-4</v>
      </c>
      <c r="DA66" s="228">
        <v>23.19</v>
      </c>
      <c r="DB66" s="228">
        <v>23.5</v>
      </c>
      <c r="DC66" s="228">
        <v>-0.31</v>
      </c>
      <c r="DD66" s="228">
        <v>-0.31</v>
      </c>
      <c r="DE66" s="228">
        <v>34.44</v>
      </c>
      <c r="DF66" s="228">
        <v>34.51</v>
      </c>
      <c r="DG66" s="228">
        <v>-11.25</v>
      </c>
      <c r="DH66" s="228">
        <v>-7.0000000000000007E-2</v>
      </c>
      <c r="DI66" s="228">
        <v>23.79</v>
      </c>
      <c r="DJ66" s="228">
        <v>23.98</v>
      </c>
      <c r="DK66" s="228">
        <v>-0.19</v>
      </c>
      <c r="DL66" s="228">
        <v>-0.19</v>
      </c>
      <c r="DM66" s="228">
        <v>21.68</v>
      </c>
      <c r="DN66" s="228">
        <v>22.26</v>
      </c>
      <c r="DO66" s="228">
        <v>-0.57999999999999996</v>
      </c>
      <c r="DP66" s="228">
        <v>-0.57999999999999996</v>
      </c>
      <c r="DQ66" s="228">
        <v>0.65</v>
      </c>
      <c r="DR66" s="228">
        <v>0.66</v>
      </c>
      <c r="DS66" s="228">
        <v>-0.01</v>
      </c>
      <c r="DT66" s="229">
        <v>-1.52E-2</v>
      </c>
      <c r="DU66" s="228">
        <v>180</v>
      </c>
      <c r="DV66" s="228">
        <v>170</v>
      </c>
      <c r="DW66" s="228">
        <v>0.4</v>
      </c>
      <c r="DX66" s="228">
        <v>0.39</v>
      </c>
      <c r="DY66" s="228">
        <v>0.01</v>
      </c>
      <c r="DZ66" s="229">
        <v>2.5600000000000001E-2</v>
      </c>
      <c r="EA66" s="229">
        <v>0.1128</v>
      </c>
      <c r="EB66" s="230">
        <v>10372950</v>
      </c>
      <c r="EC66" s="229">
        <v>5.8999999999999999E-3</v>
      </c>
      <c r="ED66" s="229">
        <v>0.1128</v>
      </c>
      <c r="EE66" s="228">
        <v>1.06</v>
      </c>
      <c r="EF66" s="229">
        <v>6.3E-3</v>
      </c>
      <c r="EG66" s="230">
        <v>2174874</v>
      </c>
      <c r="EH66" s="230">
        <v>1720862</v>
      </c>
      <c r="EI66" s="229">
        <v>0.26379999999999998</v>
      </c>
      <c r="EJ66" s="229">
        <v>0.55589999999999995</v>
      </c>
      <c r="EK66" s="228">
        <v>401.01</v>
      </c>
      <c r="EL66" s="228">
        <v>152.19</v>
      </c>
      <c r="EM66" s="228">
        <v>141.72999999999999</v>
      </c>
      <c r="EN66" s="228">
        <v>40.89</v>
      </c>
      <c r="EO66" s="228">
        <v>694.92</v>
      </c>
      <c r="EP66" s="228">
        <v>719.87</v>
      </c>
      <c r="EQ66" s="228">
        <v>-24.95</v>
      </c>
      <c r="ER66" s="229">
        <v>-3.4700000000000002E-2</v>
      </c>
      <c r="ES66" s="231">
        <v>1241.3900000000001</v>
      </c>
      <c r="ET66" s="228">
        <v>782.2</v>
      </c>
      <c r="EU66" s="231">
        <v>1673.87</v>
      </c>
      <c r="EV66" s="231">
        <v>402429848</v>
      </c>
      <c r="EW66" s="231">
        <v>3697.47</v>
      </c>
      <c r="EX66" s="231">
        <v>3714.12</v>
      </c>
      <c r="EY66" s="228">
        <v>-16.649999999999999</v>
      </c>
      <c r="EZ66" s="229">
        <v>-4.4999999999999997E-3</v>
      </c>
      <c r="FA66" s="229">
        <v>0.52959999999999996</v>
      </c>
      <c r="FB66" s="227" t="s">
        <v>567</v>
      </c>
      <c r="FC66">
        <f t="shared" si="0"/>
        <v>189</v>
      </c>
    </row>
    <row r="67" spans="1:159" ht="17.25" thickBot="1" x14ac:dyDescent="0.3">
      <c r="A67" s="226">
        <v>46009</v>
      </c>
      <c r="B67" s="227" t="s">
        <v>170</v>
      </c>
      <c r="C67" s="227" t="s">
        <v>214</v>
      </c>
      <c r="D67" s="228">
        <v>375</v>
      </c>
      <c r="E67" s="228">
        <v>12</v>
      </c>
      <c r="F67" s="231">
        <v>1959.4</v>
      </c>
      <c r="G67" s="231">
        <v>1951.9</v>
      </c>
      <c r="H67" s="228">
        <v>7.5</v>
      </c>
      <c r="I67" s="229">
        <v>3.8E-3</v>
      </c>
      <c r="J67" s="231">
        <v>1957.1</v>
      </c>
      <c r="K67" s="231">
        <v>1948.4</v>
      </c>
      <c r="L67" s="228">
        <v>8.6999999999999993</v>
      </c>
      <c r="M67" s="229">
        <v>4.4999999999999997E-3</v>
      </c>
      <c r="N67" s="231">
        <v>1959.4</v>
      </c>
      <c r="O67" s="231">
        <v>1951.9</v>
      </c>
      <c r="P67" s="228">
        <v>7.5</v>
      </c>
      <c r="Q67" s="229">
        <v>3.8E-3</v>
      </c>
      <c r="R67" s="231">
        <v>1971.4</v>
      </c>
      <c r="S67" s="231">
        <v>1964.3</v>
      </c>
      <c r="T67" s="228">
        <v>7.1</v>
      </c>
      <c r="U67" s="229">
        <v>3.5999999999999999E-3</v>
      </c>
      <c r="V67" s="231">
        <v>1980</v>
      </c>
      <c r="W67" s="231">
        <v>1981</v>
      </c>
      <c r="X67" s="228">
        <v>-1</v>
      </c>
      <c r="Y67" s="229">
        <v>-5.0000000000000001E-4</v>
      </c>
      <c r="Z67" s="228">
        <v>2.2999999999999998</v>
      </c>
      <c r="AA67" s="228">
        <v>3.5</v>
      </c>
      <c r="AB67" s="228">
        <v>-1.2</v>
      </c>
      <c r="AC67" s="229">
        <v>1.1999999999999999E-3</v>
      </c>
      <c r="AD67" s="228">
        <v>2.2999999999999998</v>
      </c>
      <c r="AE67" s="228">
        <v>3.5</v>
      </c>
      <c r="AF67" s="228">
        <v>-1.2</v>
      </c>
      <c r="AG67" s="229">
        <v>1.1999999999999999E-3</v>
      </c>
      <c r="AH67" s="228">
        <v>14.3</v>
      </c>
      <c r="AI67" s="228">
        <v>15.9</v>
      </c>
      <c r="AJ67" s="228">
        <v>-1.6</v>
      </c>
      <c r="AK67" s="229">
        <v>7.3000000000000001E-3</v>
      </c>
      <c r="AL67" s="228">
        <v>22.9</v>
      </c>
      <c r="AM67" s="228">
        <v>32.6</v>
      </c>
      <c r="AN67" s="228">
        <v>-9.6999999999999993</v>
      </c>
      <c r="AO67" s="229">
        <v>1.17E-2</v>
      </c>
      <c r="AP67" s="231">
        <v>1948.08</v>
      </c>
      <c r="AQ67" s="231">
        <v>1960.75</v>
      </c>
      <c r="AR67" s="228">
        <v>0</v>
      </c>
      <c r="AS67" s="228">
        <v>262</v>
      </c>
      <c r="AT67" s="228">
        <v>271</v>
      </c>
      <c r="AU67" s="228">
        <v>-9</v>
      </c>
      <c r="AV67" s="229">
        <v>-3.49E-2</v>
      </c>
      <c r="AW67" s="228">
        <v>227</v>
      </c>
      <c r="AX67" s="228">
        <v>250</v>
      </c>
      <c r="AY67" s="228">
        <v>-23</v>
      </c>
      <c r="AZ67" s="229">
        <v>-9.1300000000000006E-2</v>
      </c>
      <c r="BA67" s="228">
        <v>34</v>
      </c>
      <c r="BB67" s="228">
        <v>21</v>
      </c>
      <c r="BC67" s="228">
        <v>13</v>
      </c>
      <c r="BD67" s="229">
        <v>0.60550000000000004</v>
      </c>
      <c r="BE67" s="228">
        <v>1</v>
      </c>
      <c r="BF67" s="228">
        <v>1</v>
      </c>
      <c r="BG67" s="228">
        <v>0</v>
      </c>
      <c r="BH67" s="229">
        <v>0.66669999999999996</v>
      </c>
      <c r="BI67" s="228">
        <v>658</v>
      </c>
      <c r="BJ67" s="228">
        <v>688</v>
      </c>
      <c r="BK67" s="228">
        <v>-29</v>
      </c>
      <c r="BL67" s="229">
        <v>-4.2500000000000003E-2</v>
      </c>
      <c r="BM67" s="228">
        <v>378</v>
      </c>
      <c r="BN67" s="228">
        <v>333</v>
      </c>
      <c r="BO67" s="228">
        <v>45</v>
      </c>
      <c r="BP67" s="229">
        <v>0.13600000000000001</v>
      </c>
      <c r="BQ67" s="230">
        <v>1298</v>
      </c>
      <c r="BR67" s="230">
        <v>1292</v>
      </c>
      <c r="BS67" s="228">
        <v>7</v>
      </c>
      <c r="BT67" s="229">
        <v>5.1000000000000004E-3</v>
      </c>
      <c r="BU67" s="230">
        <v>365094</v>
      </c>
      <c r="BV67" s="230">
        <v>290956</v>
      </c>
      <c r="BW67" s="230">
        <v>74138</v>
      </c>
      <c r="BX67" s="229">
        <v>0.25480000000000003</v>
      </c>
      <c r="BY67" s="230">
        <v>2863</v>
      </c>
      <c r="BZ67" s="230">
        <v>2852</v>
      </c>
      <c r="CA67" s="228">
        <v>11</v>
      </c>
      <c r="CB67" s="229">
        <v>3.8E-3</v>
      </c>
      <c r="CC67" s="230">
        <v>2797</v>
      </c>
      <c r="CD67" s="230">
        <v>2794</v>
      </c>
      <c r="CE67" s="228">
        <v>3</v>
      </c>
      <c r="CF67" s="229">
        <v>1.1999999999999999E-3</v>
      </c>
      <c r="CG67" s="228">
        <v>61</v>
      </c>
      <c r="CH67" s="228">
        <v>54</v>
      </c>
      <c r="CI67" s="228">
        <v>7</v>
      </c>
      <c r="CJ67" s="229">
        <v>0.1384</v>
      </c>
      <c r="CK67" s="228">
        <v>4</v>
      </c>
      <c r="CL67" s="228">
        <v>4</v>
      </c>
      <c r="CM67" s="228">
        <v>0</v>
      </c>
      <c r="CN67" s="229">
        <v>3.39E-2</v>
      </c>
      <c r="CO67" s="228">
        <v>798</v>
      </c>
      <c r="CP67" s="228">
        <v>822</v>
      </c>
      <c r="CQ67" s="228">
        <v>-24</v>
      </c>
      <c r="CR67" s="229">
        <v>-2.9100000000000001E-2</v>
      </c>
      <c r="CS67" s="228">
        <v>584</v>
      </c>
      <c r="CT67" s="228">
        <v>589</v>
      </c>
      <c r="CU67" s="228">
        <v>-4</v>
      </c>
      <c r="CV67" s="229">
        <v>-7.6E-3</v>
      </c>
      <c r="CW67" s="230">
        <v>4245</v>
      </c>
      <c r="CX67" s="230">
        <v>4262</v>
      </c>
      <c r="CY67" s="228">
        <v>-17</v>
      </c>
      <c r="CZ67" s="229">
        <v>-4.1000000000000003E-3</v>
      </c>
      <c r="DA67" s="228">
        <v>22.1</v>
      </c>
      <c r="DB67" s="228">
        <v>23.41</v>
      </c>
      <c r="DC67" s="228">
        <v>-1.31</v>
      </c>
      <c r="DD67" s="228">
        <v>-1.31</v>
      </c>
      <c r="DE67" s="228">
        <v>35.869999999999997</v>
      </c>
      <c r="DF67" s="228">
        <v>35.950000000000003</v>
      </c>
      <c r="DG67" s="228">
        <v>-13.77</v>
      </c>
      <c r="DH67" s="228">
        <v>-0.08</v>
      </c>
      <c r="DI67" s="228">
        <v>22.14</v>
      </c>
      <c r="DJ67" s="228">
        <v>23.62</v>
      </c>
      <c r="DK67" s="228">
        <v>-1.48</v>
      </c>
      <c r="DL67" s="228">
        <v>-1.48</v>
      </c>
      <c r="DM67" s="228">
        <v>22.01</v>
      </c>
      <c r="DN67" s="228">
        <v>22.97</v>
      </c>
      <c r="DO67" s="228">
        <v>-0.96</v>
      </c>
      <c r="DP67" s="228">
        <v>-0.96</v>
      </c>
      <c r="DQ67" s="228">
        <v>0.73</v>
      </c>
      <c r="DR67" s="228">
        <v>0.72</v>
      </c>
      <c r="DS67" s="228">
        <v>0.01</v>
      </c>
      <c r="DT67" s="229">
        <v>1.3899999999999999E-2</v>
      </c>
      <c r="DU67" s="231">
        <v>2000</v>
      </c>
      <c r="DV67" s="231">
        <v>1900</v>
      </c>
      <c r="DW67" s="228">
        <v>0.56999999999999995</v>
      </c>
      <c r="DX67" s="228">
        <v>0.48</v>
      </c>
      <c r="DY67" s="228">
        <v>0.09</v>
      </c>
      <c r="DZ67" s="229">
        <v>0.1875</v>
      </c>
      <c r="EA67" s="229">
        <v>2.29E-2</v>
      </c>
      <c r="EB67" s="230">
        <v>295875</v>
      </c>
      <c r="EC67" s="229">
        <v>6.1000000000000004E-3</v>
      </c>
      <c r="ED67" s="229">
        <v>2.29E-2</v>
      </c>
      <c r="EE67" s="228">
        <v>12.67</v>
      </c>
      <c r="EF67" s="229">
        <v>6.4999999999999997E-3</v>
      </c>
      <c r="EG67" s="230">
        <v>145710</v>
      </c>
      <c r="EH67" s="230">
        <v>111160</v>
      </c>
      <c r="EI67" s="229">
        <v>0.31080000000000002</v>
      </c>
      <c r="EJ67" s="229">
        <v>0.39910000000000001</v>
      </c>
      <c r="EK67" s="228">
        <v>675.39</v>
      </c>
      <c r="EL67" s="228">
        <v>374.73</v>
      </c>
      <c r="EM67" s="228">
        <v>260.74</v>
      </c>
      <c r="EN67" s="228">
        <v>36.229999999999997</v>
      </c>
      <c r="EO67" s="231">
        <v>1310.86</v>
      </c>
      <c r="EP67" s="231">
        <v>1314.86</v>
      </c>
      <c r="EQ67" s="228">
        <v>-3.99</v>
      </c>
      <c r="ER67" s="229">
        <v>-3.0000000000000001E-3</v>
      </c>
      <c r="ES67" s="228">
        <v>813.95</v>
      </c>
      <c r="ET67" s="228">
        <v>562.83000000000004</v>
      </c>
      <c r="EU67" s="231">
        <v>2863.03</v>
      </c>
      <c r="EV67" s="231">
        <v>22585180</v>
      </c>
      <c r="EW67" s="231">
        <v>4239.8100000000004</v>
      </c>
      <c r="EX67" s="231">
        <v>4247.21</v>
      </c>
      <c r="EY67" s="228">
        <v>-7.4</v>
      </c>
      <c r="EZ67" s="229">
        <v>-1.6999999999999999E-3</v>
      </c>
      <c r="FA67" s="229">
        <v>0.95920000000000005</v>
      </c>
      <c r="FB67" s="227" t="s">
        <v>555</v>
      </c>
      <c r="FC67">
        <f t="shared" ref="FC67:FC130" si="1">BY67-CC67</f>
        <v>66</v>
      </c>
    </row>
    <row r="68" spans="1:159" ht="17.25" thickBot="1" x14ac:dyDescent="0.3">
      <c r="A68" s="226">
        <v>46009</v>
      </c>
      <c r="B68" s="227" t="s">
        <v>215</v>
      </c>
      <c r="C68" s="227" t="s">
        <v>631</v>
      </c>
      <c r="D68" s="228">
        <v>6975</v>
      </c>
      <c r="E68" s="228">
        <v>12</v>
      </c>
      <c r="F68" s="228">
        <v>100.68</v>
      </c>
      <c r="G68" s="228">
        <v>101.13</v>
      </c>
      <c r="H68" s="228">
        <v>-0.45</v>
      </c>
      <c r="I68" s="229">
        <v>-4.4000000000000003E-3</v>
      </c>
      <c r="J68" s="228">
        <v>100.59</v>
      </c>
      <c r="K68" s="228">
        <v>100.95</v>
      </c>
      <c r="L68" s="228">
        <v>-0.36</v>
      </c>
      <c r="M68" s="229">
        <v>-3.5999999999999999E-3</v>
      </c>
      <c r="N68" s="228">
        <v>100.68</v>
      </c>
      <c r="O68" s="228">
        <v>101.13</v>
      </c>
      <c r="P68" s="228">
        <v>-0.45</v>
      </c>
      <c r="Q68" s="229">
        <v>-4.4000000000000003E-3</v>
      </c>
      <c r="R68" s="228">
        <v>101.33</v>
      </c>
      <c r="S68" s="228">
        <v>101.77</v>
      </c>
      <c r="T68" s="228">
        <v>-0.44</v>
      </c>
      <c r="U68" s="229">
        <v>-4.3E-3</v>
      </c>
      <c r="V68" s="228">
        <v>101.7</v>
      </c>
      <c r="W68" s="228">
        <v>102.09</v>
      </c>
      <c r="X68" s="228">
        <v>-0.39</v>
      </c>
      <c r="Y68" s="229">
        <v>-3.8E-3</v>
      </c>
      <c r="Z68" s="228">
        <v>0.09</v>
      </c>
      <c r="AA68" s="228">
        <v>0.18</v>
      </c>
      <c r="AB68" s="228">
        <v>-0.09</v>
      </c>
      <c r="AC68" s="229">
        <v>8.9999999999999998E-4</v>
      </c>
      <c r="AD68" s="228">
        <v>0.09</v>
      </c>
      <c r="AE68" s="228">
        <v>0.18</v>
      </c>
      <c r="AF68" s="228">
        <v>-0.09</v>
      </c>
      <c r="AG68" s="229">
        <v>8.9999999999999998E-4</v>
      </c>
      <c r="AH68" s="228">
        <v>0.74</v>
      </c>
      <c r="AI68" s="228">
        <v>0.82</v>
      </c>
      <c r="AJ68" s="228">
        <v>-0.08</v>
      </c>
      <c r="AK68" s="229">
        <v>7.4000000000000003E-3</v>
      </c>
      <c r="AL68" s="228">
        <v>1.1100000000000001</v>
      </c>
      <c r="AM68" s="228">
        <v>1.1399999999999999</v>
      </c>
      <c r="AN68" s="228">
        <v>-0.03</v>
      </c>
      <c r="AO68" s="229">
        <v>1.0999999999999999E-2</v>
      </c>
      <c r="AP68" s="228">
        <v>100.27</v>
      </c>
      <c r="AQ68" s="228">
        <v>100.93</v>
      </c>
      <c r="AR68" s="228">
        <v>0</v>
      </c>
      <c r="AS68" s="228">
        <v>243</v>
      </c>
      <c r="AT68" s="228">
        <v>298</v>
      </c>
      <c r="AU68" s="228">
        <v>-55</v>
      </c>
      <c r="AV68" s="229">
        <v>-0.18429999999999999</v>
      </c>
      <c r="AW68" s="228">
        <v>195</v>
      </c>
      <c r="AX68" s="228">
        <v>243</v>
      </c>
      <c r="AY68" s="228">
        <v>-48</v>
      </c>
      <c r="AZ68" s="229">
        <v>-0.19869999999999999</v>
      </c>
      <c r="BA68" s="228">
        <v>47</v>
      </c>
      <c r="BB68" s="228">
        <v>50</v>
      </c>
      <c r="BC68" s="228">
        <v>-3</v>
      </c>
      <c r="BD68" s="229">
        <v>-6.4699999999999994E-2</v>
      </c>
      <c r="BE68" s="228">
        <v>2</v>
      </c>
      <c r="BF68" s="228">
        <v>5</v>
      </c>
      <c r="BG68" s="228">
        <v>-3</v>
      </c>
      <c r="BH68" s="229">
        <v>-0.68569999999999998</v>
      </c>
      <c r="BI68" s="230">
        <v>1331</v>
      </c>
      <c r="BJ68" s="230">
        <v>1298</v>
      </c>
      <c r="BK68" s="228">
        <v>33</v>
      </c>
      <c r="BL68" s="229">
        <v>2.5499999999999998E-2</v>
      </c>
      <c r="BM68" s="228">
        <v>555</v>
      </c>
      <c r="BN68" s="228">
        <v>601</v>
      </c>
      <c r="BO68" s="228">
        <v>-46</v>
      </c>
      <c r="BP68" s="229">
        <v>-7.7200000000000005E-2</v>
      </c>
      <c r="BQ68" s="230">
        <v>2129</v>
      </c>
      <c r="BR68" s="230">
        <v>2197</v>
      </c>
      <c r="BS68" s="228">
        <v>-68</v>
      </c>
      <c r="BT68" s="229">
        <v>-3.1099999999999999E-2</v>
      </c>
      <c r="BU68" s="230">
        <v>7539349</v>
      </c>
      <c r="BV68" s="230">
        <v>11526107</v>
      </c>
      <c r="BW68" s="230">
        <v>-3986758</v>
      </c>
      <c r="BX68" s="229">
        <v>-0.34589999999999999</v>
      </c>
      <c r="BY68" s="230">
        <v>1740</v>
      </c>
      <c r="BZ68" s="230">
        <v>1745</v>
      </c>
      <c r="CA68" s="228">
        <v>-5</v>
      </c>
      <c r="CB68" s="229">
        <v>-2.7000000000000001E-3</v>
      </c>
      <c r="CC68" s="230">
        <v>1537</v>
      </c>
      <c r="CD68" s="230">
        <v>1559</v>
      </c>
      <c r="CE68" s="228">
        <v>-22</v>
      </c>
      <c r="CF68" s="229">
        <v>-1.3899999999999999E-2</v>
      </c>
      <c r="CG68" s="228">
        <v>178</v>
      </c>
      <c r="CH68" s="228">
        <v>162</v>
      </c>
      <c r="CI68" s="228">
        <v>17</v>
      </c>
      <c r="CJ68" s="229">
        <v>0.10249999999999999</v>
      </c>
      <c r="CK68" s="228">
        <v>25</v>
      </c>
      <c r="CL68" s="228">
        <v>24</v>
      </c>
      <c r="CM68" s="228">
        <v>0</v>
      </c>
      <c r="CN68" s="229">
        <v>1.7299999999999999E-2</v>
      </c>
      <c r="CO68" s="230">
        <v>1587</v>
      </c>
      <c r="CP68" s="230">
        <v>1511</v>
      </c>
      <c r="CQ68" s="228">
        <v>76</v>
      </c>
      <c r="CR68" s="229">
        <v>5.0500000000000003E-2</v>
      </c>
      <c r="CS68" s="228">
        <v>799</v>
      </c>
      <c r="CT68" s="228">
        <v>823</v>
      </c>
      <c r="CU68" s="228">
        <v>-24</v>
      </c>
      <c r="CV68" s="229">
        <v>-2.92E-2</v>
      </c>
      <c r="CW68" s="230">
        <v>4126</v>
      </c>
      <c r="CX68" s="230">
        <v>4078</v>
      </c>
      <c r="CY68" s="228">
        <v>48</v>
      </c>
      <c r="CZ68" s="229">
        <v>1.17E-2</v>
      </c>
      <c r="DA68" s="228">
        <v>27.28</v>
      </c>
      <c r="DB68" s="228">
        <v>28.38</v>
      </c>
      <c r="DC68" s="228">
        <v>-1.1000000000000001</v>
      </c>
      <c r="DD68" s="228">
        <v>-1.1000000000000001</v>
      </c>
      <c r="DE68" s="228">
        <v>37.1</v>
      </c>
      <c r="DF68" s="228">
        <v>37.19</v>
      </c>
      <c r="DG68" s="228">
        <v>-9.82</v>
      </c>
      <c r="DH68" s="228">
        <v>-0.09</v>
      </c>
      <c r="DI68" s="228">
        <v>28.4</v>
      </c>
      <c r="DJ68" s="228">
        <v>29.75</v>
      </c>
      <c r="DK68" s="228">
        <v>-1.35</v>
      </c>
      <c r="DL68" s="228">
        <v>-1.35</v>
      </c>
      <c r="DM68" s="228">
        <v>24.59</v>
      </c>
      <c r="DN68" s="228">
        <v>25.43</v>
      </c>
      <c r="DO68" s="228">
        <v>-0.84</v>
      </c>
      <c r="DP68" s="228">
        <v>-0.84</v>
      </c>
      <c r="DQ68" s="228">
        <v>0.5</v>
      </c>
      <c r="DR68" s="228">
        <v>0.54</v>
      </c>
      <c r="DS68" s="228">
        <v>-0.04</v>
      </c>
      <c r="DT68" s="229">
        <v>-7.4099999999999999E-2</v>
      </c>
      <c r="DU68" s="228">
        <v>110</v>
      </c>
      <c r="DV68" s="228">
        <v>97</v>
      </c>
      <c r="DW68" s="228">
        <v>0.42</v>
      </c>
      <c r="DX68" s="228">
        <v>0.46</v>
      </c>
      <c r="DY68" s="228">
        <v>-0.04</v>
      </c>
      <c r="DZ68" s="229">
        <v>-8.6999999999999994E-2</v>
      </c>
      <c r="EA68" s="229">
        <v>0.1167</v>
      </c>
      <c r="EB68" s="230">
        <v>18476775</v>
      </c>
      <c r="EC68" s="229">
        <v>6.4999999999999997E-3</v>
      </c>
      <c r="ED68" s="229">
        <v>0.1167</v>
      </c>
      <c r="EE68" s="228">
        <v>0.66</v>
      </c>
      <c r="EF68" s="229">
        <v>6.6E-3</v>
      </c>
      <c r="EG68" s="230">
        <v>3166604</v>
      </c>
      <c r="EH68" s="230">
        <v>5082304</v>
      </c>
      <c r="EI68" s="229">
        <v>-0.37690000000000001</v>
      </c>
      <c r="EJ68" s="229">
        <v>0.42</v>
      </c>
      <c r="EK68" s="231">
        <v>1405.17</v>
      </c>
      <c r="EL68" s="228">
        <v>548.91</v>
      </c>
      <c r="EM68" s="228">
        <v>242.39</v>
      </c>
      <c r="EN68" s="228">
        <v>71.55</v>
      </c>
      <c r="EO68" s="231">
        <v>2196.4699999999998</v>
      </c>
      <c r="EP68" s="231">
        <v>2293.4299999999998</v>
      </c>
      <c r="EQ68" s="228">
        <v>-96.96</v>
      </c>
      <c r="ER68" s="229">
        <v>-4.2299999999999997E-2</v>
      </c>
      <c r="ES68" s="231">
        <v>1696.13</v>
      </c>
      <c r="ET68" s="228">
        <v>793.87</v>
      </c>
      <c r="EU68" s="231">
        <v>1741.63</v>
      </c>
      <c r="EV68" s="231">
        <v>534704421</v>
      </c>
      <c r="EW68" s="231">
        <v>4231.63</v>
      </c>
      <c r="EX68" s="231">
        <v>4188.7</v>
      </c>
      <c r="EY68" s="228">
        <v>42.93</v>
      </c>
      <c r="EZ68" s="229">
        <v>1.0200000000000001E-2</v>
      </c>
      <c r="FA68" s="229">
        <v>0.76639999999999997</v>
      </c>
      <c r="FB68" s="227" t="s">
        <v>568</v>
      </c>
      <c r="FC68">
        <f t="shared" si="1"/>
        <v>203</v>
      </c>
    </row>
    <row r="69" spans="1:159" ht="17.25" thickBot="1" x14ac:dyDescent="0.3">
      <c r="A69" s="226">
        <v>46009</v>
      </c>
      <c r="B69" s="227" t="s">
        <v>168</v>
      </c>
      <c r="C69" s="227" t="s">
        <v>217</v>
      </c>
      <c r="D69" s="228">
        <v>500</v>
      </c>
      <c r="E69" s="228">
        <v>12</v>
      </c>
      <c r="F69" s="231">
        <v>1189.0999999999999</v>
      </c>
      <c r="G69" s="231">
        <v>1180.5</v>
      </c>
      <c r="H69" s="228">
        <v>8.6</v>
      </c>
      <c r="I69" s="229">
        <v>7.3000000000000001E-3</v>
      </c>
      <c r="J69" s="231">
        <v>1186.8</v>
      </c>
      <c r="K69" s="231">
        <v>1179.7</v>
      </c>
      <c r="L69" s="228">
        <v>7.1</v>
      </c>
      <c r="M69" s="229">
        <v>6.0000000000000001E-3</v>
      </c>
      <c r="N69" s="231">
        <v>1189.0999999999999</v>
      </c>
      <c r="O69" s="231">
        <v>1180.5</v>
      </c>
      <c r="P69" s="228">
        <v>8.6</v>
      </c>
      <c r="Q69" s="229">
        <v>7.3000000000000001E-3</v>
      </c>
      <c r="R69" s="231">
        <v>1196.5999999999999</v>
      </c>
      <c r="S69" s="231">
        <v>1187</v>
      </c>
      <c r="T69" s="228">
        <v>9.6</v>
      </c>
      <c r="U69" s="229">
        <v>8.0999999999999996E-3</v>
      </c>
      <c r="V69" s="231">
        <v>1192</v>
      </c>
      <c r="W69" s="231">
        <v>1189</v>
      </c>
      <c r="X69" s="228">
        <v>3</v>
      </c>
      <c r="Y69" s="229">
        <v>2.5000000000000001E-3</v>
      </c>
      <c r="Z69" s="228">
        <v>2.2999999999999998</v>
      </c>
      <c r="AA69" s="228">
        <v>0.8</v>
      </c>
      <c r="AB69" s="228">
        <v>1.5</v>
      </c>
      <c r="AC69" s="229">
        <v>1.9E-3</v>
      </c>
      <c r="AD69" s="228">
        <v>2.2999999999999998</v>
      </c>
      <c r="AE69" s="228">
        <v>0.8</v>
      </c>
      <c r="AF69" s="228">
        <v>1.5</v>
      </c>
      <c r="AG69" s="229">
        <v>1.9E-3</v>
      </c>
      <c r="AH69" s="228">
        <v>9.8000000000000007</v>
      </c>
      <c r="AI69" s="228">
        <v>7.3</v>
      </c>
      <c r="AJ69" s="228">
        <v>2.5</v>
      </c>
      <c r="AK69" s="229">
        <v>8.3000000000000001E-3</v>
      </c>
      <c r="AL69" s="228">
        <v>5.2</v>
      </c>
      <c r="AM69" s="228">
        <v>9.3000000000000007</v>
      </c>
      <c r="AN69" s="228">
        <v>-4.0999999999999996</v>
      </c>
      <c r="AO69" s="229">
        <v>4.4000000000000003E-3</v>
      </c>
      <c r="AP69" s="231">
        <v>1182.1099999999999</v>
      </c>
      <c r="AQ69" s="231">
        <v>1190.95</v>
      </c>
      <c r="AR69" s="228">
        <v>0</v>
      </c>
      <c r="AS69" s="228">
        <v>118</v>
      </c>
      <c r="AT69" s="228">
        <v>113</v>
      </c>
      <c r="AU69" s="228">
        <v>5</v>
      </c>
      <c r="AV69" s="229">
        <v>4.8000000000000001E-2</v>
      </c>
      <c r="AW69" s="228">
        <v>98</v>
      </c>
      <c r="AX69" s="228">
        <v>103</v>
      </c>
      <c r="AY69" s="228">
        <v>-5</v>
      </c>
      <c r="AZ69" s="229">
        <v>-5.2999999999999999E-2</v>
      </c>
      <c r="BA69" s="228">
        <v>20</v>
      </c>
      <c r="BB69" s="228">
        <v>9</v>
      </c>
      <c r="BC69" s="228">
        <v>11</v>
      </c>
      <c r="BD69" s="229">
        <v>1.2157</v>
      </c>
      <c r="BE69" s="228">
        <v>0</v>
      </c>
      <c r="BF69" s="228">
        <v>0</v>
      </c>
      <c r="BG69" s="228">
        <v>0</v>
      </c>
      <c r="BH69" s="229">
        <v>-0.6</v>
      </c>
      <c r="BI69" s="228">
        <v>267</v>
      </c>
      <c r="BJ69" s="228">
        <v>309</v>
      </c>
      <c r="BK69" s="228">
        <v>-43</v>
      </c>
      <c r="BL69" s="229">
        <v>-0.13850000000000001</v>
      </c>
      <c r="BM69" s="228">
        <v>149</v>
      </c>
      <c r="BN69" s="228">
        <v>151</v>
      </c>
      <c r="BO69" s="228">
        <v>-2</v>
      </c>
      <c r="BP69" s="229">
        <v>-1.54E-2</v>
      </c>
      <c r="BQ69" s="228">
        <v>533</v>
      </c>
      <c r="BR69" s="228">
        <v>573</v>
      </c>
      <c r="BS69" s="228">
        <v>-40</v>
      </c>
      <c r="BT69" s="229">
        <v>-6.9400000000000003E-2</v>
      </c>
      <c r="BU69" s="230">
        <v>550438</v>
      </c>
      <c r="BV69" s="230">
        <v>952482</v>
      </c>
      <c r="BW69" s="230">
        <v>-402044</v>
      </c>
      <c r="BX69" s="229">
        <v>-0.42209999999999998</v>
      </c>
      <c r="BY69" s="230">
        <v>1119</v>
      </c>
      <c r="BZ69" s="230">
        <v>1105</v>
      </c>
      <c r="CA69" s="228">
        <v>15</v>
      </c>
      <c r="CB69" s="229">
        <v>1.35E-2</v>
      </c>
      <c r="CC69" s="230">
        <v>1078</v>
      </c>
      <c r="CD69" s="230">
        <v>1077</v>
      </c>
      <c r="CE69" s="228">
        <v>1</v>
      </c>
      <c r="CF69" s="229">
        <v>5.9999999999999995E-4</v>
      </c>
      <c r="CG69" s="228">
        <v>40</v>
      </c>
      <c r="CH69" s="228">
        <v>26</v>
      </c>
      <c r="CI69" s="228">
        <v>14</v>
      </c>
      <c r="CJ69" s="229">
        <v>0.5615</v>
      </c>
      <c r="CK69" s="228">
        <v>1</v>
      </c>
      <c r="CL69" s="228">
        <v>1</v>
      </c>
      <c r="CM69" s="228">
        <v>0</v>
      </c>
      <c r="CN69" s="229">
        <v>-0.08</v>
      </c>
      <c r="CO69" s="228">
        <v>336</v>
      </c>
      <c r="CP69" s="228">
        <v>356</v>
      </c>
      <c r="CQ69" s="228">
        <v>-20</v>
      </c>
      <c r="CR69" s="229">
        <v>-5.5500000000000001E-2</v>
      </c>
      <c r="CS69" s="228">
        <v>235</v>
      </c>
      <c r="CT69" s="228">
        <v>230</v>
      </c>
      <c r="CU69" s="228">
        <v>6</v>
      </c>
      <c r="CV69" s="229">
        <v>2.5600000000000001E-2</v>
      </c>
      <c r="CW69" s="230">
        <v>1691</v>
      </c>
      <c r="CX69" s="230">
        <v>1690</v>
      </c>
      <c r="CY69" s="228">
        <v>1</v>
      </c>
      <c r="CZ69" s="229">
        <v>5.9999999999999995E-4</v>
      </c>
      <c r="DA69" s="228">
        <v>20.45</v>
      </c>
      <c r="DB69" s="228">
        <v>21.28</v>
      </c>
      <c r="DC69" s="228">
        <v>-0.83</v>
      </c>
      <c r="DD69" s="228">
        <v>-0.83</v>
      </c>
      <c r="DE69" s="228">
        <v>28.8</v>
      </c>
      <c r="DF69" s="228">
        <v>28.86</v>
      </c>
      <c r="DG69" s="228">
        <v>-8.35</v>
      </c>
      <c r="DH69" s="228">
        <v>-0.06</v>
      </c>
      <c r="DI69" s="228">
        <v>20.07</v>
      </c>
      <c r="DJ69" s="228">
        <v>20.99</v>
      </c>
      <c r="DK69" s="228">
        <v>-0.92</v>
      </c>
      <c r="DL69" s="228">
        <v>-0.92</v>
      </c>
      <c r="DM69" s="228">
        <v>21.12</v>
      </c>
      <c r="DN69" s="228">
        <v>21.87</v>
      </c>
      <c r="DO69" s="228">
        <v>-0.75</v>
      </c>
      <c r="DP69" s="228">
        <v>-0.75</v>
      </c>
      <c r="DQ69" s="228">
        <v>0.7</v>
      </c>
      <c r="DR69" s="228">
        <v>0.64</v>
      </c>
      <c r="DS69" s="228">
        <v>0.06</v>
      </c>
      <c r="DT69" s="229">
        <v>9.3700000000000006E-2</v>
      </c>
      <c r="DU69" s="231">
        <v>1200</v>
      </c>
      <c r="DV69" s="231">
        <v>1140</v>
      </c>
      <c r="DW69" s="228">
        <v>0.56000000000000005</v>
      </c>
      <c r="DX69" s="228">
        <v>0.49</v>
      </c>
      <c r="DY69" s="228">
        <v>7.0000000000000007E-2</v>
      </c>
      <c r="DZ69" s="229">
        <v>0.1429</v>
      </c>
      <c r="EA69" s="229">
        <v>3.6999999999999998E-2</v>
      </c>
      <c r="EB69" s="230">
        <v>228000</v>
      </c>
      <c r="EC69" s="229">
        <v>6.3E-3</v>
      </c>
      <c r="ED69" s="229">
        <v>3.6999999999999998E-2</v>
      </c>
      <c r="EE69" s="228">
        <v>8.84</v>
      </c>
      <c r="EF69" s="229">
        <v>7.4999999999999997E-3</v>
      </c>
      <c r="EG69" s="230">
        <v>295048</v>
      </c>
      <c r="EH69" s="230">
        <v>665268</v>
      </c>
      <c r="EI69" s="229">
        <v>-0.55649999999999999</v>
      </c>
      <c r="EJ69" s="229">
        <v>0.53600000000000003</v>
      </c>
      <c r="EK69" s="228">
        <v>274.07</v>
      </c>
      <c r="EL69" s="228">
        <v>145.01</v>
      </c>
      <c r="EM69" s="228">
        <v>117.53</v>
      </c>
      <c r="EN69" s="228">
        <v>36.07</v>
      </c>
      <c r="EO69" s="228">
        <v>536.62</v>
      </c>
      <c r="EP69" s="228">
        <v>576.95000000000005</v>
      </c>
      <c r="EQ69" s="228">
        <v>-40.33</v>
      </c>
      <c r="ER69" s="229">
        <v>-6.9900000000000004E-2</v>
      </c>
      <c r="ES69" s="228">
        <v>344.38</v>
      </c>
      <c r="ET69" s="228">
        <v>221.53</v>
      </c>
      <c r="EU69" s="231">
        <v>1119.73</v>
      </c>
      <c r="EV69" s="231">
        <v>58001204</v>
      </c>
      <c r="EW69" s="231">
        <v>1685.65</v>
      </c>
      <c r="EX69" s="231">
        <v>1676.67</v>
      </c>
      <c r="EY69" s="228">
        <v>8.98</v>
      </c>
      <c r="EZ69" s="229">
        <v>5.4000000000000003E-3</v>
      </c>
      <c r="FA69" s="229">
        <v>0.2452</v>
      </c>
      <c r="FB69" s="227" t="s">
        <v>555</v>
      </c>
      <c r="FC69">
        <f t="shared" si="1"/>
        <v>41</v>
      </c>
    </row>
    <row r="70" spans="1:159" ht="17.25" thickBot="1" x14ac:dyDescent="0.3">
      <c r="A70" s="226">
        <v>46009</v>
      </c>
      <c r="B70" s="227" t="s">
        <v>206</v>
      </c>
      <c r="C70" s="227" t="s">
        <v>218</v>
      </c>
      <c r="D70" s="228">
        <v>275</v>
      </c>
      <c r="E70" s="228">
        <v>12</v>
      </c>
      <c r="F70" s="231">
        <v>2005.5</v>
      </c>
      <c r="G70" s="231">
        <v>2018.7</v>
      </c>
      <c r="H70" s="228">
        <v>-13.2</v>
      </c>
      <c r="I70" s="229">
        <v>-6.4999999999999997E-3</v>
      </c>
      <c r="J70" s="231">
        <v>1999.8</v>
      </c>
      <c r="K70" s="231">
        <v>2014.9</v>
      </c>
      <c r="L70" s="228">
        <v>-15.1</v>
      </c>
      <c r="M70" s="229">
        <v>-7.4999999999999997E-3</v>
      </c>
      <c r="N70" s="231">
        <v>2005.5</v>
      </c>
      <c r="O70" s="231">
        <v>2018.7</v>
      </c>
      <c r="P70" s="228">
        <v>-13.2</v>
      </c>
      <c r="Q70" s="229">
        <v>-6.4999999999999997E-3</v>
      </c>
      <c r="R70" s="231">
        <v>2016.4</v>
      </c>
      <c r="S70" s="231">
        <v>2028.8</v>
      </c>
      <c r="T70" s="228">
        <v>-12.4</v>
      </c>
      <c r="U70" s="229">
        <v>-6.1000000000000004E-3</v>
      </c>
      <c r="V70" s="231">
        <v>2026.4</v>
      </c>
      <c r="W70" s="231">
        <v>2044</v>
      </c>
      <c r="X70" s="228">
        <v>-17.600000000000001</v>
      </c>
      <c r="Y70" s="229">
        <v>-8.6E-3</v>
      </c>
      <c r="Z70" s="228">
        <v>5.7</v>
      </c>
      <c r="AA70" s="228">
        <v>3.8</v>
      </c>
      <c r="AB70" s="228">
        <v>1.9</v>
      </c>
      <c r="AC70" s="229">
        <v>2.8999999999999998E-3</v>
      </c>
      <c r="AD70" s="228">
        <v>5.7</v>
      </c>
      <c r="AE70" s="228">
        <v>3.8</v>
      </c>
      <c r="AF70" s="228">
        <v>1.9</v>
      </c>
      <c r="AG70" s="229">
        <v>2.8999999999999998E-3</v>
      </c>
      <c r="AH70" s="228">
        <v>16.600000000000001</v>
      </c>
      <c r="AI70" s="228">
        <v>13.9</v>
      </c>
      <c r="AJ70" s="228">
        <v>2.7</v>
      </c>
      <c r="AK70" s="229">
        <v>8.3000000000000001E-3</v>
      </c>
      <c r="AL70" s="228">
        <v>26.6</v>
      </c>
      <c r="AM70" s="228">
        <v>29.1</v>
      </c>
      <c r="AN70" s="228">
        <v>-2.5</v>
      </c>
      <c r="AO70" s="229">
        <v>1.3299999999999999E-2</v>
      </c>
      <c r="AP70" s="231">
        <v>2008.78</v>
      </c>
      <c r="AQ70" s="231">
        <v>2017.22</v>
      </c>
      <c r="AR70" s="228">
        <v>0</v>
      </c>
      <c r="AS70" s="228">
        <v>236</v>
      </c>
      <c r="AT70" s="228">
        <v>268</v>
      </c>
      <c r="AU70" s="228">
        <v>-32</v>
      </c>
      <c r="AV70" s="229">
        <v>-0.1182</v>
      </c>
      <c r="AW70" s="228">
        <v>187</v>
      </c>
      <c r="AX70" s="228">
        <v>169</v>
      </c>
      <c r="AY70" s="228">
        <v>18</v>
      </c>
      <c r="AZ70" s="229">
        <v>0.1067</v>
      </c>
      <c r="BA70" s="228">
        <v>48</v>
      </c>
      <c r="BB70" s="228">
        <v>97</v>
      </c>
      <c r="BC70" s="228">
        <v>-49</v>
      </c>
      <c r="BD70" s="229">
        <v>-0.50309999999999999</v>
      </c>
      <c r="BE70" s="228">
        <v>1</v>
      </c>
      <c r="BF70" s="228">
        <v>2</v>
      </c>
      <c r="BG70" s="228">
        <v>-1</v>
      </c>
      <c r="BH70" s="229">
        <v>-0.5</v>
      </c>
      <c r="BI70" s="228">
        <v>556</v>
      </c>
      <c r="BJ70" s="228">
        <v>227</v>
      </c>
      <c r="BK70" s="228">
        <v>329</v>
      </c>
      <c r="BL70" s="229">
        <v>1.4487000000000001</v>
      </c>
      <c r="BM70" s="228">
        <v>170</v>
      </c>
      <c r="BN70" s="228">
        <v>137</v>
      </c>
      <c r="BO70" s="228">
        <v>33</v>
      </c>
      <c r="BP70" s="229">
        <v>0.2409</v>
      </c>
      <c r="BQ70" s="228">
        <v>962</v>
      </c>
      <c r="BR70" s="228">
        <v>632</v>
      </c>
      <c r="BS70" s="228">
        <v>330</v>
      </c>
      <c r="BT70" s="229">
        <v>0.52229999999999999</v>
      </c>
      <c r="BU70" s="230">
        <v>598349</v>
      </c>
      <c r="BV70" s="230">
        <v>289979</v>
      </c>
      <c r="BW70" s="230">
        <v>308370</v>
      </c>
      <c r="BX70" s="229">
        <v>1.0633999999999999</v>
      </c>
      <c r="BY70" s="230">
        <v>1859</v>
      </c>
      <c r="BZ70" s="230">
        <v>1826</v>
      </c>
      <c r="CA70" s="228">
        <v>33</v>
      </c>
      <c r="CB70" s="229">
        <v>1.83E-2</v>
      </c>
      <c r="CC70" s="230">
        <v>1677</v>
      </c>
      <c r="CD70" s="230">
        <v>1668</v>
      </c>
      <c r="CE70" s="228">
        <v>9</v>
      </c>
      <c r="CF70" s="229">
        <v>5.4000000000000003E-3</v>
      </c>
      <c r="CG70" s="228">
        <v>166</v>
      </c>
      <c r="CH70" s="228">
        <v>142</v>
      </c>
      <c r="CI70" s="228">
        <v>24</v>
      </c>
      <c r="CJ70" s="229">
        <v>0.17219999999999999</v>
      </c>
      <c r="CK70" s="228">
        <v>16</v>
      </c>
      <c r="CL70" s="228">
        <v>16</v>
      </c>
      <c r="CM70" s="228">
        <v>0</v>
      </c>
      <c r="CN70" s="229">
        <v>3.5000000000000001E-3</v>
      </c>
      <c r="CO70" s="228">
        <v>692</v>
      </c>
      <c r="CP70" s="228">
        <v>678</v>
      </c>
      <c r="CQ70" s="228">
        <v>14</v>
      </c>
      <c r="CR70" s="229">
        <v>2.1000000000000001E-2</v>
      </c>
      <c r="CS70" s="228">
        <v>402</v>
      </c>
      <c r="CT70" s="228">
        <v>406</v>
      </c>
      <c r="CU70" s="228">
        <v>-4</v>
      </c>
      <c r="CV70" s="229">
        <v>-8.9999999999999993E-3</v>
      </c>
      <c r="CW70" s="230">
        <v>2954</v>
      </c>
      <c r="CX70" s="230">
        <v>2910</v>
      </c>
      <c r="CY70" s="228">
        <v>44</v>
      </c>
      <c r="CZ70" s="229">
        <v>1.5100000000000001E-2</v>
      </c>
      <c r="DA70" s="228">
        <v>27.82</v>
      </c>
      <c r="DB70" s="228">
        <v>27.34</v>
      </c>
      <c r="DC70" s="228">
        <v>0.48</v>
      </c>
      <c r="DD70" s="228">
        <v>0.48</v>
      </c>
      <c r="DE70" s="228">
        <v>42.34</v>
      </c>
      <c r="DF70" s="228">
        <v>42.44</v>
      </c>
      <c r="DG70" s="228">
        <v>-14.52</v>
      </c>
      <c r="DH70" s="228">
        <v>-0.1</v>
      </c>
      <c r="DI70" s="228">
        <v>28.15</v>
      </c>
      <c r="DJ70" s="228">
        <v>28.14</v>
      </c>
      <c r="DK70" s="228">
        <v>0.01</v>
      </c>
      <c r="DL70" s="228">
        <v>0.01</v>
      </c>
      <c r="DM70" s="228">
        <v>26.73</v>
      </c>
      <c r="DN70" s="228">
        <v>26.03</v>
      </c>
      <c r="DO70" s="228">
        <v>0.7</v>
      </c>
      <c r="DP70" s="228">
        <v>0.7</v>
      </c>
      <c r="DQ70" s="228">
        <v>0.57999999999999996</v>
      </c>
      <c r="DR70" s="228">
        <v>0.6</v>
      </c>
      <c r="DS70" s="228">
        <v>-0.02</v>
      </c>
      <c r="DT70" s="229">
        <v>-3.3300000000000003E-2</v>
      </c>
      <c r="DU70" s="231">
        <v>2100</v>
      </c>
      <c r="DV70" s="231">
        <v>2100</v>
      </c>
      <c r="DW70" s="228">
        <v>0.31</v>
      </c>
      <c r="DX70" s="228">
        <v>0.61</v>
      </c>
      <c r="DY70" s="228">
        <v>-0.3</v>
      </c>
      <c r="DZ70" s="229">
        <v>-0.49180000000000001</v>
      </c>
      <c r="EA70" s="229">
        <v>9.7699999999999995E-2</v>
      </c>
      <c r="EB70" s="230">
        <v>783475</v>
      </c>
      <c r="EC70" s="229">
        <v>5.4000000000000003E-3</v>
      </c>
      <c r="ED70" s="229">
        <v>9.7699999999999995E-2</v>
      </c>
      <c r="EE70" s="228">
        <v>8.44</v>
      </c>
      <c r="EF70" s="229">
        <v>4.1999999999999997E-3</v>
      </c>
      <c r="EG70" s="230">
        <v>336520</v>
      </c>
      <c r="EH70" s="230">
        <v>136800</v>
      </c>
      <c r="EI70" s="229">
        <v>1.4599</v>
      </c>
      <c r="EJ70" s="229">
        <v>0.56240000000000001</v>
      </c>
      <c r="EK70" s="228">
        <v>586.01</v>
      </c>
      <c r="EL70" s="228">
        <v>168.89</v>
      </c>
      <c r="EM70" s="228">
        <v>236.75</v>
      </c>
      <c r="EN70" s="228">
        <v>33.340000000000003</v>
      </c>
      <c r="EO70" s="228">
        <v>991.65</v>
      </c>
      <c r="EP70" s="228">
        <v>650.30999999999995</v>
      </c>
      <c r="EQ70" s="228">
        <v>341.34</v>
      </c>
      <c r="ER70" s="229">
        <v>0.52490000000000003</v>
      </c>
      <c r="ES70" s="228">
        <v>738.76</v>
      </c>
      <c r="ET70" s="228">
        <v>403.3</v>
      </c>
      <c r="EU70" s="231">
        <v>1860.1</v>
      </c>
      <c r="EV70" s="231">
        <v>24082879</v>
      </c>
      <c r="EW70" s="231">
        <v>3002.16</v>
      </c>
      <c r="EX70" s="231">
        <v>2972.16</v>
      </c>
      <c r="EY70" s="228">
        <v>30</v>
      </c>
      <c r="EZ70" s="229">
        <v>1.01E-2</v>
      </c>
      <c r="FA70" s="229">
        <v>0.61150000000000004</v>
      </c>
      <c r="FB70" s="227" t="s">
        <v>567</v>
      </c>
      <c r="FC70">
        <f t="shared" si="1"/>
        <v>182</v>
      </c>
    </row>
    <row r="71" spans="1:159" ht="17.25" thickBot="1" x14ac:dyDescent="0.3">
      <c r="A71" s="226">
        <v>46009</v>
      </c>
      <c r="B71" s="227" t="s">
        <v>157</v>
      </c>
      <c r="C71" s="227" t="s">
        <v>219</v>
      </c>
      <c r="D71" s="228">
        <v>250</v>
      </c>
      <c r="E71" s="228">
        <v>12</v>
      </c>
      <c r="F71" s="231">
        <v>2812</v>
      </c>
      <c r="G71" s="231">
        <v>2813.1</v>
      </c>
      <c r="H71" s="228">
        <v>-1.1000000000000001</v>
      </c>
      <c r="I71" s="229">
        <v>-4.0000000000000002E-4</v>
      </c>
      <c r="J71" s="231">
        <v>2807.6</v>
      </c>
      <c r="K71" s="231">
        <v>2806.6</v>
      </c>
      <c r="L71" s="228">
        <v>1</v>
      </c>
      <c r="M71" s="229">
        <v>4.0000000000000002E-4</v>
      </c>
      <c r="N71" s="231">
        <v>2812</v>
      </c>
      <c r="O71" s="231">
        <v>2813.1</v>
      </c>
      <c r="P71" s="228">
        <v>-1.1000000000000001</v>
      </c>
      <c r="Q71" s="229">
        <v>-4.0000000000000002E-4</v>
      </c>
      <c r="R71" s="231">
        <v>2830.4</v>
      </c>
      <c r="S71" s="231">
        <v>2830.9</v>
      </c>
      <c r="T71" s="228">
        <v>-0.5</v>
      </c>
      <c r="U71" s="229">
        <v>-2.0000000000000001E-4</v>
      </c>
      <c r="V71" s="231">
        <v>2847</v>
      </c>
      <c r="W71" s="231">
        <v>2836.3</v>
      </c>
      <c r="X71" s="228">
        <v>10.7</v>
      </c>
      <c r="Y71" s="229">
        <v>3.8E-3</v>
      </c>
      <c r="Z71" s="228">
        <v>4.4000000000000004</v>
      </c>
      <c r="AA71" s="228">
        <v>6.5</v>
      </c>
      <c r="AB71" s="228">
        <v>-2.1</v>
      </c>
      <c r="AC71" s="229">
        <v>1.6000000000000001E-3</v>
      </c>
      <c r="AD71" s="228">
        <v>4.4000000000000004</v>
      </c>
      <c r="AE71" s="228">
        <v>6.5</v>
      </c>
      <c r="AF71" s="228">
        <v>-2.1</v>
      </c>
      <c r="AG71" s="229">
        <v>1.6000000000000001E-3</v>
      </c>
      <c r="AH71" s="228">
        <v>22.8</v>
      </c>
      <c r="AI71" s="228">
        <v>24.3</v>
      </c>
      <c r="AJ71" s="228">
        <v>-1.5</v>
      </c>
      <c r="AK71" s="229">
        <v>8.0999999999999996E-3</v>
      </c>
      <c r="AL71" s="228">
        <v>39.4</v>
      </c>
      <c r="AM71" s="228">
        <v>29.7</v>
      </c>
      <c r="AN71" s="228">
        <v>9.6999999999999993</v>
      </c>
      <c r="AO71" s="229">
        <v>1.4E-2</v>
      </c>
      <c r="AP71" s="231">
        <v>2812.54</v>
      </c>
      <c r="AQ71" s="231">
        <v>2830.09</v>
      </c>
      <c r="AR71" s="228">
        <v>0</v>
      </c>
      <c r="AS71" s="228">
        <v>224</v>
      </c>
      <c r="AT71" s="228">
        <v>276</v>
      </c>
      <c r="AU71" s="228">
        <v>-52</v>
      </c>
      <c r="AV71" s="229">
        <v>-0.18840000000000001</v>
      </c>
      <c r="AW71" s="228">
        <v>173</v>
      </c>
      <c r="AX71" s="228">
        <v>193</v>
      </c>
      <c r="AY71" s="228">
        <v>-20</v>
      </c>
      <c r="AZ71" s="229">
        <v>-0.1041</v>
      </c>
      <c r="BA71" s="228">
        <v>50</v>
      </c>
      <c r="BB71" s="228">
        <v>83</v>
      </c>
      <c r="BC71" s="228">
        <v>-33</v>
      </c>
      <c r="BD71" s="229">
        <v>-0.39729999999999999</v>
      </c>
      <c r="BE71" s="228">
        <v>1</v>
      </c>
      <c r="BF71" s="228">
        <v>0</v>
      </c>
      <c r="BG71" s="228">
        <v>1</v>
      </c>
      <c r="BH71" s="229">
        <v>5</v>
      </c>
      <c r="BI71" s="228">
        <v>359</v>
      </c>
      <c r="BJ71" s="228">
        <v>363</v>
      </c>
      <c r="BK71" s="228">
        <v>-4</v>
      </c>
      <c r="BL71" s="229">
        <v>-1.18E-2</v>
      </c>
      <c r="BM71" s="228">
        <v>191</v>
      </c>
      <c r="BN71" s="228">
        <v>192</v>
      </c>
      <c r="BO71" s="228">
        <v>-1</v>
      </c>
      <c r="BP71" s="229">
        <v>-5.1000000000000004E-3</v>
      </c>
      <c r="BQ71" s="228">
        <v>774</v>
      </c>
      <c r="BR71" s="228">
        <v>831</v>
      </c>
      <c r="BS71" s="228">
        <v>-57</v>
      </c>
      <c r="BT71" s="229">
        <v>-6.9000000000000006E-2</v>
      </c>
      <c r="BU71" s="230">
        <v>261897</v>
      </c>
      <c r="BV71" s="230">
        <v>424509</v>
      </c>
      <c r="BW71" s="230">
        <v>-162612</v>
      </c>
      <c r="BX71" s="229">
        <v>-0.3831</v>
      </c>
      <c r="BY71" s="230">
        <v>4508</v>
      </c>
      <c r="BZ71" s="230">
        <v>4492</v>
      </c>
      <c r="CA71" s="228">
        <v>16</v>
      </c>
      <c r="CB71" s="229">
        <v>3.5999999999999999E-3</v>
      </c>
      <c r="CC71" s="230">
        <v>4137</v>
      </c>
      <c r="CD71" s="230">
        <v>4159</v>
      </c>
      <c r="CE71" s="228">
        <v>-22</v>
      </c>
      <c r="CF71" s="229">
        <v>-5.3E-3</v>
      </c>
      <c r="CG71" s="228">
        <v>367</v>
      </c>
      <c r="CH71" s="228">
        <v>329</v>
      </c>
      <c r="CI71" s="228">
        <v>37</v>
      </c>
      <c r="CJ71" s="229">
        <v>0.1133</v>
      </c>
      <c r="CK71" s="228">
        <v>5</v>
      </c>
      <c r="CL71" s="228">
        <v>4</v>
      </c>
      <c r="CM71" s="228">
        <v>1</v>
      </c>
      <c r="CN71" s="229">
        <v>0.25419999999999998</v>
      </c>
      <c r="CO71" s="228">
        <v>614</v>
      </c>
      <c r="CP71" s="228">
        <v>616</v>
      </c>
      <c r="CQ71" s="228">
        <v>-3</v>
      </c>
      <c r="CR71" s="229">
        <v>-4.4000000000000003E-3</v>
      </c>
      <c r="CS71" s="228">
        <v>670</v>
      </c>
      <c r="CT71" s="228">
        <v>673</v>
      </c>
      <c r="CU71" s="228">
        <v>-3</v>
      </c>
      <c r="CV71" s="229">
        <v>-4.0000000000000001E-3</v>
      </c>
      <c r="CW71" s="230">
        <v>5792</v>
      </c>
      <c r="CX71" s="230">
        <v>5782</v>
      </c>
      <c r="CY71" s="228">
        <v>11</v>
      </c>
      <c r="CZ71" s="229">
        <v>1.9E-3</v>
      </c>
      <c r="DA71" s="228">
        <v>15.88</v>
      </c>
      <c r="DB71" s="228">
        <v>16.62</v>
      </c>
      <c r="DC71" s="228">
        <v>-0.74</v>
      </c>
      <c r="DD71" s="228">
        <v>-0.74</v>
      </c>
      <c r="DE71" s="228">
        <v>25.49</v>
      </c>
      <c r="DF71" s="228">
        <v>25.55</v>
      </c>
      <c r="DG71" s="228">
        <v>-9.61</v>
      </c>
      <c r="DH71" s="228">
        <v>-0.06</v>
      </c>
      <c r="DI71" s="228">
        <v>15.51</v>
      </c>
      <c r="DJ71" s="228">
        <v>16.91</v>
      </c>
      <c r="DK71" s="228">
        <v>-1.4</v>
      </c>
      <c r="DL71" s="228">
        <v>-1.4</v>
      </c>
      <c r="DM71" s="228">
        <v>16.59</v>
      </c>
      <c r="DN71" s="228">
        <v>16.059999999999999</v>
      </c>
      <c r="DO71" s="228">
        <v>0.53</v>
      </c>
      <c r="DP71" s="228">
        <v>0.53</v>
      </c>
      <c r="DQ71" s="228">
        <v>1.0900000000000001</v>
      </c>
      <c r="DR71" s="228">
        <v>1.0900000000000001</v>
      </c>
      <c r="DS71" s="228">
        <v>0</v>
      </c>
      <c r="DT71" s="229">
        <v>0</v>
      </c>
      <c r="DU71" s="231">
        <v>2800</v>
      </c>
      <c r="DV71" s="231">
        <v>2700</v>
      </c>
      <c r="DW71" s="228">
        <v>0.53</v>
      </c>
      <c r="DX71" s="228">
        <v>0.53</v>
      </c>
      <c r="DY71" s="228">
        <v>0</v>
      </c>
      <c r="DZ71" s="229">
        <v>0</v>
      </c>
      <c r="EA71" s="229">
        <v>8.2500000000000004E-2</v>
      </c>
      <c r="EB71" s="230">
        <v>1186000</v>
      </c>
      <c r="EC71" s="229">
        <v>6.4999999999999997E-3</v>
      </c>
      <c r="ED71" s="229">
        <v>8.2500000000000004E-2</v>
      </c>
      <c r="EE71" s="228">
        <v>17.55</v>
      </c>
      <c r="EF71" s="229">
        <v>6.1999999999999998E-3</v>
      </c>
      <c r="EG71" s="230">
        <v>149270</v>
      </c>
      <c r="EH71" s="230">
        <v>311950</v>
      </c>
      <c r="EI71" s="229">
        <v>-0.52149999999999996</v>
      </c>
      <c r="EJ71" s="229">
        <v>0.56999999999999995</v>
      </c>
      <c r="EK71" s="228">
        <v>365.62</v>
      </c>
      <c r="EL71" s="228">
        <v>187.37</v>
      </c>
      <c r="EM71" s="228">
        <v>224.77</v>
      </c>
      <c r="EN71" s="228">
        <v>56.92</v>
      </c>
      <c r="EO71" s="228">
        <v>777.75</v>
      </c>
      <c r="EP71" s="228">
        <v>840.66</v>
      </c>
      <c r="EQ71" s="228">
        <v>-62.91</v>
      </c>
      <c r="ER71" s="229">
        <v>-7.4800000000000005E-2</v>
      </c>
      <c r="ES71" s="228">
        <v>627.82000000000005</v>
      </c>
      <c r="ET71" s="228">
        <v>643.57000000000005</v>
      </c>
      <c r="EU71" s="231">
        <v>4510.87</v>
      </c>
      <c r="EV71" s="231">
        <v>38514157</v>
      </c>
      <c r="EW71" s="231">
        <v>5782.27</v>
      </c>
      <c r="EX71" s="231">
        <v>5772.77</v>
      </c>
      <c r="EY71" s="228">
        <v>9.5</v>
      </c>
      <c r="EZ71" s="229">
        <v>1.6000000000000001E-3</v>
      </c>
      <c r="FA71" s="229">
        <v>0.53480000000000005</v>
      </c>
      <c r="FB71" s="227" t="s">
        <v>567</v>
      </c>
      <c r="FC71">
        <f t="shared" si="1"/>
        <v>371</v>
      </c>
    </row>
    <row r="72" spans="1:159" ht="17.25" thickBot="1" x14ac:dyDescent="0.3">
      <c r="A72" s="226">
        <v>46009</v>
      </c>
      <c r="B72" s="227" t="s">
        <v>184</v>
      </c>
      <c r="C72" s="227" t="s">
        <v>513</v>
      </c>
      <c r="D72" s="228">
        <v>150</v>
      </c>
      <c r="E72" s="228">
        <v>12</v>
      </c>
      <c r="F72" s="231">
        <v>4263</v>
      </c>
      <c r="G72" s="231">
        <v>4242.1000000000004</v>
      </c>
      <c r="H72" s="228">
        <v>20.9</v>
      </c>
      <c r="I72" s="229">
        <v>4.8999999999999998E-3</v>
      </c>
      <c r="J72" s="231">
        <v>4259.5</v>
      </c>
      <c r="K72" s="231">
        <v>4228.3999999999996</v>
      </c>
      <c r="L72" s="228">
        <v>31.1</v>
      </c>
      <c r="M72" s="229">
        <v>7.4000000000000003E-3</v>
      </c>
      <c r="N72" s="231">
        <v>4263</v>
      </c>
      <c r="O72" s="231">
        <v>4242.1000000000004</v>
      </c>
      <c r="P72" s="228">
        <v>20.9</v>
      </c>
      <c r="Q72" s="229">
        <v>4.8999999999999998E-3</v>
      </c>
      <c r="R72" s="231">
        <v>4289.6000000000004</v>
      </c>
      <c r="S72" s="231">
        <v>4267.3</v>
      </c>
      <c r="T72" s="228">
        <v>22.3</v>
      </c>
      <c r="U72" s="229">
        <v>5.1999999999999998E-3</v>
      </c>
      <c r="V72" s="231">
        <v>4300.6000000000004</v>
      </c>
      <c r="W72" s="231">
        <v>4277.8999999999996</v>
      </c>
      <c r="X72" s="228">
        <v>22.7</v>
      </c>
      <c r="Y72" s="229">
        <v>5.3E-3</v>
      </c>
      <c r="Z72" s="228">
        <v>3.5</v>
      </c>
      <c r="AA72" s="228">
        <v>13.7</v>
      </c>
      <c r="AB72" s="228">
        <v>-10.199999999999999</v>
      </c>
      <c r="AC72" s="229">
        <v>8.0000000000000004E-4</v>
      </c>
      <c r="AD72" s="228">
        <v>3.5</v>
      </c>
      <c r="AE72" s="228">
        <v>13.7</v>
      </c>
      <c r="AF72" s="228">
        <v>-10.199999999999999</v>
      </c>
      <c r="AG72" s="229">
        <v>8.0000000000000004E-4</v>
      </c>
      <c r="AH72" s="228">
        <v>30.1</v>
      </c>
      <c r="AI72" s="228">
        <v>38.9</v>
      </c>
      <c r="AJ72" s="228">
        <v>-8.8000000000000007</v>
      </c>
      <c r="AK72" s="229">
        <v>7.1000000000000004E-3</v>
      </c>
      <c r="AL72" s="228">
        <v>41.1</v>
      </c>
      <c r="AM72" s="228">
        <v>49.5</v>
      </c>
      <c r="AN72" s="228">
        <v>-8.4</v>
      </c>
      <c r="AO72" s="229">
        <v>9.5999999999999992E-3</v>
      </c>
      <c r="AP72" s="231">
        <v>4246.33</v>
      </c>
      <c r="AQ72" s="231">
        <v>4270.87</v>
      </c>
      <c r="AR72" s="228">
        <v>0</v>
      </c>
      <c r="AS72" s="228">
        <v>427</v>
      </c>
      <c r="AT72" s="228">
        <v>311</v>
      </c>
      <c r="AU72" s="228">
        <v>116</v>
      </c>
      <c r="AV72" s="229">
        <v>0.37369999999999998</v>
      </c>
      <c r="AW72" s="228">
        <v>308</v>
      </c>
      <c r="AX72" s="228">
        <v>223</v>
      </c>
      <c r="AY72" s="228">
        <v>85</v>
      </c>
      <c r="AZ72" s="229">
        <v>0.38059999999999999</v>
      </c>
      <c r="BA72" s="228">
        <v>109</v>
      </c>
      <c r="BB72" s="228">
        <v>80</v>
      </c>
      <c r="BC72" s="228">
        <v>29</v>
      </c>
      <c r="BD72" s="229">
        <v>0.35699999999999998</v>
      </c>
      <c r="BE72" s="228">
        <v>11</v>
      </c>
      <c r="BF72" s="228">
        <v>8</v>
      </c>
      <c r="BG72" s="228">
        <v>3</v>
      </c>
      <c r="BH72" s="229">
        <v>0.3468</v>
      </c>
      <c r="BI72" s="230">
        <v>2966</v>
      </c>
      <c r="BJ72" s="230">
        <v>2639</v>
      </c>
      <c r="BK72" s="228">
        <v>327</v>
      </c>
      <c r="BL72" s="229">
        <v>0.124</v>
      </c>
      <c r="BM72" s="230">
        <v>1368</v>
      </c>
      <c r="BN72" s="230">
        <v>1172</v>
      </c>
      <c r="BO72" s="228">
        <v>196</v>
      </c>
      <c r="BP72" s="229">
        <v>0.16739999999999999</v>
      </c>
      <c r="BQ72" s="230">
        <v>4762</v>
      </c>
      <c r="BR72" s="230">
        <v>4122</v>
      </c>
      <c r="BS72" s="228">
        <v>640</v>
      </c>
      <c r="BT72" s="229">
        <v>0.1552</v>
      </c>
      <c r="BU72" s="230">
        <v>583980</v>
      </c>
      <c r="BV72" s="230">
        <v>669193</v>
      </c>
      <c r="BW72" s="230">
        <v>-85213</v>
      </c>
      <c r="BX72" s="229">
        <v>-0.1273</v>
      </c>
      <c r="BY72" s="230">
        <v>4437</v>
      </c>
      <c r="BZ72" s="230">
        <v>4457</v>
      </c>
      <c r="CA72" s="228">
        <v>-20</v>
      </c>
      <c r="CB72" s="229">
        <v>-4.4999999999999997E-3</v>
      </c>
      <c r="CC72" s="230">
        <v>3879</v>
      </c>
      <c r="CD72" s="230">
        <v>3942</v>
      </c>
      <c r="CE72" s="228">
        <v>-63</v>
      </c>
      <c r="CF72" s="229">
        <v>-1.5900000000000001E-2</v>
      </c>
      <c r="CG72" s="228">
        <v>489</v>
      </c>
      <c r="CH72" s="228">
        <v>448</v>
      </c>
      <c r="CI72" s="228">
        <v>41</v>
      </c>
      <c r="CJ72" s="229">
        <v>9.1300000000000006E-2</v>
      </c>
      <c r="CK72" s="228">
        <v>69</v>
      </c>
      <c r="CL72" s="228">
        <v>67</v>
      </c>
      <c r="CM72" s="228">
        <v>2</v>
      </c>
      <c r="CN72" s="229">
        <v>2.4799999999999999E-2</v>
      </c>
      <c r="CO72" s="230">
        <v>3764</v>
      </c>
      <c r="CP72" s="230">
        <v>3897</v>
      </c>
      <c r="CQ72" s="228">
        <v>-132</v>
      </c>
      <c r="CR72" s="229">
        <v>-3.4000000000000002E-2</v>
      </c>
      <c r="CS72" s="230">
        <v>1963</v>
      </c>
      <c r="CT72" s="230">
        <v>1923</v>
      </c>
      <c r="CU72" s="228">
        <v>39</v>
      </c>
      <c r="CV72" s="229">
        <v>2.0400000000000001E-2</v>
      </c>
      <c r="CW72" s="230">
        <v>10164</v>
      </c>
      <c r="CX72" s="230">
        <v>10278</v>
      </c>
      <c r="CY72" s="228">
        <v>-113</v>
      </c>
      <c r="CZ72" s="229">
        <v>-1.0999999999999999E-2</v>
      </c>
      <c r="DA72" s="228">
        <v>23.91</v>
      </c>
      <c r="DB72" s="228">
        <v>25.34</v>
      </c>
      <c r="DC72" s="228">
        <v>-1.43</v>
      </c>
      <c r="DD72" s="228">
        <v>-1.43</v>
      </c>
      <c r="DE72" s="228">
        <v>37.630000000000003</v>
      </c>
      <c r="DF72" s="228">
        <v>37.72</v>
      </c>
      <c r="DG72" s="228">
        <v>-13.72</v>
      </c>
      <c r="DH72" s="228">
        <v>-0.09</v>
      </c>
      <c r="DI72" s="228">
        <v>24.42</v>
      </c>
      <c r="DJ72" s="228">
        <v>26.25</v>
      </c>
      <c r="DK72" s="228">
        <v>-1.83</v>
      </c>
      <c r="DL72" s="228">
        <v>-1.83</v>
      </c>
      <c r="DM72" s="228">
        <v>22.82</v>
      </c>
      <c r="DN72" s="228">
        <v>23.29</v>
      </c>
      <c r="DO72" s="228">
        <v>-0.47</v>
      </c>
      <c r="DP72" s="228">
        <v>-0.47</v>
      </c>
      <c r="DQ72" s="228">
        <v>0.52</v>
      </c>
      <c r="DR72" s="228">
        <v>0.49</v>
      </c>
      <c r="DS72" s="228">
        <v>0.03</v>
      </c>
      <c r="DT72" s="229">
        <v>6.1199999999999997E-2</v>
      </c>
      <c r="DU72" s="231">
        <v>4500</v>
      </c>
      <c r="DV72" s="231">
        <v>4500</v>
      </c>
      <c r="DW72" s="228">
        <v>0.46</v>
      </c>
      <c r="DX72" s="228">
        <v>0.44</v>
      </c>
      <c r="DY72" s="228">
        <v>0.02</v>
      </c>
      <c r="DZ72" s="229">
        <v>4.5499999999999999E-2</v>
      </c>
      <c r="EA72" s="229">
        <v>0.1258</v>
      </c>
      <c r="EB72" s="230">
        <v>1209300</v>
      </c>
      <c r="EC72" s="229">
        <v>6.1999999999999998E-3</v>
      </c>
      <c r="ED72" s="229">
        <v>0.1258</v>
      </c>
      <c r="EE72" s="228">
        <v>24.54</v>
      </c>
      <c r="EF72" s="229">
        <v>5.7999999999999996E-3</v>
      </c>
      <c r="EG72" s="230">
        <v>264516</v>
      </c>
      <c r="EH72" s="230">
        <v>348088</v>
      </c>
      <c r="EI72" s="229">
        <v>-0.24010000000000001</v>
      </c>
      <c r="EJ72" s="229">
        <v>0.45300000000000001</v>
      </c>
      <c r="EK72" s="231">
        <v>3107.92</v>
      </c>
      <c r="EL72" s="231">
        <v>1362.1</v>
      </c>
      <c r="EM72" s="228">
        <v>426.37</v>
      </c>
      <c r="EN72" s="228">
        <v>66.290000000000006</v>
      </c>
      <c r="EO72" s="231">
        <v>4896.3900000000003</v>
      </c>
      <c r="EP72" s="231">
        <v>4273.99</v>
      </c>
      <c r="EQ72" s="228">
        <v>622.41</v>
      </c>
      <c r="ER72" s="229">
        <v>0.14560000000000001</v>
      </c>
      <c r="ES72" s="231">
        <v>4110.17</v>
      </c>
      <c r="ET72" s="231">
        <v>2033.12</v>
      </c>
      <c r="EU72" s="231">
        <v>4441.0600000000004</v>
      </c>
      <c r="EV72" s="231">
        <v>28450886</v>
      </c>
      <c r="EW72" s="231">
        <v>10584.34</v>
      </c>
      <c r="EX72" s="231">
        <v>10695.15</v>
      </c>
      <c r="EY72" s="228">
        <v>-110.81</v>
      </c>
      <c r="EZ72" s="229">
        <v>-1.04E-2</v>
      </c>
      <c r="FA72" s="229">
        <v>0.83809999999999996</v>
      </c>
      <c r="FB72" s="227" t="s">
        <v>556</v>
      </c>
      <c r="FC72">
        <f t="shared" si="1"/>
        <v>558</v>
      </c>
    </row>
    <row r="73" spans="1:159" ht="17.25" thickBot="1" x14ac:dyDescent="0.3">
      <c r="A73" s="226">
        <v>46009</v>
      </c>
      <c r="B73" s="227" t="s">
        <v>184</v>
      </c>
      <c r="C73" s="227" t="s">
        <v>220</v>
      </c>
      <c r="D73" s="228">
        <v>500</v>
      </c>
      <c r="E73" s="228">
        <v>12</v>
      </c>
      <c r="F73" s="231">
        <v>1404.2</v>
      </c>
      <c r="G73" s="231">
        <v>1398.7</v>
      </c>
      <c r="H73" s="228">
        <v>5.5</v>
      </c>
      <c r="I73" s="229">
        <v>3.8999999999999998E-3</v>
      </c>
      <c r="J73" s="231">
        <v>1401.2</v>
      </c>
      <c r="K73" s="231">
        <v>1397</v>
      </c>
      <c r="L73" s="228">
        <v>4.2</v>
      </c>
      <c r="M73" s="229">
        <v>3.0000000000000001E-3</v>
      </c>
      <c r="N73" s="231">
        <v>1404.2</v>
      </c>
      <c r="O73" s="231">
        <v>1398.7</v>
      </c>
      <c r="P73" s="228">
        <v>5.5</v>
      </c>
      <c r="Q73" s="229">
        <v>3.8999999999999998E-3</v>
      </c>
      <c r="R73" s="231">
        <v>1411.5</v>
      </c>
      <c r="S73" s="231">
        <v>1405.2</v>
      </c>
      <c r="T73" s="228">
        <v>6.3</v>
      </c>
      <c r="U73" s="229">
        <v>4.4999999999999997E-3</v>
      </c>
      <c r="V73" s="231">
        <v>1419.4</v>
      </c>
      <c r="W73" s="231">
        <v>1412</v>
      </c>
      <c r="X73" s="228">
        <v>7.4</v>
      </c>
      <c r="Y73" s="229">
        <v>5.1999999999999998E-3</v>
      </c>
      <c r="Z73" s="228">
        <v>3</v>
      </c>
      <c r="AA73" s="228">
        <v>1.7</v>
      </c>
      <c r="AB73" s="228">
        <v>1.3</v>
      </c>
      <c r="AC73" s="229">
        <v>2.0999999999999999E-3</v>
      </c>
      <c r="AD73" s="228">
        <v>3</v>
      </c>
      <c r="AE73" s="228">
        <v>1.7</v>
      </c>
      <c r="AF73" s="228">
        <v>1.3</v>
      </c>
      <c r="AG73" s="229">
        <v>2.0999999999999999E-3</v>
      </c>
      <c r="AH73" s="228">
        <v>10.3</v>
      </c>
      <c r="AI73" s="228">
        <v>8.1999999999999993</v>
      </c>
      <c r="AJ73" s="228">
        <v>2.1</v>
      </c>
      <c r="AK73" s="229">
        <v>7.4000000000000003E-3</v>
      </c>
      <c r="AL73" s="228">
        <v>18.2</v>
      </c>
      <c r="AM73" s="228">
        <v>15</v>
      </c>
      <c r="AN73" s="228">
        <v>3.2</v>
      </c>
      <c r="AO73" s="229">
        <v>1.2999999999999999E-2</v>
      </c>
      <c r="AP73" s="231">
        <v>1404.12</v>
      </c>
      <c r="AQ73" s="231">
        <v>1410.87</v>
      </c>
      <c r="AR73" s="228">
        <v>0</v>
      </c>
      <c r="AS73" s="228">
        <v>155</v>
      </c>
      <c r="AT73" s="228">
        <v>148</v>
      </c>
      <c r="AU73" s="228">
        <v>6</v>
      </c>
      <c r="AV73" s="229">
        <v>4.1599999999999998E-2</v>
      </c>
      <c r="AW73" s="228">
        <v>131</v>
      </c>
      <c r="AX73" s="228">
        <v>135</v>
      </c>
      <c r="AY73" s="228">
        <v>-4</v>
      </c>
      <c r="AZ73" s="229">
        <v>-2.9100000000000001E-2</v>
      </c>
      <c r="BA73" s="228">
        <v>22</v>
      </c>
      <c r="BB73" s="228">
        <v>12</v>
      </c>
      <c r="BC73" s="228">
        <v>10</v>
      </c>
      <c r="BD73" s="229">
        <v>0.80569999999999997</v>
      </c>
      <c r="BE73" s="228">
        <v>1</v>
      </c>
      <c r="BF73" s="228">
        <v>1</v>
      </c>
      <c r="BG73" s="228">
        <v>0</v>
      </c>
      <c r="BH73" s="229">
        <v>0.17649999999999999</v>
      </c>
      <c r="BI73" s="228">
        <v>327</v>
      </c>
      <c r="BJ73" s="228">
        <v>235</v>
      </c>
      <c r="BK73" s="228">
        <v>92</v>
      </c>
      <c r="BL73" s="229">
        <v>0.39029999999999998</v>
      </c>
      <c r="BM73" s="228">
        <v>161</v>
      </c>
      <c r="BN73" s="228">
        <v>173</v>
      </c>
      <c r="BO73" s="228">
        <v>-12</v>
      </c>
      <c r="BP73" s="229">
        <v>-6.9500000000000006E-2</v>
      </c>
      <c r="BQ73" s="228">
        <v>642</v>
      </c>
      <c r="BR73" s="228">
        <v>556</v>
      </c>
      <c r="BS73" s="228">
        <v>86</v>
      </c>
      <c r="BT73" s="229">
        <v>0.15440000000000001</v>
      </c>
      <c r="BU73" s="230">
        <v>229960</v>
      </c>
      <c r="BV73" s="230">
        <v>357217</v>
      </c>
      <c r="BW73" s="230">
        <v>-127257</v>
      </c>
      <c r="BX73" s="229">
        <v>-0.35620000000000002</v>
      </c>
      <c r="BY73" s="230">
        <v>1171</v>
      </c>
      <c r="BZ73" s="230">
        <v>1199</v>
      </c>
      <c r="CA73" s="228">
        <v>-28</v>
      </c>
      <c r="CB73" s="229">
        <v>-2.3300000000000001E-2</v>
      </c>
      <c r="CC73" s="230">
        <v>1102</v>
      </c>
      <c r="CD73" s="230">
        <v>1129</v>
      </c>
      <c r="CE73" s="228">
        <v>-27</v>
      </c>
      <c r="CF73" s="229">
        <v>-2.4E-2</v>
      </c>
      <c r="CG73" s="228">
        <v>61</v>
      </c>
      <c r="CH73" s="228">
        <v>63</v>
      </c>
      <c r="CI73" s="228">
        <v>-2</v>
      </c>
      <c r="CJ73" s="229">
        <v>-2.6700000000000002E-2</v>
      </c>
      <c r="CK73" s="228">
        <v>8</v>
      </c>
      <c r="CL73" s="228">
        <v>7</v>
      </c>
      <c r="CM73" s="228">
        <v>1</v>
      </c>
      <c r="CN73" s="229">
        <v>0.12239999999999999</v>
      </c>
      <c r="CO73" s="228">
        <v>366</v>
      </c>
      <c r="CP73" s="228">
        <v>377</v>
      </c>
      <c r="CQ73" s="228">
        <v>-11</v>
      </c>
      <c r="CR73" s="229">
        <v>-2.9100000000000001E-2</v>
      </c>
      <c r="CS73" s="228">
        <v>299</v>
      </c>
      <c r="CT73" s="228">
        <v>287</v>
      </c>
      <c r="CU73" s="228">
        <v>13</v>
      </c>
      <c r="CV73" s="229">
        <v>4.4299999999999999E-2</v>
      </c>
      <c r="CW73" s="230">
        <v>1836</v>
      </c>
      <c r="CX73" s="230">
        <v>1862</v>
      </c>
      <c r="CY73" s="228">
        <v>-26</v>
      </c>
      <c r="CZ73" s="229">
        <v>-1.41E-2</v>
      </c>
      <c r="DA73" s="228">
        <v>18.600000000000001</v>
      </c>
      <c r="DB73" s="228">
        <v>19.350000000000001</v>
      </c>
      <c r="DC73" s="228">
        <v>-0.75</v>
      </c>
      <c r="DD73" s="228">
        <v>-0.75</v>
      </c>
      <c r="DE73" s="228">
        <v>27.06</v>
      </c>
      <c r="DF73" s="228">
        <v>27.12</v>
      </c>
      <c r="DG73" s="228">
        <v>-8.4600000000000009</v>
      </c>
      <c r="DH73" s="228">
        <v>-0.06</v>
      </c>
      <c r="DI73" s="228">
        <v>18.649999999999999</v>
      </c>
      <c r="DJ73" s="228">
        <v>20.07</v>
      </c>
      <c r="DK73" s="228">
        <v>-1.42</v>
      </c>
      <c r="DL73" s="228">
        <v>-1.42</v>
      </c>
      <c r="DM73" s="228">
        <v>18.489999999999998</v>
      </c>
      <c r="DN73" s="228">
        <v>18.36</v>
      </c>
      <c r="DO73" s="228">
        <v>0.13</v>
      </c>
      <c r="DP73" s="228">
        <v>0.13</v>
      </c>
      <c r="DQ73" s="228">
        <v>0.82</v>
      </c>
      <c r="DR73" s="228">
        <v>0.76</v>
      </c>
      <c r="DS73" s="228">
        <v>0.06</v>
      </c>
      <c r="DT73" s="229">
        <v>7.8899999999999998E-2</v>
      </c>
      <c r="DU73" s="231">
        <v>1500</v>
      </c>
      <c r="DV73" s="231">
        <v>1380</v>
      </c>
      <c r="DW73" s="228">
        <v>0.49</v>
      </c>
      <c r="DX73" s="228">
        <v>0.74</v>
      </c>
      <c r="DY73" s="228">
        <v>-0.25</v>
      </c>
      <c r="DZ73" s="229">
        <v>-0.33779999999999999</v>
      </c>
      <c r="EA73" s="229">
        <v>5.8999999999999997E-2</v>
      </c>
      <c r="EB73" s="230">
        <v>498000</v>
      </c>
      <c r="EC73" s="229">
        <v>5.1999999999999998E-3</v>
      </c>
      <c r="ED73" s="229">
        <v>5.8999999999999997E-2</v>
      </c>
      <c r="EE73" s="228">
        <v>6.75</v>
      </c>
      <c r="EF73" s="229">
        <v>4.7999999999999996E-3</v>
      </c>
      <c r="EG73" s="230">
        <v>103998</v>
      </c>
      <c r="EH73" s="230">
        <v>195769</v>
      </c>
      <c r="EI73" s="229">
        <v>-0.46879999999999999</v>
      </c>
      <c r="EJ73" s="229">
        <v>0.45219999999999999</v>
      </c>
      <c r="EK73" s="228">
        <v>341.23</v>
      </c>
      <c r="EL73" s="228">
        <v>155.88999999999999</v>
      </c>
      <c r="EM73" s="228">
        <v>154.78</v>
      </c>
      <c r="EN73" s="228">
        <v>19.79</v>
      </c>
      <c r="EO73" s="228">
        <v>651.9</v>
      </c>
      <c r="EP73" s="228">
        <v>567.82000000000005</v>
      </c>
      <c r="EQ73" s="228">
        <v>84.08</v>
      </c>
      <c r="ER73" s="229">
        <v>0.14810000000000001</v>
      </c>
      <c r="ES73" s="228">
        <v>386.23</v>
      </c>
      <c r="ET73" s="228">
        <v>296.86</v>
      </c>
      <c r="EU73" s="231">
        <v>1171.44</v>
      </c>
      <c r="EV73" s="231">
        <v>38133766</v>
      </c>
      <c r="EW73" s="231">
        <v>1854.53</v>
      </c>
      <c r="EX73" s="231">
        <v>1877.43</v>
      </c>
      <c r="EY73" s="228">
        <v>-22.9</v>
      </c>
      <c r="EZ73" s="229">
        <v>-1.2200000000000001E-2</v>
      </c>
      <c r="FA73" s="229">
        <v>0.34289999999999998</v>
      </c>
      <c r="FB73" s="227" t="s">
        <v>556</v>
      </c>
      <c r="FC73">
        <f t="shared" si="1"/>
        <v>69</v>
      </c>
    </row>
    <row r="74" spans="1:159" ht="17.25" thickBot="1" x14ac:dyDescent="0.3">
      <c r="A74" s="226">
        <v>46009</v>
      </c>
      <c r="B74" s="227" t="s">
        <v>221</v>
      </c>
      <c r="C74" s="227" t="s">
        <v>222</v>
      </c>
      <c r="D74" s="228">
        <v>350</v>
      </c>
      <c r="E74" s="228">
        <v>12</v>
      </c>
      <c r="F74" s="231">
        <v>1666.3</v>
      </c>
      <c r="G74" s="231">
        <v>1661</v>
      </c>
      <c r="H74" s="228">
        <v>5.3</v>
      </c>
      <c r="I74" s="229">
        <v>3.2000000000000002E-3</v>
      </c>
      <c r="J74" s="231">
        <v>1661.4</v>
      </c>
      <c r="K74" s="231">
        <v>1655</v>
      </c>
      <c r="L74" s="228">
        <v>6.4</v>
      </c>
      <c r="M74" s="229">
        <v>3.8999999999999998E-3</v>
      </c>
      <c r="N74" s="231">
        <v>1666.3</v>
      </c>
      <c r="O74" s="231">
        <v>1661</v>
      </c>
      <c r="P74" s="228">
        <v>5.3</v>
      </c>
      <c r="Q74" s="229">
        <v>3.2000000000000002E-3</v>
      </c>
      <c r="R74" s="231">
        <v>1664.3</v>
      </c>
      <c r="S74" s="231">
        <v>1658.5</v>
      </c>
      <c r="T74" s="228">
        <v>5.8</v>
      </c>
      <c r="U74" s="229">
        <v>3.5000000000000001E-3</v>
      </c>
      <c r="V74" s="231">
        <v>1673.9</v>
      </c>
      <c r="W74" s="231">
        <v>1667.4</v>
      </c>
      <c r="X74" s="228">
        <v>6.5</v>
      </c>
      <c r="Y74" s="229">
        <v>3.8999999999999998E-3</v>
      </c>
      <c r="Z74" s="228">
        <v>4.9000000000000004</v>
      </c>
      <c r="AA74" s="228">
        <v>6</v>
      </c>
      <c r="AB74" s="228">
        <v>-1.1000000000000001</v>
      </c>
      <c r="AC74" s="229">
        <v>2.8999999999999998E-3</v>
      </c>
      <c r="AD74" s="228">
        <v>4.9000000000000004</v>
      </c>
      <c r="AE74" s="228">
        <v>6</v>
      </c>
      <c r="AF74" s="228">
        <v>-1.1000000000000001</v>
      </c>
      <c r="AG74" s="229">
        <v>2.8999999999999998E-3</v>
      </c>
      <c r="AH74" s="228">
        <v>2.9</v>
      </c>
      <c r="AI74" s="228">
        <v>3.5</v>
      </c>
      <c r="AJ74" s="228">
        <v>-0.6</v>
      </c>
      <c r="AK74" s="229">
        <v>1.6999999999999999E-3</v>
      </c>
      <c r="AL74" s="228">
        <v>12.5</v>
      </c>
      <c r="AM74" s="228">
        <v>12.4</v>
      </c>
      <c r="AN74" s="228">
        <v>0.1</v>
      </c>
      <c r="AO74" s="229">
        <v>7.4999999999999997E-3</v>
      </c>
      <c r="AP74" s="231">
        <v>1666.66</v>
      </c>
      <c r="AQ74" s="231">
        <v>1663.99</v>
      </c>
      <c r="AR74" s="228">
        <v>0</v>
      </c>
      <c r="AS74" s="228">
        <v>394</v>
      </c>
      <c r="AT74" s="228">
        <v>271</v>
      </c>
      <c r="AU74" s="228">
        <v>123</v>
      </c>
      <c r="AV74" s="229">
        <v>0.45419999999999999</v>
      </c>
      <c r="AW74" s="228">
        <v>306</v>
      </c>
      <c r="AX74" s="228">
        <v>228</v>
      </c>
      <c r="AY74" s="228">
        <v>78</v>
      </c>
      <c r="AZ74" s="229">
        <v>0.3417</v>
      </c>
      <c r="BA74" s="228">
        <v>83</v>
      </c>
      <c r="BB74" s="228">
        <v>39</v>
      </c>
      <c r="BC74" s="228">
        <v>44</v>
      </c>
      <c r="BD74" s="229">
        <v>1.1334</v>
      </c>
      <c r="BE74" s="228">
        <v>4</v>
      </c>
      <c r="BF74" s="228">
        <v>3</v>
      </c>
      <c r="BG74" s="228">
        <v>1</v>
      </c>
      <c r="BH74" s="229">
        <v>0.25</v>
      </c>
      <c r="BI74" s="230">
        <v>1868</v>
      </c>
      <c r="BJ74" s="228">
        <v>841</v>
      </c>
      <c r="BK74" s="230">
        <v>1027</v>
      </c>
      <c r="BL74" s="229">
        <v>1.2216</v>
      </c>
      <c r="BM74" s="228">
        <v>568</v>
      </c>
      <c r="BN74" s="228">
        <v>417</v>
      </c>
      <c r="BO74" s="228">
        <v>151</v>
      </c>
      <c r="BP74" s="229">
        <v>0.36209999999999998</v>
      </c>
      <c r="BQ74" s="230">
        <v>2830</v>
      </c>
      <c r="BR74" s="230">
        <v>1529</v>
      </c>
      <c r="BS74" s="230">
        <v>1301</v>
      </c>
      <c r="BT74" s="229">
        <v>0.85109999999999997</v>
      </c>
      <c r="BU74" s="230">
        <v>2002985</v>
      </c>
      <c r="BV74" s="230">
        <v>1434869</v>
      </c>
      <c r="BW74" s="230">
        <v>568116</v>
      </c>
      <c r="BX74" s="229">
        <v>0.39589999999999997</v>
      </c>
      <c r="BY74" s="230">
        <v>2858</v>
      </c>
      <c r="BZ74" s="230">
        <v>2840</v>
      </c>
      <c r="CA74" s="228">
        <v>18</v>
      </c>
      <c r="CB74" s="229">
        <v>6.3E-3</v>
      </c>
      <c r="CC74" s="230">
        <v>2617</v>
      </c>
      <c r="CD74" s="230">
        <v>2642</v>
      </c>
      <c r="CE74" s="228">
        <v>-25</v>
      </c>
      <c r="CF74" s="229">
        <v>-9.5999999999999992E-3</v>
      </c>
      <c r="CG74" s="228">
        <v>226</v>
      </c>
      <c r="CH74" s="228">
        <v>183</v>
      </c>
      <c r="CI74" s="228">
        <v>43</v>
      </c>
      <c r="CJ74" s="229">
        <v>0.2321</v>
      </c>
      <c r="CK74" s="228">
        <v>16</v>
      </c>
      <c r="CL74" s="228">
        <v>15</v>
      </c>
      <c r="CM74" s="228">
        <v>1</v>
      </c>
      <c r="CN74" s="229">
        <v>3.8800000000000001E-2</v>
      </c>
      <c r="CO74" s="230">
        <v>1247</v>
      </c>
      <c r="CP74" s="230">
        <v>1229</v>
      </c>
      <c r="CQ74" s="228">
        <v>18</v>
      </c>
      <c r="CR74" s="229">
        <v>1.47E-2</v>
      </c>
      <c r="CS74" s="228">
        <v>731</v>
      </c>
      <c r="CT74" s="228">
        <v>702</v>
      </c>
      <c r="CU74" s="228">
        <v>29</v>
      </c>
      <c r="CV74" s="229">
        <v>4.1799999999999997E-2</v>
      </c>
      <c r="CW74" s="230">
        <v>4836</v>
      </c>
      <c r="CX74" s="230">
        <v>4771</v>
      </c>
      <c r="CY74" s="228">
        <v>65</v>
      </c>
      <c r="CZ74" s="229">
        <v>1.37E-2</v>
      </c>
      <c r="DA74" s="228">
        <v>19.03</v>
      </c>
      <c r="DB74" s="228">
        <v>18.809999999999999</v>
      </c>
      <c r="DC74" s="228">
        <v>0.22</v>
      </c>
      <c r="DD74" s="228">
        <v>0.22</v>
      </c>
      <c r="DE74" s="228">
        <v>27.98</v>
      </c>
      <c r="DF74" s="228">
        <v>28.04</v>
      </c>
      <c r="DG74" s="228">
        <v>-8.9499999999999993</v>
      </c>
      <c r="DH74" s="228">
        <v>-0.06</v>
      </c>
      <c r="DI74" s="228">
        <v>18.96</v>
      </c>
      <c r="DJ74" s="228">
        <v>18.649999999999999</v>
      </c>
      <c r="DK74" s="228">
        <v>0.31</v>
      </c>
      <c r="DL74" s="228">
        <v>0.31</v>
      </c>
      <c r="DM74" s="228">
        <v>19.239999999999998</v>
      </c>
      <c r="DN74" s="228">
        <v>19.11</v>
      </c>
      <c r="DO74" s="228">
        <v>0.13</v>
      </c>
      <c r="DP74" s="228">
        <v>0.13</v>
      </c>
      <c r="DQ74" s="228">
        <v>0.59</v>
      </c>
      <c r="DR74" s="228">
        <v>0.56999999999999995</v>
      </c>
      <c r="DS74" s="228">
        <v>0.02</v>
      </c>
      <c r="DT74" s="229">
        <v>3.5099999999999999E-2</v>
      </c>
      <c r="DU74" s="231">
        <v>1720</v>
      </c>
      <c r="DV74" s="231">
        <v>1440</v>
      </c>
      <c r="DW74" s="228">
        <v>0.3</v>
      </c>
      <c r="DX74" s="228">
        <v>0.5</v>
      </c>
      <c r="DY74" s="228">
        <v>-0.2</v>
      </c>
      <c r="DZ74" s="229">
        <v>-0.4</v>
      </c>
      <c r="EA74" s="229">
        <v>8.4400000000000003E-2</v>
      </c>
      <c r="EB74" s="230">
        <v>1189650</v>
      </c>
      <c r="EC74" s="229">
        <v>-1.1999999999999999E-3</v>
      </c>
      <c r="ED74" s="229">
        <v>8.4400000000000003E-2</v>
      </c>
      <c r="EE74" s="228">
        <v>-2.67</v>
      </c>
      <c r="EF74" s="229">
        <v>-1.6000000000000001E-3</v>
      </c>
      <c r="EG74" s="230">
        <v>1178807</v>
      </c>
      <c r="EH74" s="230">
        <v>934976</v>
      </c>
      <c r="EI74" s="229">
        <v>0.26079999999999998</v>
      </c>
      <c r="EJ74" s="229">
        <v>0.58850000000000002</v>
      </c>
      <c r="EK74" s="231">
        <v>1912.45</v>
      </c>
      <c r="EL74" s="228">
        <v>565.54</v>
      </c>
      <c r="EM74" s="228">
        <v>393.75</v>
      </c>
      <c r="EN74" s="228">
        <v>59.17</v>
      </c>
      <c r="EO74" s="231">
        <v>2871.73</v>
      </c>
      <c r="EP74" s="231">
        <v>1542.98</v>
      </c>
      <c r="EQ74" s="231">
        <v>1328.75</v>
      </c>
      <c r="ER74" s="229">
        <v>0.86119999999999997</v>
      </c>
      <c r="ES74" s="231">
        <v>1288.6099999999999</v>
      </c>
      <c r="ET74" s="228">
        <v>690.44</v>
      </c>
      <c r="EU74" s="231">
        <v>2857.8</v>
      </c>
      <c r="EV74" s="231">
        <v>145993539</v>
      </c>
      <c r="EW74" s="231">
        <v>4836.84</v>
      </c>
      <c r="EX74" s="231">
        <v>4762.46</v>
      </c>
      <c r="EY74" s="228">
        <v>74.38</v>
      </c>
      <c r="EZ74" s="229">
        <v>1.5599999999999999E-2</v>
      </c>
      <c r="FA74" s="229">
        <v>0.1988</v>
      </c>
      <c r="FB74" s="227" t="s">
        <v>555</v>
      </c>
      <c r="FC74">
        <f t="shared" si="1"/>
        <v>241</v>
      </c>
    </row>
    <row r="75" spans="1:159" ht="17.25" thickBot="1" x14ac:dyDescent="0.3">
      <c r="A75" s="226">
        <v>46009</v>
      </c>
      <c r="B75" s="227" t="s">
        <v>175</v>
      </c>
      <c r="C75" s="227" t="s">
        <v>475</v>
      </c>
      <c r="D75" s="228">
        <v>300</v>
      </c>
      <c r="E75" s="228">
        <v>12</v>
      </c>
      <c r="F75" s="231">
        <v>2732.7</v>
      </c>
      <c r="G75" s="231">
        <v>2548.9</v>
      </c>
      <c r="H75" s="228">
        <v>183.8</v>
      </c>
      <c r="I75" s="229">
        <v>7.2099999999999997E-2</v>
      </c>
      <c r="J75" s="231">
        <v>2722.9</v>
      </c>
      <c r="K75" s="231">
        <v>2541.1999999999998</v>
      </c>
      <c r="L75" s="228">
        <v>181.7</v>
      </c>
      <c r="M75" s="229">
        <v>7.1499999999999994E-2</v>
      </c>
      <c r="N75" s="231">
        <v>2732.7</v>
      </c>
      <c r="O75" s="231">
        <v>2548.9</v>
      </c>
      <c r="P75" s="228">
        <v>183.8</v>
      </c>
      <c r="Q75" s="229">
        <v>7.2099999999999997E-2</v>
      </c>
      <c r="R75" s="231">
        <v>2748.5</v>
      </c>
      <c r="S75" s="231">
        <v>2563.8000000000002</v>
      </c>
      <c r="T75" s="228">
        <v>184.7</v>
      </c>
      <c r="U75" s="229">
        <v>7.1999999999999995E-2</v>
      </c>
      <c r="V75" s="231">
        <v>2763.2</v>
      </c>
      <c r="W75" s="231">
        <v>2579.5</v>
      </c>
      <c r="X75" s="228">
        <v>183.7</v>
      </c>
      <c r="Y75" s="229">
        <v>7.1199999999999999E-2</v>
      </c>
      <c r="Z75" s="228">
        <v>9.8000000000000007</v>
      </c>
      <c r="AA75" s="228">
        <v>7.7</v>
      </c>
      <c r="AB75" s="228">
        <v>2.1</v>
      </c>
      <c r="AC75" s="229">
        <v>3.5999999999999999E-3</v>
      </c>
      <c r="AD75" s="228">
        <v>9.8000000000000007</v>
      </c>
      <c r="AE75" s="228">
        <v>7.7</v>
      </c>
      <c r="AF75" s="228">
        <v>2.1</v>
      </c>
      <c r="AG75" s="229">
        <v>3.5999999999999999E-3</v>
      </c>
      <c r="AH75" s="228">
        <v>25.6</v>
      </c>
      <c r="AI75" s="228">
        <v>22.6</v>
      </c>
      <c r="AJ75" s="228">
        <v>3</v>
      </c>
      <c r="AK75" s="229">
        <v>9.4000000000000004E-3</v>
      </c>
      <c r="AL75" s="228">
        <v>40.299999999999997</v>
      </c>
      <c r="AM75" s="228">
        <v>38.299999999999997</v>
      </c>
      <c r="AN75" s="228">
        <v>2</v>
      </c>
      <c r="AO75" s="229">
        <v>1.4800000000000001E-2</v>
      </c>
      <c r="AP75" s="231">
        <v>2691</v>
      </c>
      <c r="AQ75" s="231">
        <v>2712.16</v>
      </c>
      <c r="AR75" s="228">
        <v>0</v>
      </c>
      <c r="AS75" s="230">
        <v>1427</v>
      </c>
      <c r="AT75" s="228">
        <v>341</v>
      </c>
      <c r="AU75" s="230">
        <v>1086</v>
      </c>
      <c r="AV75" s="229">
        <v>3.1871999999999998</v>
      </c>
      <c r="AW75" s="230">
        <v>1237</v>
      </c>
      <c r="AX75" s="228">
        <v>270</v>
      </c>
      <c r="AY75" s="228">
        <v>967</v>
      </c>
      <c r="AZ75" s="229">
        <v>3.5876000000000001</v>
      </c>
      <c r="BA75" s="228">
        <v>183</v>
      </c>
      <c r="BB75" s="228">
        <v>68</v>
      </c>
      <c r="BC75" s="228">
        <v>115</v>
      </c>
      <c r="BD75" s="229">
        <v>1.6855</v>
      </c>
      <c r="BE75" s="228">
        <v>8</v>
      </c>
      <c r="BF75" s="228">
        <v>3</v>
      </c>
      <c r="BG75" s="228">
        <v>4</v>
      </c>
      <c r="BH75" s="229">
        <v>1.3846000000000001</v>
      </c>
      <c r="BI75" s="230">
        <v>8866</v>
      </c>
      <c r="BJ75" s="228">
        <v>582</v>
      </c>
      <c r="BK75" s="230">
        <v>8284</v>
      </c>
      <c r="BL75" s="229">
        <v>14.2235</v>
      </c>
      <c r="BM75" s="230">
        <v>4003</v>
      </c>
      <c r="BN75" s="228">
        <v>569</v>
      </c>
      <c r="BO75" s="230">
        <v>3434</v>
      </c>
      <c r="BP75" s="229">
        <v>6.0327999999999999</v>
      </c>
      <c r="BQ75" s="230">
        <v>14296</v>
      </c>
      <c r="BR75" s="230">
        <v>1492</v>
      </c>
      <c r="BS75" s="230">
        <v>12804</v>
      </c>
      <c r="BT75" s="229">
        <v>8.5793999999999997</v>
      </c>
      <c r="BU75" s="230">
        <v>3040468</v>
      </c>
      <c r="BV75" s="230">
        <v>508341</v>
      </c>
      <c r="BW75" s="230">
        <v>2532127</v>
      </c>
      <c r="BX75" s="229">
        <v>4.9812000000000003</v>
      </c>
      <c r="BY75" s="230">
        <v>1557</v>
      </c>
      <c r="BZ75" s="230">
        <v>1360</v>
      </c>
      <c r="CA75" s="228">
        <v>197</v>
      </c>
      <c r="CB75" s="229">
        <v>0.1452</v>
      </c>
      <c r="CC75" s="230">
        <v>1348</v>
      </c>
      <c r="CD75" s="230">
        <v>1203</v>
      </c>
      <c r="CE75" s="228">
        <v>145</v>
      </c>
      <c r="CF75" s="229">
        <v>0.1206</v>
      </c>
      <c r="CG75" s="228">
        <v>204</v>
      </c>
      <c r="CH75" s="228">
        <v>152</v>
      </c>
      <c r="CI75" s="228">
        <v>52</v>
      </c>
      <c r="CJ75" s="229">
        <v>0.34139999999999998</v>
      </c>
      <c r="CK75" s="228">
        <v>6</v>
      </c>
      <c r="CL75" s="228">
        <v>5</v>
      </c>
      <c r="CM75" s="228">
        <v>1</v>
      </c>
      <c r="CN75" s="229">
        <v>0.1231</v>
      </c>
      <c r="CO75" s="230">
        <v>1024</v>
      </c>
      <c r="CP75" s="228">
        <v>611</v>
      </c>
      <c r="CQ75" s="228">
        <v>413</v>
      </c>
      <c r="CR75" s="229">
        <v>0.67549999999999999</v>
      </c>
      <c r="CS75" s="228">
        <v>976</v>
      </c>
      <c r="CT75" s="228">
        <v>477</v>
      </c>
      <c r="CU75" s="228">
        <v>499</v>
      </c>
      <c r="CV75" s="229">
        <v>1.0466</v>
      </c>
      <c r="CW75" s="230">
        <v>3557</v>
      </c>
      <c r="CX75" s="230">
        <v>2448</v>
      </c>
      <c r="CY75" s="230">
        <v>1109</v>
      </c>
      <c r="CZ75" s="229">
        <v>0.45319999999999999</v>
      </c>
      <c r="DA75" s="228">
        <v>24.37</v>
      </c>
      <c r="DB75" s="228">
        <v>25.85</v>
      </c>
      <c r="DC75" s="228">
        <v>-1.48</v>
      </c>
      <c r="DD75" s="228">
        <v>-1.48</v>
      </c>
      <c r="DE75" s="228">
        <v>34.299999999999997</v>
      </c>
      <c r="DF75" s="228">
        <v>33.090000000000003</v>
      </c>
      <c r="DG75" s="228">
        <v>-9.93</v>
      </c>
      <c r="DH75" s="228">
        <v>1.21</v>
      </c>
      <c r="DI75" s="228">
        <v>23.69</v>
      </c>
      <c r="DJ75" s="228">
        <v>25.76</v>
      </c>
      <c r="DK75" s="228">
        <v>-2.0699999999999998</v>
      </c>
      <c r="DL75" s="228">
        <v>-2.0699999999999998</v>
      </c>
      <c r="DM75" s="228">
        <v>25.9</v>
      </c>
      <c r="DN75" s="228">
        <v>25.94</v>
      </c>
      <c r="DO75" s="228">
        <v>-0.04</v>
      </c>
      <c r="DP75" s="228">
        <v>-0.04</v>
      </c>
      <c r="DQ75" s="228">
        <v>0.95</v>
      </c>
      <c r="DR75" s="228">
        <v>0.78</v>
      </c>
      <c r="DS75" s="228">
        <v>0.17</v>
      </c>
      <c r="DT75" s="229">
        <v>0.21790000000000001</v>
      </c>
      <c r="DU75" s="231">
        <v>2800</v>
      </c>
      <c r="DV75" s="231">
        <v>2600</v>
      </c>
      <c r="DW75" s="228">
        <v>0.45</v>
      </c>
      <c r="DX75" s="228">
        <v>0.98</v>
      </c>
      <c r="DY75" s="228">
        <v>-0.53</v>
      </c>
      <c r="DZ75" s="229">
        <v>-0.54079999999999995</v>
      </c>
      <c r="EA75" s="229">
        <v>0.13450000000000001</v>
      </c>
      <c r="EB75" s="230">
        <v>574800</v>
      </c>
      <c r="EC75" s="229">
        <v>5.7999999999999996E-3</v>
      </c>
      <c r="ED75" s="229">
        <v>0.13450000000000001</v>
      </c>
      <c r="EE75" s="228">
        <v>21.16</v>
      </c>
      <c r="EF75" s="229">
        <v>7.9000000000000008E-3</v>
      </c>
      <c r="EG75" s="230">
        <v>780304</v>
      </c>
      <c r="EH75" s="230">
        <v>293844</v>
      </c>
      <c r="EI75" s="229">
        <v>1.6555</v>
      </c>
      <c r="EJ75" s="229">
        <v>0.25659999999999999</v>
      </c>
      <c r="EK75" s="231">
        <v>8991.51</v>
      </c>
      <c r="EL75" s="231">
        <v>3873.01</v>
      </c>
      <c r="EM75" s="231">
        <v>1406.7</v>
      </c>
      <c r="EN75" s="228">
        <v>37.6</v>
      </c>
      <c r="EO75" s="231">
        <v>14271.22</v>
      </c>
      <c r="EP75" s="231">
        <v>1420.03</v>
      </c>
      <c r="EQ75" s="231">
        <v>12851.19</v>
      </c>
      <c r="ER75" s="229">
        <v>9.0500000000000007</v>
      </c>
      <c r="ES75" s="231">
        <v>1039.0999999999999</v>
      </c>
      <c r="ET75" s="228">
        <v>932.37</v>
      </c>
      <c r="EU75" s="231">
        <v>1558.64</v>
      </c>
      <c r="EV75" s="231">
        <v>30518916</v>
      </c>
      <c r="EW75" s="231">
        <v>3530.11</v>
      </c>
      <c r="EX75" s="231">
        <v>2321.89</v>
      </c>
      <c r="EY75" s="231">
        <v>1208.22</v>
      </c>
      <c r="EZ75" s="229">
        <v>0.52039999999999997</v>
      </c>
      <c r="FA75" s="229">
        <v>0.42649999999999999</v>
      </c>
      <c r="FB75" s="227" t="s">
        <v>555</v>
      </c>
      <c r="FC75">
        <f t="shared" si="1"/>
        <v>209</v>
      </c>
    </row>
    <row r="76" spans="1:159" ht="17.25" thickBot="1" x14ac:dyDescent="0.3">
      <c r="A76" s="226">
        <v>46009</v>
      </c>
      <c r="B76" s="227" t="s">
        <v>172</v>
      </c>
      <c r="C76" s="227" t="s">
        <v>224</v>
      </c>
      <c r="D76" s="228">
        <v>550</v>
      </c>
      <c r="E76" s="228">
        <v>12</v>
      </c>
      <c r="F76" s="228">
        <v>982.1</v>
      </c>
      <c r="G76" s="228">
        <v>987.5</v>
      </c>
      <c r="H76" s="228">
        <v>-5.4</v>
      </c>
      <c r="I76" s="229">
        <v>-5.4999999999999997E-3</v>
      </c>
      <c r="J76" s="228">
        <v>979.7</v>
      </c>
      <c r="K76" s="228">
        <v>984</v>
      </c>
      <c r="L76" s="228">
        <v>-4.3</v>
      </c>
      <c r="M76" s="229">
        <v>-4.4000000000000003E-3</v>
      </c>
      <c r="N76" s="228">
        <v>982.1</v>
      </c>
      <c r="O76" s="228">
        <v>987.5</v>
      </c>
      <c r="P76" s="228">
        <v>-5.4</v>
      </c>
      <c r="Q76" s="229">
        <v>-5.4999999999999997E-3</v>
      </c>
      <c r="R76" s="228">
        <v>988.4</v>
      </c>
      <c r="S76" s="228">
        <v>993.7</v>
      </c>
      <c r="T76" s="228">
        <v>-5.3</v>
      </c>
      <c r="U76" s="229">
        <v>-5.3E-3</v>
      </c>
      <c r="V76" s="228">
        <v>994.1</v>
      </c>
      <c r="W76" s="228">
        <v>999.6</v>
      </c>
      <c r="X76" s="228">
        <v>-5.5</v>
      </c>
      <c r="Y76" s="229">
        <v>-5.4999999999999997E-3</v>
      </c>
      <c r="Z76" s="228">
        <v>2.4</v>
      </c>
      <c r="AA76" s="228">
        <v>3.5</v>
      </c>
      <c r="AB76" s="228">
        <v>-1.1000000000000001</v>
      </c>
      <c r="AC76" s="229">
        <v>2.3999999999999998E-3</v>
      </c>
      <c r="AD76" s="228">
        <v>2.4</v>
      </c>
      <c r="AE76" s="228">
        <v>3.5</v>
      </c>
      <c r="AF76" s="228">
        <v>-1.1000000000000001</v>
      </c>
      <c r="AG76" s="229">
        <v>2.3999999999999998E-3</v>
      </c>
      <c r="AH76" s="228">
        <v>8.6999999999999993</v>
      </c>
      <c r="AI76" s="228">
        <v>9.6999999999999993</v>
      </c>
      <c r="AJ76" s="228">
        <v>-1</v>
      </c>
      <c r="AK76" s="229">
        <v>8.8999999999999999E-3</v>
      </c>
      <c r="AL76" s="228">
        <v>14.4</v>
      </c>
      <c r="AM76" s="228">
        <v>15.6</v>
      </c>
      <c r="AN76" s="228">
        <v>-1.2</v>
      </c>
      <c r="AO76" s="229">
        <v>1.47E-2</v>
      </c>
      <c r="AP76" s="228">
        <v>985.21</v>
      </c>
      <c r="AQ76" s="228">
        <v>991.44</v>
      </c>
      <c r="AR76" s="228">
        <v>0</v>
      </c>
      <c r="AS76" s="230">
        <v>3211</v>
      </c>
      <c r="AT76" s="230">
        <v>1976</v>
      </c>
      <c r="AU76" s="230">
        <v>1234</v>
      </c>
      <c r="AV76" s="229">
        <v>0.62460000000000004</v>
      </c>
      <c r="AW76" s="230">
        <v>1864</v>
      </c>
      <c r="AX76" s="230">
        <v>1173</v>
      </c>
      <c r="AY76" s="228">
        <v>692</v>
      </c>
      <c r="AZ76" s="229">
        <v>0.58989999999999998</v>
      </c>
      <c r="BA76" s="230">
        <v>1322</v>
      </c>
      <c r="BB76" s="228">
        <v>792</v>
      </c>
      <c r="BC76" s="228">
        <v>530</v>
      </c>
      <c r="BD76" s="229">
        <v>0.66910000000000003</v>
      </c>
      <c r="BE76" s="228">
        <v>25</v>
      </c>
      <c r="BF76" s="228">
        <v>12</v>
      </c>
      <c r="BG76" s="228">
        <v>13</v>
      </c>
      <c r="BH76" s="229">
        <v>1.0724</v>
      </c>
      <c r="BI76" s="230">
        <v>4718</v>
      </c>
      <c r="BJ76" s="230">
        <v>5107</v>
      </c>
      <c r="BK76" s="228">
        <v>-389</v>
      </c>
      <c r="BL76" s="229">
        <v>-7.6200000000000004E-2</v>
      </c>
      <c r="BM76" s="230">
        <v>2824</v>
      </c>
      <c r="BN76" s="230">
        <v>3181</v>
      </c>
      <c r="BO76" s="228">
        <v>-357</v>
      </c>
      <c r="BP76" s="229">
        <v>-0.11219999999999999</v>
      </c>
      <c r="BQ76" s="230">
        <v>10753</v>
      </c>
      <c r="BR76" s="230">
        <v>10264</v>
      </c>
      <c r="BS76" s="228">
        <v>489</v>
      </c>
      <c r="BT76" s="229">
        <v>4.7600000000000003E-2</v>
      </c>
      <c r="BU76" s="230">
        <v>16440523</v>
      </c>
      <c r="BV76" s="230">
        <v>20149342</v>
      </c>
      <c r="BW76" s="230">
        <v>-3708819</v>
      </c>
      <c r="BX76" s="229">
        <v>-0.18410000000000001</v>
      </c>
      <c r="BY76" s="230">
        <v>22106</v>
      </c>
      <c r="BZ76" s="230">
        <v>21768</v>
      </c>
      <c r="CA76" s="228">
        <v>338</v>
      </c>
      <c r="CB76" s="229">
        <v>1.55E-2</v>
      </c>
      <c r="CC76" s="230">
        <v>17242</v>
      </c>
      <c r="CD76" s="230">
        <v>18171</v>
      </c>
      <c r="CE76" s="228">
        <v>-929</v>
      </c>
      <c r="CF76" s="229">
        <v>-5.11E-2</v>
      </c>
      <c r="CG76" s="230">
        <v>4758</v>
      </c>
      <c r="CH76" s="230">
        <v>3508</v>
      </c>
      <c r="CI76" s="230">
        <v>1250</v>
      </c>
      <c r="CJ76" s="229">
        <v>0.35630000000000001</v>
      </c>
      <c r="CK76" s="228">
        <v>106</v>
      </c>
      <c r="CL76" s="228">
        <v>89</v>
      </c>
      <c r="CM76" s="228">
        <v>17</v>
      </c>
      <c r="CN76" s="229">
        <v>0.191</v>
      </c>
      <c r="CO76" s="230">
        <v>4513</v>
      </c>
      <c r="CP76" s="230">
        <v>4262</v>
      </c>
      <c r="CQ76" s="228">
        <v>251</v>
      </c>
      <c r="CR76" s="229">
        <v>5.8900000000000001E-2</v>
      </c>
      <c r="CS76" s="230">
        <v>2781</v>
      </c>
      <c r="CT76" s="230">
        <v>2730</v>
      </c>
      <c r="CU76" s="228">
        <v>51</v>
      </c>
      <c r="CV76" s="229">
        <v>1.8800000000000001E-2</v>
      </c>
      <c r="CW76" s="230">
        <v>29400</v>
      </c>
      <c r="CX76" s="230">
        <v>28760</v>
      </c>
      <c r="CY76" s="228">
        <v>640</v>
      </c>
      <c r="CZ76" s="229">
        <v>2.23E-2</v>
      </c>
      <c r="DA76" s="228">
        <v>15.19</v>
      </c>
      <c r="DB76" s="228">
        <v>15.62</v>
      </c>
      <c r="DC76" s="228">
        <v>-0.43</v>
      </c>
      <c r="DD76" s="228">
        <v>-0.43</v>
      </c>
      <c r="DE76" s="228">
        <v>19.96</v>
      </c>
      <c r="DF76" s="228">
        <v>20</v>
      </c>
      <c r="DG76" s="228">
        <v>-4.7699999999999996</v>
      </c>
      <c r="DH76" s="228">
        <v>-0.04</v>
      </c>
      <c r="DI76" s="228">
        <v>15.53</v>
      </c>
      <c r="DJ76" s="228">
        <v>15.83</v>
      </c>
      <c r="DK76" s="228">
        <v>-0.3</v>
      </c>
      <c r="DL76" s="228">
        <v>-0.3</v>
      </c>
      <c r="DM76" s="228">
        <v>14.64</v>
      </c>
      <c r="DN76" s="228">
        <v>15.28</v>
      </c>
      <c r="DO76" s="228">
        <v>-0.64</v>
      </c>
      <c r="DP76" s="228">
        <v>-0.64</v>
      </c>
      <c r="DQ76" s="228">
        <v>0.62</v>
      </c>
      <c r="DR76" s="228">
        <v>0.64</v>
      </c>
      <c r="DS76" s="228">
        <v>-0.02</v>
      </c>
      <c r="DT76" s="229">
        <v>-3.1300000000000001E-2</v>
      </c>
      <c r="DU76" s="231">
        <v>1000</v>
      </c>
      <c r="DV76" s="231">
        <v>1000</v>
      </c>
      <c r="DW76" s="228">
        <v>0.6</v>
      </c>
      <c r="DX76" s="228">
        <v>0.62</v>
      </c>
      <c r="DY76" s="228">
        <v>-0.02</v>
      </c>
      <c r="DZ76" s="229">
        <v>-3.2300000000000002E-2</v>
      </c>
      <c r="EA76" s="229">
        <v>0.22</v>
      </c>
      <c r="EB76" s="230">
        <v>36628350</v>
      </c>
      <c r="EC76" s="229">
        <v>6.4000000000000003E-3</v>
      </c>
      <c r="ED76" s="229">
        <v>0.22</v>
      </c>
      <c r="EE76" s="228">
        <v>6.23</v>
      </c>
      <c r="EF76" s="229">
        <v>6.3E-3</v>
      </c>
      <c r="EG76" s="230">
        <v>10276882</v>
      </c>
      <c r="EH76" s="230">
        <v>14624529</v>
      </c>
      <c r="EI76" s="229">
        <v>-0.29730000000000001</v>
      </c>
      <c r="EJ76" s="229">
        <v>0.62509999999999999</v>
      </c>
      <c r="EK76" s="231">
        <v>4834.9799999999996</v>
      </c>
      <c r="EL76" s="231">
        <v>2830.18</v>
      </c>
      <c r="EM76" s="231">
        <v>3229.7</v>
      </c>
      <c r="EN76" s="228">
        <v>302.36</v>
      </c>
      <c r="EO76" s="231">
        <v>10894.87</v>
      </c>
      <c r="EP76" s="231">
        <v>10461.6</v>
      </c>
      <c r="EQ76" s="228">
        <v>433.27</v>
      </c>
      <c r="ER76" s="229">
        <v>4.1399999999999999E-2</v>
      </c>
      <c r="ES76" s="231">
        <v>4676.57</v>
      </c>
      <c r="ET76" s="231">
        <v>2754.21</v>
      </c>
      <c r="EU76" s="231">
        <v>22138.09</v>
      </c>
      <c r="EV76" s="231">
        <v>1329733550</v>
      </c>
      <c r="EW76" s="231">
        <v>29568.87</v>
      </c>
      <c r="EX76" s="231">
        <v>29041.69</v>
      </c>
      <c r="EY76" s="228">
        <v>527.17999999999995</v>
      </c>
      <c r="EZ76" s="229">
        <v>1.8200000000000001E-2</v>
      </c>
      <c r="FA76" s="229">
        <v>0.22509999999999999</v>
      </c>
      <c r="FB76" s="227" t="s">
        <v>567</v>
      </c>
      <c r="FC76">
        <f t="shared" si="1"/>
        <v>4864</v>
      </c>
    </row>
    <row r="77" spans="1:159" ht="17.25" thickBot="1" x14ac:dyDescent="0.3">
      <c r="A77" s="226">
        <v>46009</v>
      </c>
      <c r="B77" s="227" t="s">
        <v>175</v>
      </c>
      <c r="C77" s="227" t="s">
        <v>225</v>
      </c>
      <c r="D77" s="228">
        <v>1100</v>
      </c>
      <c r="E77" s="228">
        <v>12</v>
      </c>
      <c r="F77" s="228">
        <v>758.7</v>
      </c>
      <c r="G77" s="228">
        <v>754.85</v>
      </c>
      <c r="H77" s="228">
        <v>3.85</v>
      </c>
      <c r="I77" s="229">
        <v>5.1000000000000004E-3</v>
      </c>
      <c r="J77" s="228">
        <v>757</v>
      </c>
      <c r="K77" s="228">
        <v>753.5</v>
      </c>
      <c r="L77" s="228">
        <v>3.5</v>
      </c>
      <c r="M77" s="229">
        <v>4.5999999999999999E-3</v>
      </c>
      <c r="N77" s="228">
        <v>758.7</v>
      </c>
      <c r="O77" s="228">
        <v>754.85</v>
      </c>
      <c r="P77" s="228">
        <v>3.85</v>
      </c>
      <c r="Q77" s="229">
        <v>5.1000000000000004E-3</v>
      </c>
      <c r="R77" s="228">
        <v>763.9</v>
      </c>
      <c r="S77" s="228">
        <v>759.8</v>
      </c>
      <c r="T77" s="228">
        <v>4.0999999999999996</v>
      </c>
      <c r="U77" s="229">
        <v>5.4000000000000003E-3</v>
      </c>
      <c r="V77" s="228">
        <v>767.8</v>
      </c>
      <c r="W77" s="228">
        <v>763.95</v>
      </c>
      <c r="X77" s="228">
        <v>3.85</v>
      </c>
      <c r="Y77" s="229">
        <v>5.0000000000000001E-3</v>
      </c>
      <c r="Z77" s="228">
        <v>1.7</v>
      </c>
      <c r="AA77" s="228">
        <v>1.35</v>
      </c>
      <c r="AB77" s="228">
        <v>0.35</v>
      </c>
      <c r="AC77" s="229">
        <v>2.2000000000000001E-3</v>
      </c>
      <c r="AD77" s="228">
        <v>1.7</v>
      </c>
      <c r="AE77" s="228">
        <v>1.35</v>
      </c>
      <c r="AF77" s="228">
        <v>0.35</v>
      </c>
      <c r="AG77" s="229">
        <v>2.2000000000000001E-3</v>
      </c>
      <c r="AH77" s="228">
        <v>6.9</v>
      </c>
      <c r="AI77" s="228">
        <v>6.3</v>
      </c>
      <c r="AJ77" s="228">
        <v>0.6</v>
      </c>
      <c r="AK77" s="229">
        <v>9.1000000000000004E-3</v>
      </c>
      <c r="AL77" s="228">
        <v>10.8</v>
      </c>
      <c r="AM77" s="228">
        <v>10.45</v>
      </c>
      <c r="AN77" s="228">
        <v>0.35</v>
      </c>
      <c r="AO77" s="229">
        <v>1.43E-2</v>
      </c>
      <c r="AP77" s="228">
        <v>756.72</v>
      </c>
      <c r="AQ77" s="228">
        <v>761.64</v>
      </c>
      <c r="AR77" s="228">
        <v>0</v>
      </c>
      <c r="AS77" s="228">
        <v>208</v>
      </c>
      <c r="AT77" s="228">
        <v>337</v>
      </c>
      <c r="AU77" s="228">
        <v>-129</v>
      </c>
      <c r="AV77" s="229">
        <v>-0.38300000000000001</v>
      </c>
      <c r="AW77" s="228">
        <v>156</v>
      </c>
      <c r="AX77" s="228">
        <v>297</v>
      </c>
      <c r="AY77" s="228">
        <v>-141</v>
      </c>
      <c r="AZ77" s="229">
        <v>-0.47520000000000001</v>
      </c>
      <c r="BA77" s="228">
        <v>50</v>
      </c>
      <c r="BB77" s="228">
        <v>37</v>
      </c>
      <c r="BC77" s="228">
        <v>13</v>
      </c>
      <c r="BD77" s="229">
        <v>0.33479999999999999</v>
      </c>
      <c r="BE77" s="228">
        <v>2</v>
      </c>
      <c r="BF77" s="228">
        <v>2</v>
      </c>
      <c r="BG77" s="228">
        <v>0</v>
      </c>
      <c r="BH77" s="229">
        <v>-0.1154</v>
      </c>
      <c r="BI77" s="228">
        <v>915</v>
      </c>
      <c r="BJ77" s="230">
        <v>2288</v>
      </c>
      <c r="BK77" s="230">
        <v>-1373</v>
      </c>
      <c r="BL77" s="229">
        <v>-0.6</v>
      </c>
      <c r="BM77" s="228">
        <v>307</v>
      </c>
      <c r="BN77" s="228">
        <v>739</v>
      </c>
      <c r="BO77" s="228">
        <v>-432</v>
      </c>
      <c r="BP77" s="229">
        <v>-0.5847</v>
      </c>
      <c r="BQ77" s="230">
        <v>1430</v>
      </c>
      <c r="BR77" s="230">
        <v>3364</v>
      </c>
      <c r="BS77" s="230">
        <v>-1934</v>
      </c>
      <c r="BT77" s="229">
        <v>-0.57489999999999997</v>
      </c>
      <c r="BU77" s="230">
        <v>767503</v>
      </c>
      <c r="BV77" s="230">
        <v>1863967</v>
      </c>
      <c r="BW77" s="230">
        <v>-1096464</v>
      </c>
      <c r="BX77" s="229">
        <v>-0.58819999999999995</v>
      </c>
      <c r="BY77" s="230">
        <v>2411</v>
      </c>
      <c r="BZ77" s="230">
        <v>2385</v>
      </c>
      <c r="CA77" s="228">
        <v>27</v>
      </c>
      <c r="CB77" s="229">
        <v>1.1299999999999999E-2</v>
      </c>
      <c r="CC77" s="230">
        <v>2184</v>
      </c>
      <c r="CD77" s="230">
        <v>2191</v>
      </c>
      <c r="CE77" s="228">
        <v>-7</v>
      </c>
      <c r="CF77" s="229">
        <v>-3.2000000000000002E-3</v>
      </c>
      <c r="CG77" s="228">
        <v>216</v>
      </c>
      <c r="CH77" s="228">
        <v>183</v>
      </c>
      <c r="CI77" s="228">
        <v>33</v>
      </c>
      <c r="CJ77" s="229">
        <v>0.18210000000000001</v>
      </c>
      <c r="CK77" s="228">
        <v>12</v>
      </c>
      <c r="CL77" s="228">
        <v>11</v>
      </c>
      <c r="CM77" s="228">
        <v>1</v>
      </c>
      <c r="CN77" s="229">
        <v>6.1499999999999999E-2</v>
      </c>
      <c r="CO77" s="230">
        <v>1419</v>
      </c>
      <c r="CP77" s="230">
        <v>1498</v>
      </c>
      <c r="CQ77" s="228">
        <v>-79</v>
      </c>
      <c r="CR77" s="229">
        <v>-5.2499999999999998E-2</v>
      </c>
      <c r="CS77" s="228">
        <v>647</v>
      </c>
      <c r="CT77" s="228">
        <v>648</v>
      </c>
      <c r="CU77" s="228">
        <v>0</v>
      </c>
      <c r="CV77" s="229">
        <v>-5.9999999999999995E-4</v>
      </c>
      <c r="CW77" s="230">
        <v>4478</v>
      </c>
      <c r="CX77" s="230">
        <v>4530</v>
      </c>
      <c r="CY77" s="228">
        <v>-52</v>
      </c>
      <c r="CZ77" s="229">
        <v>-1.15E-2</v>
      </c>
      <c r="DA77" s="228">
        <v>18.21</v>
      </c>
      <c r="DB77" s="228">
        <v>19.82</v>
      </c>
      <c r="DC77" s="228">
        <v>-1.61</v>
      </c>
      <c r="DD77" s="228">
        <v>-1.61</v>
      </c>
      <c r="DE77" s="228">
        <v>25.27</v>
      </c>
      <c r="DF77" s="228">
        <v>25.32</v>
      </c>
      <c r="DG77" s="228">
        <v>-7.06</v>
      </c>
      <c r="DH77" s="228">
        <v>-0.05</v>
      </c>
      <c r="DI77" s="228">
        <v>18.399999999999999</v>
      </c>
      <c r="DJ77" s="228">
        <v>20.440000000000001</v>
      </c>
      <c r="DK77" s="228">
        <v>-2.04</v>
      </c>
      <c r="DL77" s="228">
        <v>-2.04</v>
      </c>
      <c r="DM77" s="228">
        <v>17.670000000000002</v>
      </c>
      <c r="DN77" s="228">
        <v>17.89</v>
      </c>
      <c r="DO77" s="228">
        <v>-0.22</v>
      </c>
      <c r="DP77" s="228">
        <v>-0.22</v>
      </c>
      <c r="DQ77" s="228">
        <v>0.46</v>
      </c>
      <c r="DR77" s="228">
        <v>0.43</v>
      </c>
      <c r="DS77" s="228">
        <v>0.03</v>
      </c>
      <c r="DT77" s="229">
        <v>6.9800000000000001E-2</v>
      </c>
      <c r="DU77" s="228">
        <v>800</v>
      </c>
      <c r="DV77" s="228">
        <v>700</v>
      </c>
      <c r="DW77" s="228">
        <v>0.34</v>
      </c>
      <c r="DX77" s="228">
        <v>0.32</v>
      </c>
      <c r="DY77" s="228">
        <v>0.02</v>
      </c>
      <c r="DZ77" s="229">
        <v>6.25E-2</v>
      </c>
      <c r="EA77" s="229">
        <v>9.4399999999999998E-2</v>
      </c>
      <c r="EB77" s="230">
        <v>2553100</v>
      </c>
      <c r="EC77" s="229">
        <v>6.8999999999999999E-3</v>
      </c>
      <c r="ED77" s="229">
        <v>9.4399999999999998E-2</v>
      </c>
      <c r="EE77" s="228">
        <v>4.92</v>
      </c>
      <c r="EF77" s="229">
        <v>6.4999999999999997E-3</v>
      </c>
      <c r="EG77" s="230">
        <v>374206</v>
      </c>
      <c r="EH77" s="230">
        <v>972360</v>
      </c>
      <c r="EI77" s="229">
        <v>-0.61519999999999997</v>
      </c>
      <c r="EJ77" s="229">
        <v>0.48759999999999998</v>
      </c>
      <c r="EK77" s="228">
        <v>943.35</v>
      </c>
      <c r="EL77" s="228">
        <v>303.42</v>
      </c>
      <c r="EM77" s="228">
        <v>207.7</v>
      </c>
      <c r="EN77" s="228">
        <v>33.82</v>
      </c>
      <c r="EO77" s="231">
        <v>1454.47</v>
      </c>
      <c r="EP77" s="231">
        <v>3452.29</v>
      </c>
      <c r="EQ77" s="231">
        <v>-1997.82</v>
      </c>
      <c r="ER77" s="229">
        <v>-0.57869999999999999</v>
      </c>
      <c r="ES77" s="231">
        <v>1497.39</v>
      </c>
      <c r="ET77" s="228">
        <v>633.35</v>
      </c>
      <c r="EU77" s="231">
        <v>2413.11</v>
      </c>
      <c r="EV77" s="231">
        <v>119296253</v>
      </c>
      <c r="EW77" s="231">
        <v>4543.8500000000004</v>
      </c>
      <c r="EX77" s="231">
        <v>4587.8999999999996</v>
      </c>
      <c r="EY77" s="228">
        <v>-44.05</v>
      </c>
      <c r="EZ77" s="229">
        <v>-9.5999999999999992E-3</v>
      </c>
      <c r="FA77" s="229">
        <v>0.49469999999999997</v>
      </c>
      <c r="FB77" s="227" t="s">
        <v>555</v>
      </c>
      <c r="FC77">
        <f t="shared" si="1"/>
        <v>227</v>
      </c>
    </row>
    <row r="78" spans="1:159" ht="17.25" thickBot="1" x14ac:dyDescent="0.3">
      <c r="A78" s="226">
        <v>46009</v>
      </c>
      <c r="B78" s="227" t="s">
        <v>162</v>
      </c>
      <c r="C78" s="227" t="s">
        <v>226</v>
      </c>
      <c r="D78" s="228">
        <v>150</v>
      </c>
      <c r="E78" s="228">
        <v>12</v>
      </c>
      <c r="F78" s="231">
        <v>5749.5</v>
      </c>
      <c r="G78" s="231">
        <v>5827.5</v>
      </c>
      <c r="H78" s="228">
        <v>-78</v>
      </c>
      <c r="I78" s="229">
        <v>-1.34E-2</v>
      </c>
      <c r="J78" s="231">
        <v>5748.5</v>
      </c>
      <c r="K78" s="231">
        <v>5817</v>
      </c>
      <c r="L78" s="228">
        <v>-68.5</v>
      </c>
      <c r="M78" s="229">
        <v>-1.18E-2</v>
      </c>
      <c r="N78" s="231">
        <v>5749.5</v>
      </c>
      <c r="O78" s="231">
        <v>5827.5</v>
      </c>
      <c r="P78" s="228">
        <v>-78</v>
      </c>
      <c r="Q78" s="229">
        <v>-1.34E-2</v>
      </c>
      <c r="R78" s="231">
        <v>5785</v>
      </c>
      <c r="S78" s="231">
        <v>5861.5</v>
      </c>
      <c r="T78" s="228">
        <v>-76.5</v>
      </c>
      <c r="U78" s="229">
        <v>-1.3100000000000001E-2</v>
      </c>
      <c r="V78" s="231">
        <v>5782.5</v>
      </c>
      <c r="W78" s="231">
        <v>5854</v>
      </c>
      <c r="X78" s="228">
        <v>-71.5</v>
      </c>
      <c r="Y78" s="229">
        <v>-1.2200000000000001E-2</v>
      </c>
      <c r="Z78" s="228">
        <v>1</v>
      </c>
      <c r="AA78" s="228">
        <v>10.5</v>
      </c>
      <c r="AB78" s="228">
        <v>-9.5</v>
      </c>
      <c r="AC78" s="229">
        <v>2.0000000000000001E-4</v>
      </c>
      <c r="AD78" s="228">
        <v>1</v>
      </c>
      <c r="AE78" s="228">
        <v>10.5</v>
      </c>
      <c r="AF78" s="228">
        <v>-9.5</v>
      </c>
      <c r="AG78" s="229">
        <v>2.0000000000000001E-4</v>
      </c>
      <c r="AH78" s="228">
        <v>36.5</v>
      </c>
      <c r="AI78" s="228">
        <v>44.5</v>
      </c>
      <c r="AJ78" s="228">
        <v>-8</v>
      </c>
      <c r="AK78" s="229">
        <v>6.3E-3</v>
      </c>
      <c r="AL78" s="228">
        <v>34</v>
      </c>
      <c r="AM78" s="228">
        <v>37</v>
      </c>
      <c r="AN78" s="228">
        <v>-3</v>
      </c>
      <c r="AO78" s="229">
        <v>5.8999999999999999E-3</v>
      </c>
      <c r="AP78" s="231">
        <v>5701.74</v>
      </c>
      <c r="AQ78" s="231">
        <v>5745.84</v>
      </c>
      <c r="AR78" s="228">
        <v>0</v>
      </c>
      <c r="AS78" s="230">
        <v>1144</v>
      </c>
      <c r="AT78" s="228">
        <v>568</v>
      </c>
      <c r="AU78" s="228">
        <v>577</v>
      </c>
      <c r="AV78" s="229">
        <v>1.0155000000000001</v>
      </c>
      <c r="AW78" s="230">
        <v>1016</v>
      </c>
      <c r="AX78" s="228">
        <v>502</v>
      </c>
      <c r="AY78" s="228">
        <v>515</v>
      </c>
      <c r="AZ78" s="229">
        <v>1.0261</v>
      </c>
      <c r="BA78" s="228">
        <v>121</v>
      </c>
      <c r="BB78" s="228">
        <v>62</v>
      </c>
      <c r="BC78" s="228">
        <v>60</v>
      </c>
      <c r="BD78" s="229">
        <v>0.96640000000000004</v>
      </c>
      <c r="BE78" s="228">
        <v>7</v>
      </c>
      <c r="BF78" s="228">
        <v>5</v>
      </c>
      <c r="BG78" s="228">
        <v>2</v>
      </c>
      <c r="BH78" s="229">
        <v>0.51849999999999996</v>
      </c>
      <c r="BI78" s="230">
        <v>8600</v>
      </c>
      <c r="BJ78" s="230">
        <v>3878</v>
      </c>
      <c r="BK78" s="230">
        <v>4722</v>
      </c>
      <c r="BL78" s="229">
        <v>1.2178</v>
      </c>
      <c r="BM78" s="230">
        <v>5757</v>
      </c>
      <c r="BN78" s="230">
        <v>3052</v>
      </c>
      <c r="BO78" s="230">
        <v>2705</v>
      </c>
      <c r="BP78" s="229">
        <v>0.88619999999999999</v>
      </c>
      <c r="BQ78" s="230">
        <v>15502</v>
      </c>
      <c r="BR78" s="230">
        <v>7498</v>
      </c>
      <c r="BS78" s="230">
        <v>8004</v>
      </c>
      <c r="BT78" s="229">
        <v>1.0674999999999999</v>
      </c>
      <c r="BU78" s="230">
        <v>1135158</v>
      </c>
      <c r="BV78" s="230">
        <v>627506</v>
      </c>
      <c r="BW78" s="230">
        <v>507652</v>
      </c>
      <c r="BX78" s="229">
        <v>0.80900000000000005</v>
      </c>
      <c r="BY78" s="230">
        <v>3510</v>
      </c>
      <c r="BZ78" s="230">
        <v>3507</v>
      </c>
      <c r="CA78" s="228">
        <v>3</v>
      </c>
      <c r="CB78" s="229">
        <v>8.0000000000000004E-4</v>
      </c>
      <c r="CC78" s="230">
        <v>3329</v>
      </c>
      <c r="CD78" s="230">
        <v>3364</v>
      </c>
      <c r="CE78" s="228">
        <v>-35</v>
      </c>
      <c r="CF78" s="229">
        <v>-1.0500000000000001E-2</v>
      </c>
      <c r="CG78" s="228">
        <v>157</v>
      </c>
      <c r="CH78" s="228">
        <v>120</v>
      </c>
      <c r="CI78" s="228">
        <v>37</v>
      </c>
      <c r="CJ78" s="229">
        <v>0.30520000000000003</v>
      </c>
      <c r="CK78" s="228">
        <v>24</v>
      </c>
      <c r="CL78" s="228">
        <v>22</v>
      </c>
      <c r="CM78" s="228">
        <v>1</v>
      </c>
      <c r="CN78" s="229">
        <v>6.1499999999999999E-2</v>
      </c>
      <c r="CO78" s="230">
        <v>2963</v>
      </c>
      <c r="CP78" s="230">
        <v>2115</v>
      </c>
      <c r="CQ78" s="228">
        <v>849</v>
      </c>
      <c r="CR78" s="229">
        <v>0.40139999999999998</v>
      </c>
      <c r="CS78" s="230">
        <v>1276</v>
      </c>
      <c r="CT78" s="230">
        <v>1156</v>
      </c>
      <c r="CU78" s="228">
        <v>120</v>
      </c>
      <c r="CV78" s="229">
        <v>0.1038</v>
      </c>
      <c r="CW78" s="230">
        <v>7749</v>
      </c>
      <c r="CX78" s="230">
        <v>6777</v>
      </c>
      <c r="CY78" s="228">
        <v>972</v>
      </c>
      <c r="CZ78" s="229">
        <v>0.1434</v>
      </c>
      <c r="DA78" s="228">
        <v>22.37</v>
      </c>
      <c r="DB78" s="228">
        <v>22.65</v>
      </c>
      <c r="DC78" s="228">
        <v>-0.28000000000000003</v>
      </c>
      <c r="DD78" s="228">
        <v>-0.28000000000000003</v>
      </c>
      <c r="DE78" s="228">
        <v>30.37</v>
      </c>
      <c r="DF78" s="228">
        <v>30.4</v>
      </c>
      <c r="DG78" s="228">
        <v>-8</v>
      </c>
      <c r="DH78" s="228">
        <v>-0.03</v>
      </c>
      <c r="DI78" s="228">
        <v>23.21</v>
      </c>
      <c r="DJ78" s="228">
        <v>23.64</v>
      </c>
      <c r="DK78" s="228">
        <v>-0.43</v>
      </c>
      <c r="DL78" s="228">
        <v>-0.43</v>
      </c>
      <c r="DM78" s="228">
        <v>21.11</v>
      </c>
      <c r="DN78" s="228">
        <v>21.38</v>
      </c>
      <c r="DO78" s="228">
        <v>-0.27</v>
      </c>
      <c r="DP78" s="228">
        <v>-0.27</v>
      </c>
      <c r="DQ78" s="228">
        <v>0.43</v>
      </c>
      <c r="DR78" s="228">
        <v>0.55000000000000004</v>
      </c>
      <c r="DS78" s="228">
        <v>-0.12</v>
      </c>
      <c r="DT78" s="229">
        <v>-0.21820000000000001</v>
      </c>
      <c r="DU78" s="231">
        <v>6100</v>
      </c>
      <c r="DV78" s="231">
        <v>5400</v>
      </c>
      <c r="DW78" s="228">
        <v>0.67</v>
      </c>
      <c r="DX78" s="228">
        <v>0.79</v>
      </c>
      <c r="DY78" s="228">
        <v>-0.12</v>
      </c>
      <c r="DZ78" s="229">
        <v>-0.15190000000000001</v>
      </c>
      <c r="EA78" s="229">
        <v>5.16E-2</v>
      </c>
      <c r="EB78" s="230">
        <v>248400</v>
      </c>
      <c r="EC78" s="229">
        <v>6.1999999999999998E-3</v>
      </c>
      <c r="ED78" s="229">
        <v>5.16E-2</v>
      </c>
      <c r="EE78" s="228">
        <v>44.1</v>
      </c>
      <c r="EF78" s="229">
        <v>7.7000000000000002E-3</v>
      </c>
      <c r="EG78" s="230">
        <v>621156</v>
      </c>
      <c r="EH78" s="230">
        <v>415417</v>
      </c>
      <c r="EI78" s="229">
        <v>0.49530000000000002</v>
      </c>
      <c r="EJ78" s="229">
        <v>0.54720000000000002</v>
      </c>
      <c r="EK78" s="231">
        <v>9014.92</v>
      </c>
      <c r="EL78" s="231">
        <v>5707.12</v>
      </c>
      <c r="EM78" s="231">
        <v>1135.72</v>
      </c>
      <c r="EN78" s="228">
        <v>50.33</v>
      </c>
      <c r="EO78" s="231">
        <v>15857.76</v>
      </c>
      <c r="EP78" s="231">
        <v>7814.66</v>
      </c>
      <c r="EQ78" s="231">
        <v>8043.1</v>
      </c>
      <c r="ER78" s="229">
        <v>1.0291999999999999</v>
      </c>
      <c r="ES78" s="231">
        <v>3186.68</v>
      </c>
      <c r="ET78" s="231">
        <v>1272.6099999999999</v>
      </c>
      <c r="EU78" s="231">
        <v>3510.75</v>
      </c>
      <c r="EV78" s="231">
        <v>19579129</v>
      </c>
      <c r="EW78" s="231">
        <v>7970.03</v>
      </c>
      <c r="EX78" s="231">
        <v>7018.82</v>
      </c>
      <c r="EY78" s="228">
        <v>951.21</v>
      </c>
      <c r="EZ78" s="229">
        <v>0.13550000000000001</v>
      </c>
      <c r="FA78" s="229">
        <v>0.68840000000000001</v>
      </c>
      <c r="FB78" s="227" t="s">
        <v>567</v>
      </c>
      <c r="FC78">
        <f t="shared" si="1"/>
        <v>181</v>
      </c>
    </row>
    <row r="79" spans="1:159" ht="17.25" thickBot="1" x14ac:dyDescent="0.3">
      <c r="A79" s="226">
        <v>46009</v>
      </c>
      <c r="B79" s="227" t="s">
        <v>221</v>
      </c>
      <c r="C79" s="227" t="s">
        <v>576</v>
      </c>
      <c r="D79" s="228">
        <v>6450</v>
      </c>
      <c r="E79" s="228">
        <v>12</v>
      </c>
      <c r="F79" s="228">
        <v>64.75</v>
      </c>
      <c r="G79" s="228">
        <v>64.63</v>
      </c>
      <c r="H79" s="228">
        <v>0.12</v>
      </c>
      <c r="I79" s="229">
        <v>1.9E-3</v>
      </c>
      <c r="J79" s="228">
        <v>64.62</v>
      </c>
      <c r="K79" s="228">
        <v>64.53</v>
      </c>
      <c r="L79" s="228">
        <v>0.09</v>
      </c>
      <c r="M79" s="229">
        <v>1.4E-3</v>
      </c>
      <c r="N79" s="228">
        <v>64.75</v>
      </c>
      <c r="O79" s="228">
        <v>64.63</v>
      </c>
      <c r="P79" s="228">
        <v>0.12</v>
      </c>
      <c r="Q79" s="229">
        <v>1.9E-3</v>
      </c>
      <c r="R79" s="228">
        <v>0</v>
      </c>
      <c r="S79" s="228">
        <v>0</v>
      </c>
      <c r="T79" s="228">
        <v>0</v>
      </c>
      <c r="U79" s="229">
        <v>0</v>
      </c>
      <c r="V79" s="228">
        <v>0</v>
      </c>
      <c r="W79" s="228">
        <v>0</v>
      </c>
      <c r="X79" s="228">
        <v>0</v>
      </c>
      <c r="Y79" s="229">
        <v>0</v>
      </c>
      <c r="Z79" s="228">
        <v>0.13</v>
      </c>
      <c r="AA79" s="228">
        <v>0.1</v>
      </c>
      <c r="AB79" s="228">
        <v>0.03</v>
      </c>
      <c r="AC79" s="229">
        <v>2E-3</v>
      </c>
      <c r="AD79" s="228">
        <v>0.13</v>
      </c>
      <c r="AE79" s="228">
        <v>0.1</v>
      </c>
      <c r="AF79" s="228">
        <v>0.03</v>
      </c>
      <c r="AG79" s="229">
        <v>2E-3</v>
      </c>
      <c r="AH79" s="228">
        <v>0</v>
      </c>
      <c r="AI79" s="228">
        <v>0</v>
      </c>
      <c r="AJ79" s="228">
        <v>0</v>
      </c>
      <c r="AK79" s="229">
        <v>0</v>
      </c>
      <c r="AL79" s="228">
        <v>0</v>
      </c>
      <c r="AM79" s="228">
        <v>0</v>
      </c>
      <c r="AN79" s="228">
        <v>0</v>
      </c>
      <c r="AO79" s="229">
        <v>0</v>
      </c>
      <c r="AP79" s="228">
        <v>64.849999999999994</v>
      </c>
      <c r="AQ79" s="228">
        <v>0</v>
      </c>
      <c r="AR79" s="228">
        <v>0</v>
      </c>
      <c r="AS79" s="228">
        <v>56</v>
      </c>
      <c r="AT79" s="228">
        <v>50</v>
      </c>
      <c r="AU79" s="228">
        <v>6</v>
      </c>
      <c r="AV79" s="229">
        <v>0.1205</v>
      </c>
      <c r="AW79" s="228">
        <v>56</v>
      </c>
      <c r="AX79" s="228">
        <v>50</v>
      </c>
      <c r="AY79" s="228">
        <v>6</v>
      </c>
      <c r="AZ79" s="229">
        <v>0.1205</v>
      </c>
      <c r="BA79" s="228">
        <v>0</v>
      </c>
      <c r="BB79" s="228">
        <v>0</v>
      </c>
      <c r="BC79" s="228">
        <v>0</v>
      </c>
      <c r="BD79" s="229">
        <v>0</v>
      </c>
      <c r="BE79" s="228">
        <v>0</v>
      </c>
      <c r="BF79" s="228">
        <v>0</v>
      </c>
      <c r="BG79" s="228">
        <v>0</v>
      </c>
      <c r="BH79" s="229">
        <v>0</v>
      </c>
      <c r="BI79" s="228">
        <v>185</v>
      </c>
      <c r="BJ79" s="228">
        <v>194</v>
      </c>
      <c r="BK79" s="228">
        <v>-9</v>
      </c>
      <c r="BL79" s="229">
        <v>-4.6600000000000003E-2</v>
      </c>
      <c r="BM79" s="228">
        <v>72</v>
      </c>
      <c r="BN79" s="228">
        <v>124</v>
      </c>
      <c r="BO79" s="228">
        <v>-52</v>
      </c>
      <c r="BP79" s="229">
        <v>-0.41689999999999999</v>
      </c>
      <c r="BQ79" s="228">
        <v>314</v>
      </c>
      <c r="BR79" s="228">
        <v>369</v>
      </c>
      <c r="BS79" s="228">
        <v>-55</v>
      </c>
      <c r="BT79" s="229">
        <v>-0.14829999999999999</v>
      </c>
      <c r="BU79" s="230">
        <v>10907238</v>
      </c>
      <c r="BV79" s="230">
        <v>9463945</v>
      </c>
      <c r="BW79" s="230">
        <v>1443293</v>
      </c>
      <c r="BX79" s="229">
        <v>0.1525</v>
      </c>
      <c r="BY79" s="228">
        <v>671</v>
      </c>
      <c r="BZ79" s="228">
        <v>678</v>
      </c>
      <c r="CA79" s="228">
        <v>-7</v>
      </c>
      <c r="CB79" s="229">
        <v>-0.01</v>
      </c>
      <c r="CC79" s="228">
        <v>671</v>
      </c>
      <c r="CD79" s="228">
        <v>678</v>
      </c>
      <c r="CE79" s="228">
        <v>-7</v>
      </c>
      <c r="CF79" s="229">
        <v>-0.01</v>
      </c>
      <c r="CG79" s="228">
        <v>0</v>
      </c>
      <c r="CH79" s="228">
        <v>0</v>
      </c>
      <c r="CI79" s="228">
        <v>0</v>
      </c>
      <c r="CJ79" s="229">
        <v>0</v>
      </c>
      <c r="CK79" s="228">
        <v>0</v>
      </c>
      <c r="CL79" s="228">
        <v>0</v>
      </c>
      <c r="CM79" s="228">
        <v>0</v>
      </c>
      <c r="CN79" s="229">
        <v>0</v>
      </c>
      <c r="CO79" s="228">
        <v>483</v>
      </c>
      <c r="CP79" s="228">
        <v>496</v>
      </c>
      <c r="CQ79" s="228">
        <v>-13</v>
      </c>
      <c r="CR79" s="229">
        <v>-2.6499999999999999E-2</v>
      </c>
      <c r="CS79" s="228">
        <v>207</v>
      </c>
      <c r="CT79" s="228">
        <v>206</v>
      </c>
      <c r="CU79" s="228">
        <v>1</v>
      </c>
      <c r="CV79" s="229">
        <v>5.3E-3</v>
      </c>
      <c r="CW79" s="230">
        <v>1361</v>
      </c>
      <c r="CX79" s="230">
        <v>1379</v>
      </c>
      <c r="CY79" s="228">
        <v>-19</v>
      </c>
      <c r="CZ79" s="229">
        <v>-1.3599999999999999E-2</v>
      </c>
      <c r="DA79" s="228">
        <v>37.96</v>
      </c>
      <c r="DB79" s="228">
        <v>40.04</v>
      </c>
      <c r="DC79" s="228">
        <v>-2.08</v>
      </c>
      <c r="DD79" s="228">
        <v>-2.08</v>
      </c>
      <c r="DE79" s="228">
        <v>52.13</v>
      </c>
      <c r="DF79" s="228">
        <v>52.26</v>
      </c>
      <c r="DG79" s="228">
        <v>-14.17</v>
      </c>
      <c r="DH79" s="228">
        <v>-0.13</v>
      </c>
      <c r="DI79" s="228">
        <v>38.130000000000003</v>
      </c>
      <c r="DJ79" s="228">
        <v>40.74</v>
      </c>
      <c r="DK79" s="228">
        <v>-2.61</v>
      </c>
      <c r="DL79" s="228">
        <v>-2.61</v>
      </c>
      <c r="DM79" s="228">
        <v>37.53</v>
      </c>
      <c r="DN79" s="228">
        <v>38.94</v>
      </c>
      <c r="DO79" s="228">
        <v>-1.41</v>
      </c>
      <c r="DP79" s="228">
        <v>-1.41</v>
      </c>
      <c r="DQ79" s="228">
        <v>0.43</v>
      </c>
      <c r="DR79" s="228">
        <v>0.41</v>
      </c>
      <c r="DS79" s="228">
        <v>0.02</v>
      </c>
      <c r="DT79" s="229">
        <v>4.8800000000000003E-2</v>
      </c>
      <c r="DU79" s="228">
        <v>70</v>
      </c>
      <c r="DV79" s="228">
        <v>75</v>
      </c>
      <c r="DW79" s="228">
        <v>0.39</v>
      </c>
      <c r="DX79" s="228">
        <v>0.64</v>
      </c>
      <c r="DY79" s="228">
        <v>-0.25</v>
      </c>
      <c r="DZ79" s="229">
        <v>-0.3906</v>
      </c>
      <c r="EA79" s="229">
        <v>0</v>
      </c>
      <c r="EB79" s="228">
        <v>0</v>
      </c>
      <c r="EC79" s="229">
        <v>0</v>
      </c>
      <c r="ED79" s="229">
        <v>0</v>
      </c>
      <c r="EE79" s="228">
        <v>0</v>
      </c>
      <c r="EF79" s="229">
        <v>0</v>
      </c>
      <c r="EG79" s="230">
        <v>2486441</v>
      </c>
      <c r="EH79" s="230">
        <v>2864349</v>
      </c>
      <c r="EI79" s="229">
        <v>-0.13189999999999999</v>
      </c>
      <c r="EJ79" s="229">
        <v>0.22800000000000001</v>
      </c>
      <c r="EK79" s="228">
        <v>199.83</v>
      </c>
      <c r="EL79" s="228">
        <v>72.53</v>
      </c>
      <c r="EM79" s="228">
        <v>56.38</v>
      </c>
      <c r="EN79" s="228">
        <v>19.739999999999998</v>
      </c>
      <c r="EO79" s="228">
        <v>328.73</v>
      </c>
      <c r="EP79" s="228">
        <v>385.08</v>
      </c>
      <c r="EQ79" s="228">
        <v>-56.34</v>
      </c>
      <c r="ER79" s="229">
        <v>-0.14630000000000001</v>
      </c>
      <c r="ES79" s="228">
        <v>537.64</v>
      </c>
      <c r="ET79" s="228">
        <v>218.38</v>
      </c>
      <c r="EU79" s="228">
        <v>671.27</v>
      </c>
      <c r="EV79" s="231">
        <v>147979599</v>
      </c>
      <c r="EW79" s="231">
        <v>1427.29</v>
      </c>
      <c r="EX79" s="231">
        <v>1447.88</v>
      </c>
      <c r="EY79" s="228">
        <v>-20.59</v>
      </c>
      <c r="EZ79" s="229">
        <v>-1.4200000000000001E-2</v>
      </c>
      <c r="FA79" s="229">
        <v>1.4198999999999999</v>
      </c>
      <c r="FB79" s="227" t="s">
        <v>556</v>
      </c>
      <c r="FC79">
        <f t="shared" si="1"/>
        <v>0</v>
      </c>
    </row>
    <row r="80" spans="1:159" ht="17.25" thickBot="1" x14ac:dyDescent="0.3">
      <c r="A80" s="226">
        <v>46009</v>
      </c>
      <c r="B80" s="227" t="s">
        <v>227</v>
      </c>
      <c r="C80" s="227" t="s">
        <v>228</v>
      </c>
      <c r="D80" s="228">
        <v>700</v>
      </c>
      <c r="E80" s="228">
        <v>12</v>
      </c>
      <c r="F80" s="228">
        <v>858</v>
      </c>
      <c r="G80" s="228">
        <v>849.65</v>
      </c>
      <c r="H80" s="228">
        <v>8.35</v>
      </c>
      <c r="I80" s="229">
        <v>9.7999999999999997E-3</v>
      </c>
      <c r="J80" s="228">
        <v>856.7</v>
      </c>
      <c r="K80" s="228">
        <v>848.8</v>
      </c>
      <c r="L80" s="228">
        <v>7.9</v>
      </c>
      <c r="M80" s="229">
        <v>9.2999999999999992E-3</v>
      </c>
      <c r="N80" s="228">
        <v>858</v>
      </c>
      <c r="O80" s="228">
        <v>849.65</v>
      </c>
      <c r="P80" s="228">
        <v>8.35</v>
      </c>
      <c r="Q80" s="229">
        <v>9.7999999999999997E-3</v>
      </c>
      <c r="R80" s="228">
        <v>863.55</v>
      </c>
      <c r="S80" s="228">
        <v>855</v>
      </c>
      <c r="T80" s="228">
        <v>8.5500000000000007</v>
      </c>
      <c r="U80" s="229">
        <v>0.01</v>
      </c>
      <c r="V80" s="228">
        <v>868.2</v>
      </c>
      <c r="W80" s="228">
        <v>859.45</v>
      </c>
      <c r="X80" s="228">
        <v>8.75</v>
      </c>
      <c r="Y80" s="229">
        <v>1.0200000000000001E-2</v>
      </c>
      <c r="Z80" s="228">
        <v>1.3</v>
      </c>
      <c r="AA80" s="228">
        <v>0.85</v>
      </c>
      <c r="AB80" s="228">
        <v>0.45</v>
      </c>
      <c r="AC80" s="229">
        <v>1.5E-3</v>
      </c>
      <c r="AD80" s="228">
        <v>1.3</v>
      </c>
      <c r="AE80" s="228">
        <v>0.85</v>
      </c>
      <c r="AF80" s="228">
        <v>0.45</v>
      </c>
      <c r="AG80" s="229">
        <v>1.5E-3</v>
      </c>
      <c r="AH80" s="228">
        <v>6.85</v>
      </c>
      <c r="AI80" s="228">
        <v>6.2</v>
      </c>
      <c r="AJ80" s="228">
        <v>0.65</v>
      </c>
      <c r="AK80" s="229">
        <v>8.0000000000000002E-3</v>
      </c>
      <c r="AL80" s="228">
        <v>11.5</v>
      </c>
      <c r="AM80" s="228">
        <v>10.65</v>
      </c>
      <c r="AN80" s="228">
        <v>0.85</v>
      </c>
      <c r="AO80" s="229">
        <v>1.34E-2</v>
      </c>
      <c r="AP80" s="228">
        <v>857.39</v>
      </c>
      <c r="AQ80" s="228">
        <v>863.55</v>
      </c>
      <c r="AR80" s="228">
        <v>0</v>
      </c>
      <c r="AS80" s="230">
        <v>1672</v>
      </c>
      <c r="AT80" s="228">
        <v>719</v>
      </c>
      <c r="AU80" s="228">
        <v>953</v>
      </c>
      <c r="AV80" s="229">
        <v>1.3254999999999999</v>
      </c>
      <c r="AW80" s="230">
        <v>1081</v>
      </c>
      <c r="AX80" s="228">
        <v>585</v>
      </c>
      <c r="AY80" s="228">
        <v>496</v>
      </c>
      <c r="AZ80" s="229">
        <v>0.8478</v>
      </c>
      <c r="BA80" s="228">
        <v>581</v>
      </c>
      <c r="BB80" s="228">
        <v>129</v>
      </c>
      <c r="BC80" s="228">
        <v>452</v>
      </c>
      <c r="BD80" s="229">
        <v>3.5042</v>
      </c>
      <c r="BE80" s="228">
        <v>10</v>
      </c>
      <c r="BF80" s="228">
        <v>5</v>
      </c>
      <c r="BG80" s="228">
        <v>5</v>
      </c>
      <c r="BH80" s="229">
        <v>0.98819999999999997</v>
      </c>
      <c r="BI80" s="230">
        <v>2987</v>
      </c>
      <c r="BJ80" s="230">
        <v>2279</v>
      </c>
      <c r="BK80" s="228">
        <v>708</v>
      </c>
      <c r="BL80" s="229">
        <v>0.3105</v>
      </c>
      <c r="BM80" s="230">
        <v>1603</v>
      </c>
      <c r="BN80" s="230">
        <v>1005</v>
      </c>
      <c r="BO80" s="228">
        <v>599</v>
      </c>
      <c r="BP80" s="229">
        <v>0.59609999999999996</v>
      </c>
      <c r="BQ80" s="230">
        <v>6262</v>
      </c>
      <c r="BR80" s="230">
        <v>4003</v>
      </c>
      <c r="BS80" s="230">
        <v>2259</v>
      </c>
      <c r="BT80" s="229">
        <v>0.5645</v>
      </c>
      <c r="BU80" s="230">
        <v>4277747</v>
      </c>
      <c r="BV80" s="230">
        <v>3347045</v>
      </c>
      <c r="BW80" s="230">
        <v>930702</v>
      </c>
      <c r="BX80" s="229">
        <v>0.27810000000000001</v>
      </c>
      <c r="BY80" s="230">
        <v>6762</v>
      </c>
      <c r="BZ80" s="230">
        <v>6701</v>
      </c>
      <c r="CA80" s="228">
        <v>61</v>
      </c>
      <c r="CB80" s="229">
        <v>9.1999999999999998E-3</v>
      </c>
      <c r="CC80" s="230">
        <v>5964</v>
      </c>
      <c r="CD80" s="230">
        <v>6420</v>
      </c>
      <c r="CE80" s="228">
        <v>-456</v>
      </c>
      <c r="CF80" s="229">
        <v>-7.0999999999999994E-2</v>
      </c>
      <c r="CG80" s="228">
        <v>775</v>
      </c>
      <c r="CH80" s="228">
        <v>261</v>
      </c>
      <c r="CI80" s="228">
        <v>514</v>
      </c>
      <c r="CJ80" s="229">
        <v>1.9641999999999999</v>
      </c>
      <c r="CK80" s="228">
        <v>23</v>
      </c>
      <c r="CL80" s="228">
        <v>19</v>
      </c>
      <c r="CM80" s="228">
        <v>4</v>
      </c>
      <c r="CN80" s="229">
        <v>0.20380000000000001</v>
      </c>
      <c r="CO80" s="230">
        <v>1319</v>
      </c>
      <c r="CP80" s="230">
        <v>1338</v>
      </c>
      <c r="CQ80" s="228">
        <v>-19</v>
      </c>
      <c r="CR80" s="229">
        <v>-1.4200000000000001E-2</v>
      </c>
      <c r="CS80" s="230">
        <v>1020</v>
      </c>
      <c r="CT80" s="228">
        <v>984</v>
      </c>
      <c r="CU80" s="228">
        <v>35</v>
      </c>
      <c r="CV80" s="229">
        <v>3.5799999999999998E-2</v>
      </c>
      <c r="CW80" s="230">
        <v>9100</v>
      </c>
      <c r="CX80" s="230">
        <v>9022</v>
      </c>
      <c r="CY80" s="228">
        <v>78</v>
      </c>
      <c r="CZ80" s="229">
        <v>8.6E-3</v>
      </c>
      <c r="DA80" s="228">
        <v>21.58</v>
      </c>
      <c r="DB80" s="228">
        <v>22.4</v>
      </c>
      <c r="DC80" s="228">
        <v>-0.82</v>
      </c>
      <c r="DD80" s="228">
        <v>-0.82</v>
      </c>
      <c r="DE80" s="228">
        <v>32.53</v>
      </c>
      <c r="DF80" s="228">
        <v>32.590000000000003</v>
      </c>
      <c r="DG80" s="228">
        <v>-10.95</v>
      </c>
      <c r="DH80" s="228">
        <v>-0.06</v>
      </c>
      <c r="DI80" s="228">
        <v>20.95</v>
      </c>
      <c r="DJ80" s="228">
        <v>21.89</v>
      </c>
      <c r="DK80" s="228">
        <v>-0.94</v>
      </c>
      <c r="DL80" s="228">
        <v>-0.94</v>
      </c>
      <c r="DM80" s="228">
        <v>22.75</v>
      </c>
      <c r="DN80" s="228">
        <v>23.55</v>
      </c>
      <c r="DO80" s="228">
        <v>-0.8</v>
      </c>
      <c r="DP80" s="228">
        <v>-0.8</v>
      </c>
      <c r="DQ80" s="228">
        <v>0.77</v>
      </c>
      <c r="DR80" s="228">
        <v>0.74</v>
      </c>
      <c r="DS80" s="228">
        <v>0.03</v>
      </c>
      <c r="DT80" s="229">
        <v>4.0500000000000001E-2</v>
      </c>
      <c r="DU80" s="228">
        <v>800</v>
      </c>
      <c r="DV80" s="228">
        <v>780</v>
      </c>
      <c r="DW80" s="228">
        <v>0.54</v>
      </c>
      <c r="DX80" s="228">
        <v>0.44</v>
      </c>
      <c r="DY80" s="228">
        <v>0.1</v>
      </c>
      <c r="DZ80" s="229">
        <v>0.2273</v>
      </c>
      <c r="EA80" s="229">
        <v>0.11799999999999999</v>
      </c>
      <c r="EB80" s="230">
        <v>3266900</v>
      </c>
      <c r="EC80" s="229">
        <v>6.4999999999999997E-3</v>
      </c>
      <c r="ED80" s="229">
        <v>0.11799999999999999</v>
      </c>
      <c r="EE80" s="228">
        <v>6.16</v>
      </c>
      <c r="EF80" s="229">
        <v>7.1999999999999998E-3</v>
      </c>
      <c r="EG80" s="230">
        <v>2528479</v>
      </c>
      <c r="EH80" s="230">
        <v>1894962</v>
      </c>
      <c r="EI80" s="229">
        <v>0.33429999999999999</v>
      </c>
      <c r="EJ80" s="229">
        <v>0.59109999999999996</v>
      </c>
      <c r="EK80" s="231">
        <v>3059.96</v>
      </c>
      <c r="EL80" s="231">
        <v>1573.74</v>
      </c>
      <c r="EM80" s="231">
        <v>1674.93</v>
      </c>
      <c r="EN80" s="228">
        <v>103.98</v>
      </c>
      <c r="EO80" s="231">
        <v>6308.62</v>
      </c>
      <c r="EP80" s="231">
        <v>4002.54</v>
      </c>
      <c r="EQ80" s="231">
        <v>2306.09</v>
      </c>
      <c r="ER80" s="229">
        <v>0.57620000000000005</v>
      </c>
      <c r="ES80" s="231">
        <v>1316.02</v>
      </c>
      <c r="ET80" s="228">
        <v>949.8</v>
      </c>
      <c r="EU80" s="231">
        <v>6767.26</v>
      </c>
      <c r="EV80" s="231">
        <v>176136372</v>
      </c>
      <c r="EW80" s="231">
        <v>9033.08</v>
      </c>
      <c r="EX80" s="231">
        <v>8877.52</v>
      </c>
      <c r="EY80" s="228">
        <v>155.56</v>
      </c>
      <c r="EZ80" s="229">
        <v>1.7500000000000002E-2</v>
      </c>
      <c r="FA80" s="229">
        <v>0.60219999999999996</v>
      </c>
      <c r="FB80" s="227" t="s">
        <v>555</v>
      </c>
      <c r="FC80">
        <f t="shared" si="1"/>
        <v>798</v>
      </c>
    </row>
    <row r="81" spans="1:159" ht="17.25" thickBot="1" x14ac:dyDescent="0.3">
      <c r="A81" s="226">
        <v>46009</v>
      </c>
      <c r="B81" s="227" t="s">
        <v>193</v>
      </c>
      <c r="C81" s="227" t="s">
        <v>229</v>
      </c>
      <c r="D81" s="228">
        <v>2025</v>
      </c>
      <c r="E81" s="228">
        <v>12</v>
      </c>
      <c r="F81" s="228">
        <v>464.6</v>
      </c>
      <c r="G81" s="228">
        <v>466.4</v>
      </c>
      <c r="H81" s="228">
        <v>-1.8</v>
      </c>
      <c r="I81" s="229">
        <v>-3.8999999999999998E-3</v>
      </c>
      <c r="J81" s="228">
        <v>464</v>
      </c>
      <c r="K81" s="228">
        <v>465.45</v>
      </c>
      <c r="L81" s="228">
        <v>-1.45</v>
      </c>
      <c r="M81" s="229">
        <v>-3.0999999999999999E-3</v>
      </c>
      <c r="N81" s="228">
        <v>464.6</v>
      </c>
      <c r="O81" s="228">
        <v>466.4</v>
      </c>
      <c r="P81" s="228">
        <v>-1.8</v>
      </c>
      <c r="Q81" s="229">
        <v>-3.8999999999999998E-3</v>
      </c>
      <c r="R81" s="228">
        <v>467.6</v>
      </c>
      <c r="S81" s="228">
        <v>469.2</v>
      </c>
      <c r="T81" s="228">
        <v>-1.6</v>
      </c>
      <c r="U81" s="229">
        <v>-3.3999999999999998E-3</v>
      </c>
      <c r="V81" s="228">
        <v>467.35</v>
      </c>
      <c r="W81" s="228">
        <v>469.85</v>
      </c>
      <c r="X81" s="228">
        <v>-2.5</v>
      </c>
      <c r="Y81" s="229">
        <v>-5.3E-3</v>
      </c>
      <c r="Z81" s="228">
        <v>0.6</v>
      </c>
      <c r="AA81" s="228">
        <v>0.95</v>
      </c>
      <c r="AB81" s="228">
        <v>-0.35</v>
      </c>
      <c r="AC81" s="229">
        <v>1.2999999999999999E-3</v>
      </c>
      <c r="AD81" s="228">
        <v>0.6</v>
      </c>
      <c r="AE81" s="228">
        <v>0.95</v>
      </c>
      <c r="AF81" s="228">
        <v>-0.35</v>
      </c>
      <c r="AG81" s="229">
        <v>1.2999999999999999E-3</v>
      </c>
      <c r="AH81" s="228">
        <v>3.6</v>
      </c>
      <c r="AI81" s="228">
        <v>3.75</v>
      </c>
      <c r="AJ81" s="228">
        <v>-0.15</v>
      </c>
      <c r="AK81" s="229">
        <v>7.7999999999999996E-3</v>
      </c>
      <c r="AL81" s="228">
        <v>3.35</v>
      </c>
      <c r="AM81" s="228">
        <v>4.4000000000000004</v>
      </c>
      <c r="AN81" s="228">
        <v>-1.05</v>
      </c>
      <c r="AO81" s="229">
        <v>7.1999999999999998E-3</v>
      </c>
      <c r="AP81" s="228">
        <v>462.99</v>
      </c>
      <c r="AQ81" s="228">
        <v>466.26</v>
      </c>
      <c r="AR81" s="228">
        <v>0</v>
      </c>
      <c r="AS81" s="228">
        <v>189</v>
      </c>
      <c r="AT81" s="228">
        <v>200</v>
      </c>
      <c r="AU81" s="228">
        <v>-11</v>
      </c>
      <c r="AV81" s="229">
        <v>-5.74E-2</v>
      </c>
      <c r="AW81" s="228">
        <v>156</v>
      </c>
      <c r="AX81" s="228">
        <v>177</v>
      </c>
      <c r="AY81" s="228">
        <v>-21</v>
      </c>
      <c r="AZ81" s="229">
        <v>-0.11940000000000001</v>
      </c>
      <c r="BA81" s="228">
        <v>30</v>
      </c>
      <c r="BB81" s="228">
        <v>20</v>
      </c>
      <c r="BC81" s="228">
        <v>10</v>
      </c>
      <c r="BD81" s="229">
        <v>0.5</v>
      </c>
      <c r="BE81" s="228">
        <v>2</v>
      </c>
      <c r="BF81" s="228">
        <v>2</v>
      </c>
      <c r="BG81" s="228">
        <v>0</v>
      </c>
      <c r="BH81" s="229">
        <v>-0.2</v>
      </c>
      <c r="BI81" s="228">
        <v>536</v>
      </c>
      <c r="BJ81" s="228">
        <v>906</v>
      </c>
      <c r="BK81" s="228">
        <v>-370</v>
      </c>
      <c r="BL81" s="229">
        <v>-0.40810000000000002</v>
      </c>
      <c r="BM81" s="228">
        <v>279</v>
      </c>
      <c r="BN81" s="228">
        <v>341</v>
      </c>
      <c r="BO81" s="228">
        <v>-62</v>
      </c>
      <c r="BP81" s="229">
        <v>-0.18099999999999999</v>
      </c>
      <c r="BQ81" s="230">
        <v>1004</v>
      </c>
      <c r="BR81" s="230">
        <v>1447</v>
      </c>
      <c r="BS81" s="228">
        <v>-443</v>
      </c>
      <c r="BT81" s="229">
        <v>-0.30609999999999998</v>
      </c>
      <c r="BU81" s="230">
        <v>1264823</v>
      </c>
      <c r="BV81" s="230">
        <v>2370570</v>
      </c>
      <c r="BW81" s="230">
        <v>-1105747</v>
      </c>
      <c r="BX81" s="229">
        <v>-0.46639999999999998</v>
      </c>
      <c r="BY81" s="230">
        <v>1787</v>
      </c>
      <c r="BZ81" s="230">
        <v>1779</v>
      </c>
      <c r="CA81" s="228">
        <v>8</v>
      </c>
      <c r="CB81" s="229">
        <v>4.4999999999999997E-3</v>
      </c>
      <c r="CC81" s="230">
        <v>1696</v>
      </c>
      <c r="CD81" s="230">
        <v>1707</v>
      </c>
      <c r="CE81" s="228">
        <v>-11</v>
      </c>
      <c r="CF81" s="229">
        <v>-6.4000000000000003E-3</v>
      </c>
      <c r="CG81" s="228">
        <v>79</v>
      </c>
      <c r="CH81" s="228">
        <v>61</v>
      </c>
      <c r="CI81" s="228">
        <v>19</v>
      </c>
      <c r="CJ81" s="229">
        <v>0.307</v>
      </c>
      <c r="CK81" s="228">
        <v>11</v>
      </c>
      <c r="CL81" s="228">
        <v>11</v>
      </c>
      <c r="CM81" s="228">
        <v>0</v>
      </c>
      <c r="CN81" s="229">
        <v>4.4600000000000001E-2</v>
      </c>
      <c r="CO81" s="228">
        <v>697</v>
      </c>
      <c r="CP81" s="228">
        <v>706</v>
      </c>
      <c r="CQ81" s="228">
        <v>-9</v>
      </c>
      <c r="CR81" s="229">
        <v>-1.29E-2</v>
      </c>
      <c r="CS81" s="228">
        <v>414</v>
      </c>
      <c r="CT81" s="228">
        <v>406</v>
      </c>
      <c r="CU81" s="228">
        <v>8</v>
      </c>
      <c r="CV81" s="229">
        <v>1.9E-2</v>
      </c>
      <c r="CW81" s="230">
        <v>2897</v>
      </c>
      <c r="CX81" s="230">
        <v>2890</v>
      </c>
      <c r="CY81" s="228">
        <v>7</v>
      </c>
      <c r="CZ81" s="229">
        <v>2.3E-3</v>
      </c>
      <c r="DA81" s="228">
        <v>22.99</v>
      </c>
      <c r="DB81" s="228">
        <v>23.87</v>
      </c>
      <c r="DC81" s="228">
        <v>-0.88</v>
      </c>
      <c r="DD81" s="228">
        <v>-0.88</v>
      </c>
      <c r="DE81" s="228">
        <v>38.29</v>
      </c>
      <c r="DF81" s="228">
        <v>38.380000000000003</v>
      </c>
      <c r="DG81" s="228">
        <v>-15.3</v>
      </c>
      <c r="DH81" s="228">
        <v>-0.09</v>
      </c>
      <c r="DI81" s="228">
        <v>22.97</v>
      </c>
      <c r="DJ81" s="228">
        <v>23.88</v>
      </c>
      <c r="DK81" s="228">
        <v>-0.91</v>
      </c>
      <c r="DL81" s="228">
        <v>-0.91</v>
      </c>
      <c r="DM81" s="228">
        <v>23.02</v>
      </c>
      <c r="DN81" s="228">
        <v>23.83</v>
      </c>
      <c r="DO81" s="228">
        <v>-0.81</v>
      </c>
      <c r="DP81" s="228">
        <v>-0.81</v>
      </c>
      <c r="DQ81" s="228">
        <v>0.59</v>
      </c>
      <c r="DR81" s="228">
        <v>0.57999999999999996</v>
      </c>
      <c r="DS81" s="228">
        <v>0.01</v>
      </c>
      <c r="DT81" s="229">
        <v>1.72E-2</v>
      </c>
      <c r="DU81" s="228">
        <v>470</v>
      </c>
      <c r="DV81" s="228">
        <v>450</v>
      </c>
      <c r="DW81" s="228">
        <v>0.52</v>
      </c>
      <c r="DX81" s="228">
        <v>0.38</v>
      </c>
      <c r="DY81" s="228">
        <v>0.14000000000000001</v>
      </c>
      <c r="DZ81" s="229">
        <v>0.36840000000000001</v>
      </c>
      <c r="EA81" s="229">
        <v>5.0599999999999999E-2</v>
      </c>
      <c r="EB81" s="230">
        <v>1532925</v>
      </c>
      <c r="EC81" s="229">
        <v>6.4999999999999997E-3</v>
      </c>
      <c r="ED81" s="229">
        <v>5.0599999999999999E-2</v>
      </c>
      <c r="EE81" s="228">
        <v>3.27</v>
      </c>
      <c r="EF81" s="229">
        <v>7.1000000000000004E-3</v>
      </c>
      <c r="EG81" s="230">
        <v>543236</v>
      </c>
      <c r="EH81" s="230">
        <v>1085188</v>
      </c>
      <c r="EI81" s="229">
        <v>-0.49940000000000001</v>
      </c>
      <c r="EJ81" s="229">
        <v>0.42949999999999999</v>
      </c>
      <c r="EK81" s="228">
        <v>555.89</v>
      </c>
      <c r="EL81" s="228">
        <v>273.81</v>
      </c>
      <c r="EM81" s="228">
        <v>188.11</v>
      </c>
      <c r="EN81" s="228">
        <v>30.28</v>
      </c>
      <c r="EO81" s="231">
        <v>1017.81</v>
      </c>
      <c r="EP81" s="231">
        <v>1480.45</v>
      </c>
      <c r="EQ81" s="228">
        <v>-462.65</v>
      </c>
      <c r="ER81" s="229">
        <v>-0.3125</v>
      </c>
      <c r="ES81" s="228">
        <v>719.64</v>
      </c>
      <c r="ET81" s="228">
        <v>397.68</v>
      </c>
      <c r="EU81" s="231">
        <v>1787.28</v>
      </c>
      <c r="EV81" s="231">
        <v>143933168</v>
      </c>
      <c r="EW81" s="231">
        <v>2904.59</v>
      </c>
      <c r="EX81" s="231">
        <v>2906.55</v>
      </c>
      <c r="EY81" s="228">
        <v>-1.96</v>
      </c>
      <c r="EZ81" s="229">
        <v>-6.9999999999999999E-4</v>
      </c>
      <c r="FA81" s="229">
        <v>0.43319999999999997</v>
      </c>
      <c r="FB81" s="227" t="s">
        <v>567</v>
      </c>
      <c r="FC81">
        <f t="shared" si="1"/>
        <v>91</v>
      </c>
    </row>
    <row r="82" spans="1:159" ht="17.25" thickBot="1" x14ac:dyDescent="0.3">
      <c r="A82" s="226">
        <v>46009</v>
      </c>
      <c r="B82" s="227" t="s">
        <v>168</v>
      </c>
      <c r="C82" s="227" t="s">
        <v>230</v>
      </c>
      <c r="D82" s="228">
        <v>300</v>
      </c>
      <c r="E82" s="228">
        <v>12</v>
      </c>
      <c r="F82" s="231">
        <v>2265.6</v>
      </c>
      <c r="G82" s="231">
        <v>2275.3000000000002</v>
      </c>
      <c r="H82" s="228">
        <v>-9.6999999999999993</v>
      </c>
      <c r="I82" s="229">
        <v>-4.3E-3</v>
      </c>
      <c r="J82" s="231">
        <v>2265.5</v>
      </c>
      <c r="K82" s="231">
        <v>2275.6</v>
      </c>
      <c r="L82" s="228">
        <v>-10.1</v>
      </c>
      <c r="M82" s="229">
        <v>-4.4000000000000003E-3</v>
      </c>
      <c r="N82" s="231">
        <v>2265.6</v>
      </c>
      <c r="O82" s="231">
        <v>2275.3000000000002</v>
      </c>
      <c r="P82" s="228">
        <v>-9.6999999999999993</v>
      </c>
      <c r="Q82" s="229">
        <v>-4.3E-3</v>
      </c>
      <c r="R82" s="231">
        <v>2283</v>
      </c>
      <c r="S82" s="231">
        <v>2291.6</v>
      </c>
      <c r="T82" s="228">
        <v>-8.6</v>
      </c>
      <c r="U82" s="229">
        <v>-3.8E-3</v>
      </c>
      <c r="V82" s="231">
        <v>2297.6999999999998</v>
      </c>
      <c r="W82" s="231">
        <v>2305</v>
      </c>
      <c r="X82" s="228">
        <v>-7.3</v>
      </c>
      <c r="Y82" s="229">
        <v>-3.2000000000000002E-3</v>
      </c>
      <c r="Z82" s="228">
        <v>0.1</v>
      </c>
      <c r="AA82" s="228">
        <v>-0.3</v>
      </c>
      <c r="AB82" s="228">
        <v>0.4</v>
      </c>
      <c r="AC82" s="229">
        <v>0</v>
      </c>
      <c r="AD82" s="228">
        <v>0.1</v>
      </c>
      <c r="AE82" s="228">
        <v>-0.3</v>
      </c>
      <c r="AF82" s="228">
        <v>0.4</v>
      </c>
      <c r="AG82" s="229">
        <v>0</v>
      </c>
      <c r="AH82" s="228">
        <v>17.5</v>
      </c>
      <c r="AI82" s="228">
        <v>16</v>
      </c>
      <c r="AJ82" s="228">
        <v>1.5</v>
      </c>
      <c r="AK82" s="229">
        <v>7.7000000000000002E-3</v>
      </c>
      <c r="AL82" s="228">
        <v>32.200000000000003</v>
      </c>
      <c r="AM82" s="228">
        <v>29.4</v>
      </c>
      <c r="AN82" s="228">
        <v>2.8</v>
      </c>
      <c r="AO82" s="229">
        <v>1.4200000000000001E-2</v>
      </c>
      <c r="AP82" s="231">
        <v>2265.9299999999998</v>
      </c>
      <c r="AQ82" s="231">
        <v>2284.33</v>
      </c>
      <c r="AR82" s="228">
        <v>0</v>
      </c>
      <c r="AS82" s="228">
        <v>435</v>
      </c>
      <c r="AT82" s="228">
        <v>273</v>
      </c>
      <c r="AU82" s="228">
        <v>162</v>
      </c>
      <c r="AV82" s="229">
        <v>0.59509999999999996</v>
      </c>
      <c r="AW82" s="228">
        <v>342</v>
      </c>
      <c r="AX82" s="228">
        <v>228</v>
      </c>
      <c r="AY82" s="228">
        <v>114</v>
      </c>
      <c r="AZ82" s="229">
        <v>0.4985</v>
      </c>
      <c r="BA82" s="228">
        <v>88</v>
      </c>
      <c r="BB82" s="228">
        <v>42</v>
      </c>
      <c r="BC82" s="228">
        <v>46</v>
      </c>
      <c r="BD82" s="229">
        <v>1.0771999999999999</v>
      </c>
      <c r="BE82" s="228">
        <v>5</v>
      </c>
      <c r="BF82" s="228">
        <v>2</v>
      </c>
      <c r="BG82" s="228">
        <v>3</v>
      </c>
      <c r="BH82" s="229">
        <v>1.3871</v>
      </c>
      <c r="BI82" s="230">
        <v>1348</v>
      </c>
      <c r="BJ82" s="230">
        <v>1190</v>
      </c>
      <c r="BK82" s="228">
        <v>158</v>
      </c>
      <c r="BL82" s="229">
        <v>0.1328</v>
      </c>
      <c r="BM82" s="228">
        <v>500</v>
      </c>
      <c r="BN82" s="228">
        <v>381</v>
      </c>
      <c r="BO82" s="228">
        <v>118</v>
      </c>
      <c r="BP82" s="229">
        <v>0.31030000000000002</v>
      </c>
      <c r="BQ82" s="230">
        <v>2283</v>
      </c>
      <c r="BR82" s="230">
        <v>1844</v>
      </c>
      <c r="BS82" s="228">
        <v>439</v>
      </c>
      <c r="BT82" s="229">
        <v>0.23780000000000001</v>
      </c>
      <c r="BU82" s="230">
        <v>1344632</v>
      </c>
      <c r="BV82" s="230">
        <v>844134</v>
      </c>
      <c r="BW82" s="230">
        <v>500498</v>
      </c>
      <c r="BX82" s="229">
        <v>0.59289999999999998</v>
      </c>
      <c r="BY82" s="230">
        <v>2654</v>
      </c>
      <c r="BZ82" s="230">
        <v>2484</v>
      </c>
      <c r="CA82" s="228">
        <v>170</v>
      </c>
      <c r="CB82" s="229">
        <v>6.83E-2</v>
      </c>
      <c r="CC82" s="230">
        <v>2187</v>
      </c>
      <c r="CD82" s="230">
        <v>2085</v>
      </c>
      <c r="CE82" s="228">
        <v>102</v>
      </c>
      <c r="CF82" s="229">
        <v>4.9000000000000002E-2</v>
      </c>
      <c r="CG82" s="228">
        <v>427</v>
      </c>
      <c r="CH82" s="228">
        <v>363</v>
      </c>
      <c r="CI82" s="228">
        <v>65</v>
      </c>
      <c r="CJ82" s="229">
        <v>0.1789</v>
      </c>
      <c r="CK82" s="228">
        <v>39</v>
      </c>
      <c r="CL82" s="228">
        <v>37</v>
      </c>
      <c r="CM82" s="228">
        <v>3</v>
      </c>
      <c r="CN82" s="229">
        <v>7.2400000000000006E-2</v>
      </c>
      <c r="CO82" s="230">
        <v>1536</v>
      </c>
      <c r="CP82" s="230">
        <v>1500</v>
      </c>
      <c r="CQ82" s="228">
        <v>37</v>
      </c>
      <c r="CR82" s="229">
        <v>2.4500000000000001E-2</v>
      </c>
      <c r="CS82" s="228">
        <v>785</v>
      </c>
      <c r="CT82" s="228">
        <v>776</v>
      </c>
      <c r="CU82" s="228">
        <v>10</v>
      </c>
      <c r="CV82" s="229">
        <v>1.24E-2</v>
      </c>
      <c r="CW82" s="230">
        <v>4975</v>
      </c>
      <c r="CX82" s="230">
        <v>4759</v>
      </c>
      <c r="CY82" s="228">
        <v>216</v>
      </c>
      <c r="CZ82" s="229">
        <v>4.5400000000000003E-2</v>
      </c>
      <c r="DA82" s="228">
        <v>15.83</v>
      </c>
      <c r="DB82" s="228">
        <v>16.53</v>
      </c>
      <c r="DC82" s="228">
        <v>-0.7</v>
      </c>
      <c r="DD82" s="228">
        <v>-0.7</v>
      </c>
      <c r="DE82" s="228">
        <v>22.11</v>
      </c>
      <c r="DF82" s="228">
        <v>22.15</v>
      </c>
      <c r="DG82" s="228">
        <v>-6.28</v>
      </c>
      <c r="DH82" s="228">
        <v>-0.04</v>
      </c>
      <c r="DI82" s="228">
        <v>15.95</v>
      </c>
      <c r="DJ82" s="228">
        <v>16.64</v>
      </c>
      <c r="DK82" s="228">
        <v>-0.69</v>
      </c>
      <c r="DL82" s="228">
        <v>-0.69</v>
      </c>
      <c r="DM82" s="228">
        <v>15.51</v>
      </c>
      <c r="DN82" s="228">
        <v>16.18</v>
      </c>
      <c r="DO82" s="228">
        <v>-0.67</v>
      </c>
      <c r="DP82" s="228">
        <v>-0.67</v>
      </c>
      <c r="DQ82" s="228">
        <v>0.51</v>
      </c>
      <c r="DR82" s="228">
        <v>0.52</v>
      </c>
      <c r="DS82" s="228">
        <v>-0.01</v>
      </c>
      <c r="DT82" s="229">
        <v>-1.9199999999999998E-2</v>
      </c>
      <c r="DU82" s="231">
        <v>2300</v>
      </c>
      <c r="DV82" s="231">
        <v>2300</v>
      </c>
      <c r="DW82" s="228">
        <v>0.37</v>
      </c>
      <c r="DX82" s="228">
        <v>0.32</v>
      </c>
      <c r="DY82" s="228">
        <v>0.05</v>
      </c>
      <c r="DZ82" s="229">
        <v>0.15620000000000001</v>
      </c>
      <c r="EA82" s="229">
        <v>0.1759</v>
      </c>
      <c r="EB82" s="230">
        <v>1761900</v>
      </c>
      <c r="EC82" s="229">
        <v>7.7000000000000002E-3</v>
      </c>
      <c r="ED82" s="229">
        <v>0.1759</v>
      </c>
      <c r="EE82" s="228">
        <v>18.399999999999999</v>
      </c>
      <c r="EF82" s="229">
        <v>8.0999999999999996E-3</v>
      </c>
      <c r="EG82" s="230">
        <v>667834</v>
      </c>
      <c r="EH82" s="230">
        <v>534412</v>
      </c>
      <c r="EI82" s="229">
        <v>0.24970000000000001</v>
      </c>
      <c r="EJ82" s="229">
        <v>0.49669999999999997</v>
      </c>
      <c r="EK82" s="231">
        <v>1390.22</v>
      </c>
      <c r="EL82" s="228">
        <v>496.54</v>
      </c>
      <c r="EM82" s="228">
        <v>435.7</v>
      </c>
      <c r="EN82" s="228">
        <v>83.8</v>
      </c>
      <c r="EO82" s="231">
        <v>2322.46</v>
      </c>
      <c r="EP82" s="231">
        <v>1890.45</v>
      </c>
      <c r="EQ82" s="228">
        <v>432.01</v>
      </c>
      <c r="ER82" s="229">
        <v>0.22850000000000001</v>
      </c>
      <c r="ES82" s="231">
        <v>1604.06</v>
      </c>
      <c r="ET82" s="228">
        <v>785.2</v>
      </c>
      <c r="EU82" s="231">
        <v>2657.38</v>
      </c>
      <c r="EV82" s="231">
        <v>89517840</v>
      </c>
      <c r="EW82" s="231">
        <v>5046.63</v>
      </c>
      <c r="EX82" s="231">
        <v>4842.8100000000004</v>
      </c>
      <c r="EY82" s="228">
        <v>203.82</v>
      </c>
      <c r="EZ82" s="229">
        <v>4.2099999999999999E-2</v>
      </c>
      <c r="FA82" s="229">
        <v>0.24529999999999999</v>
      </c>
      <c r="FB82" s="227" t="s">
        <v>567</v>
      </c>
      <c r="FC82">
        <f t="shared" si="1"/>
        <v>467</v>
      </c>
    </row>
    <row r="83" spans="1:159" ht="17.25" thickBot="1" x14ac:dyDescent="0.3">
      <c r="A83" s="226">
        <v>46009</v>
      </c>
      <c r="B83" s="227" t="s">
        <v>227</v>
      </c>
      <c r="C83" s="227" t="s">
        <v>669</v>
      </c>
      <c r="D83" s="228">
        <v>1225</v>
      </c>
      <c r="E83" s="228">
        <v>12</v>
      </c>
      <c r="F83" s="228">
        <v>592.35</v>
      </c>
      <c r="G83" s="228">
        <v>578.9</v>
      </c>
      <c r="H83" s="228">
        <v>13.45</v>
      </c>
      <c r="I83" s="229">
        <v>2.3199999999999998E-2</v>
      </c>
      <c r="J83" s="228">
        <v>592.15</v>
      </c>
      <c r="K83" s="228">
        <v>578.29999999999995</v>
      </c>
      <c r="L83" s="228">
        <v>13.85</v>
      </c>
      <c r="M83" s="229">
        <v>2.3900000000000001E-2</v>
      </c>
      <c r="N83" s="228">
        <v>592.35</v>
      </c>
      <c r="O83" s="228">
        <v>578.9</v>
      </c>
      <c r="P83" s="228">
        <v>13.45</v>
      </c>
      <c r="Q83" s="229">
        <v>2.3199999999999998E-2</v>
      </c>
      <c r="R83" s="228">
        <v>595.79999999999995</v>
      </c>
      <c r="S83" s="228">
        <v>582.6</v>
      </c>
      <c r="T83" s="228">
        <v>13.2</v>
      </c>
      <c r="U83" s="229">
        <v>2.2700000000000001E-2</v>
      </c>
      <c r="V83" s="228">
        <v>599.45000000000005</v>
      </c>
      <c r="W83" s="228">
        <v>585.65</v>
      </c>
      <c r="X83" s="228">
        <v>13.8</v>
      </c>
      <c r="Y83" s="229">
        <v>2.3599999999999999E-2</v>
      </c>
      <c r="Z83" s="228">
        <v>0.2</v>
      </c>
      <c r="AA83" s="228">
        <v>0.6</v>
      </c>
      <c r="AB83" s="228">
        <v>-0.4</v>
      </c>
      <c r="AC83" s="229">
        <v>2.9999999999999997E-4</v>
      </c>
      <c r="AD83" s="228">
        <v>0.2</v>
      </c>
      <c r="AE83" s="228">
        <v>0.6</v>
      </c>
      <c r="AF83" s="228">
        <v>-0.4</v>
      </c>
      <c r="AG83" s="229">
        <v>2.9999999999999997E-4</v>
      </c>
      <c r="AH83" s="228">
        <v>3.65</v>
      </c>
      <c r="AI83" s="228">
        <v>4.3</v>
      </c>
      <c r="AJ83" s="228">
        <v>-0.65</v>
      </c>
      <c r="AK83" s="229">
        <v>6.1999999999999998E-3</v>
      </c>
      <c r="AL83" s="228">
        <v>7.3</v>
      </c>
      <c r="AM83" s="228">
        <v>7.35</v>
      </c>
      <c r="AN83" s="228">
        <v>-0.05</v>
      </c>
      <c r="AO83" s="229">
        <v>1.23E-2</v>
      </c>
      <c r="AP83" s="228">
        <v>589.13</v>
      </c>
      <c r="AQ83" s="228">
        <v>593.13</v>
      </c>
      <c r="AR83" s="228">
        <v>0</v>
      </c>
      <c r="AS83" s="230">
        <v>1157</v>
      </c>
      <c r="AT83" s="230">
        <v>1454</v>
      </c>
      <c r="AU83" s="228">
        <v>-296</v>
      </c>
      <c r="AV83" s="229">
        <v>-0.2039</v>
      </c>
      <c r="AW83" s="228">
        <v>922</v>
      </c>
      <c r="AX83" s="230">
        <v>1227</v>
      </c>
      <c r="AY83" s="228">
        <v>-305</v>
      </c>
      <c r="AZ83" s="229">
        <v>-0.2485</v>
      </c>
      <c r="BA83" s="228">
        <v>193</v>
      </c>
      <c r="BB83" s="228">
        <v>192</v>
      </c>
      <c r="BC83" s="228">
        <v>1</v>
      </c>
      <c r="BD83" s="229">
        <v>7.6E-3</v>
      </c>
      <c r="BE83" s="228">
        <v>42</v>
      </c>
      <c r="BF83" s="228">
        <v>35</v>
      </c>
      <c r="BG83" s="228">
        <v>7</v>
      </c>
      <c r="BH83" s="229">
        <v>0.1988</v>
      </c>
      <c r="BI83" s="230">
        <v>8159</v>
      </c>
      <c r="BJ83" s="230">
        <v>11899</v>
      </c>
      <c r="BK83" s="230">
        <v>-3740</v>
      </c>
      <c r="BL83" s="229">
        <v>-0.31430000000000002</v>
      </c>
      <c r="BM83" s="230">
        <v>3725</v>
      </c>
      <c r="BN83" s="230">
        <v>4903</v>
      </c>
      <c r="BO83" s="230">
        <v>-1178</v>
      </c>
      <c r="BP83" s="229">
        <v>-0.2402</v>
      </c>
      <c r="BQ83" s="230">
        <v>13042</v>
      </c>
      <c r="BR83" s="230">
        <v>18255</v>
      </c>
      <c r="BS83" s="230">
        <v>-5214</v>
      </c>
      <c r="BT83" s="229">
        <v>-0.28560000000000002</v>
      </c>
      <c r="BU83" s="230">
        <v>16198057</v>
      </c>
      <c r="BV83" s="230">
        <v>19863787</v>
      </c>
      <c r="BW83" s="230">
        <v>-3665730</v>
      </c>
      <c r="BX83" s="229">
        <v>-0.1845</v>
      </c>
      <c r="BY83" s="230">
        <v>2156</v>
      </c>
      <c r="BZ83" s="230">
        <v>2143</v>
      </c>
      <c r="CA83" s="228">
        <v>13</v>
      </c>
      <c r="CB83" s="229">
        <v>6.1000000000000004E-3</v>
      </c>
      <c r="CC83" s="230">
        <v>1829</v>
      </c>
      <c r="CD83" s="230">
        <v>1886</v>
      </c>
      <c r="CE83" s="228">
        <v>-57</v>
      </c>
      <c r="CF83" s="229">
        <v>-3.0200000000000001E-2</v>
      </c>
      <c r="CG83" s="228">
        <v>247</v>
      </c>
      <c r="CH83" s="228">
        <v>195</v>
      </c>
      <c r="CI83" s="228">
        <v>51</v>
      </c>
      <c r="CJ83" s="229">
        <v>0.2631</v>
      </c>
      <c r="CK83" s="228">
        <v>80</v>
      </c>
      <c r="CL83" s="228">
        <v>61</v>
      </c>
      <c r="CM83" s="228">
        <v>19</v>
      </c>
      <c r="CN83" s="229">
        <v>0.3034</v>
      </c>
      <c r="CO83" s="230">
        <v>3025</v>
      </c>
      <c r="CP83" s="230">
        <v>3076</v>
      </c>
      <c r="CQ83" s="228">
        <v>-52</v>
      </c>
      <c r="CR83" s="229">
        <v>-1.67E-2</v>
      </c>
      <c r="CS83" s="230">
        <v>2178</v>
      </c>
      <c r="CT83" s="230">
        <v>2044</v>
      </c>
      <c r="CU83" s="228">
        <v>134</v>
      </c>
      <c r="CV83" s="229">
        <v>6.5699999999999995E-2</v>
      </c>
      <c r="CW83" s="230">
        <v>7359</v>
      </c>
      <c r="CX83" s="230">
        <v>7263</v>
      </c>
      <c r="CY83" s="228">
        <v>96</v>
      </c>
      <c r="CZ83" s="229">
        <v>1.32E-2</v>
      </c>
      <c r="DA83" s="228">
        <v>34.409999999999997</v>
      </c>
      <c r="DB83" s="228">
        <v>36.72</v>
      </c>
      <c r="DC83" s="228">
        <v>-2.31</v>
      </c>
      <c r="DD83" s="228">
        <v>-2.31</v>
      </c>
      <c r="DE83" s="228">
        <v>43.61</v>
      </c>
      <c r="DF83" s="228">
        <v>43.61</v>
      </c>
      <c r="DG83" s="228">
        <v>-9.1999999999999993</v>
      </c>
      <c r="DH83" s="228">
        <v>0</v>
      </c>
      <c r="DI83" s="228">
        <v>33.81</v>
      </c>
      <c r="DJ83" s="228">
        <v>36.81</v>
      </c>
      <c r="DK83" s="228">
        <v>-3</v>
      </c>
      <c r="DL83" s="228">
        <v>-3</v>
      </c>
      <c r="DM83" s="228">
        <v>35.72</v>
      </c>
      <c r="DN83" s="228">
        <v>36.49</v>
      </c>
      <c r="DO83" s="228">
        <v>-0.77</v>
      </c>
      <c r="DP83" s="228">
        <v>-0.77</v>
      </c>
      <c r="DQ83" s="228">
        <v>0.72</v>
      </c>
      <c r="DR83" s="228">
        <v>0.66</v>
      </c>
      <c r="DS83" s="228">
        <v>0.06</v>
      </c>
      <c r="DT83" s="229">
        <v>9.0899999999999995E-2</v>
      </c>
      <c r="DU83" s="228">
        <v>600</v>
      </c>
      <c r="DV83" s="228">
        <v>540</v>
      </c>
      <c r="DW83" s="228">
        <v>0.46</v>
      </c>
      <c r="DX83" s="228">
        <v>0.41</v>
      </c>
      <c r="DY83" s="228">
        <v>0.05</v>
      </c>
      <c r="DZ83" s="229">
        <v>0.122</v>
      </c>
      <c r="EA83" s="229">
        <v>0.1515</v>
      </c>
      <c r="EB83" s="230">
        <v>4334050</v>
      </c>
      <c r="EC83" s="229">
        <v>5.7999999999999996E-3</v>
      </c>
      <c r="ED83" s="229">
        <v>0.1515</v>
      </c>
      <c r="EE83" s="228">
        <v>4</v>
      </c>
      <c r="EF83" s="229">
        <v>6.7999999999999996E-3</v>
      </c>
      <c r="EG83" s="230">
        <v>5408815</v>
      </c>
      <c r="EH83" s="230">
        <v>4605091</v>
      </c>
      <c r="EI83" s="229">
        <v>0.17449999999999999</v>
      </c>
      <c r="EJ83" s="229">
        <v>0.33389999999999997</v>
      </c>
      <c r="EK83" s="231">
        <v>8452.84</v>
      </c>
      <c r="EL83" s="231">
        <v>3587.57</v>
      </c>
      <c r="EM83" s="231">
        <v>1152.68</v>
      </c>
      <c r="EN83" s="228">
        <v>191.38</v>
      </c>
      <c r="EO83" s="231">
        <v>13193.09</v>
      </c>
      <c r="EP83" s="231">
        <v>18322.400000000001</v>
      </c>
      <c r="EQ83" s="231">
        <v>-5129.3100000000004</v>
      </c>
      <c r="ER83" s="229">
        <v>-0.27989999999999998</v>
      </c>
      <c r="ES83" s="231">
        <v>3006.74</v>
      </c>
      <c r="ET83" s="231">
        <v>1955.61</v>
      </c>
      <c r="EU83" s="231">
        <v>2158.6</v>
      </c>
      <c r="EV83" s="231">
        <v>167680340</v>
      </c>
      <c r="EW83" s="231">
        <v>7120.95</v>
      </c>
      <c r="EX83" s="231">
        <v>6943.14</v>
      </c>
      <c r="EY83" s="228">
        <v>177.81</v>
      </c>
      <c r="EZ83" s="229">
        <v>2.5600000000000001E-2</v>
      </c>
      <c r="FA83" s="229">
        <v>0.7409</v>
      </c>
      <c r="FB83" s="227" t="s">
        <v>555</v>
      </c>
      <c r="FC83">
        <f t="shared" si="1"/>
        <v>327</v>
      </c>
    </row>
    <row r="84" spans="1:159" ht="17.25" thickBot="1" x14ac:dyDescent="0.3">
      <c r="A84" s="226">
        <v>46009</v>
      </c>
      <c r="B84" s="227" t="s">
        <v>206</v>
      </c>
      <c r="C84" s="227" t="s">
        <v>608</v>
      </c>
      <c r="D84" s="228">
        <v>2775</v>
      </c>
      <c r="E84" s="228">
        <v>12</v>
      </c>
      <c r="F84" s="228">
        <v>207.03</v>
      </c>
      <c r="G84" s="228">
        <v>207.89</v>
      </c>
      <c r="H84" s="228">
        <v>-0.86</v>
      </c>
      <c r="I84" s="229">
        <v>-4.1000000000000003E-3</v>
      </c>
      <c r="J84" s="228">
        <v>206.9</v>
      </c>
      <c r="K84" s="228">
        <v>207.91</v>
      </c>
      <c r="L84" s="228">
        <v>-1.01</v>
      </c>
      <c r="M84" s="229">
        <v>-4.8999999999999998E-3</v>
      </c>
      <c r="N84" s="228">
        <v>207.03</v>
      </c>
      <c r="O84" s="228">
        <v>207.89</v>
      </c>
      <c r="P84" s="228">
        <v>-0.86</v>
      </c>
      <c r="Q84" s="229">
        <v>-4.1000000000000003E-3</v>
      </c>
      <c r="R84" s="228">
        <v>208.31</v>
      </c>
      <c r="S84" s="228">
        <v>209.39</v>
      </c>
      <c r="T84" s="228">
        <v>-1.08</v>
      </c>
      <c r="U84" s="229">
        <v>-5.1999999999999998E-3</v>
      </c>
      <c r="V84" s="228">
        <v>208.08</v>
      </c>
      <c r="W84" s="228">
        <v>209.76</v>
      </c>
      <c r="X84" s="228">
        <v>-1.68</v>
      </c>
      <c r="Y84" s="229">
        <v>-8.0000000000000002E-3</v>
      </c>
      <c r="Z84" s="228">
        <v>0.13</v>
      </c>
      <c r="AA84" s="228">
        <v>-0.02</v>
      </c>
      <c r="AB84" s="228">
        <v>0.15</v>
      </c>
      <c r="AC84" s="229">
        <v>5.9999999999999995E-4</v>
      </c>
      <c r="AD84" s="228">
        <v>0.13</v>
      </c>
      <c r="AE84" s="228">
        <v>-0.02</v>
      </c>
      <c r="AF84" s="228">
        <v>0.15</v>
      </c>
      <c r="AG84" s="229">
        <v>5.9999999999999995E-4</v>
      </c>
      <c r="AH84" s="228">
        <v>1.41</v>
      </c>
      <c r="AI84" s="228">
        <v>1.48</v>
      </c>
      <c r="AJ84" s="228">
        <v>-7.0000000000000007E-2</v>
      </c>
      <c r="AK84" s="229">
        <v>6.7999999999999996E-3</v>
      </c>
      <c r="AL84" s="228">
        <v>1.18</v>
      </c>
      <c r="AM84" s="228">
        <v>1.85</v>
      </c>
      <c r="AN84" s="228">
        <v>-0.67</v>
      </c>
      <c r="AO84" s="229">
        <v>5.7000000000000002E-3</v>
      </c>
      <c r="AP84" s="228">
        <v>206.65</v>
      </c>
      <c r="AQ84" s="228">
        <v>207.96</v>
      </c>
      <c r="AR84" s="228">
        <v>0</v>
      </c>
      <c r="AS84" s="228">
        <v>151</v>
      </c>
      <c r="AT84" s="228">
        <v>126</v>
      </c>
      <c r="AU84" s="228">
        <v>26</v>
      </c>
      <c r="AV84" s="229">
        <v>0.20250000000000001</v>
      </c>
      <c r="AW84" s="228">
        <v>122</v>
      </c>
      <c r="AX84" s="228">
        <v>110</v>
      </c>
      <c r="AY84" s="228">
        <v>12</v>
      </c>
      <c r="AZ84" s="229">
        <v>0.1061</v>
      </c>
      <c r="BA84" s="228">
        <v>29</v>
      </c>
      <c r="BB84" s="228">
        <v>15</v>
      </c>
      <c r="BC84" s="228">
        <v>13</v>
      </c>
      <c r="BD84" s="229">
        <v>0.85819999999999996</v>
      </c>
      <c r="BE84" s="228">
        <v>1</v>
      </c>
      <c r="BF84" s="228">
        <v>1</v>
      </c>
      <c r="BG84" s="228">
        <v>1</v>
      </c>
      <c r="BH84" s="229">
        <v>0.91669999999999996</v>
      </c>
      <c r="BI84" s="228">
        <v>779</v>
      </c>
      <c r="BJ84" s="228">
        <v>425</v>
      </c>
      <c r="BK84" s="228">
        <v>354</v>
      </c>
      <c r="BL84" s="229">
        <v>0.83299999999999996</v>
      </c>
      <c r="BM84" s="228">
        <v>254</v>
      </c>
      <c r="BN84" s="228">
        <v>203</v>
      </c>
      <c r="BO84" s="228">
        <v>51</v>
      </c>
      <c r="BP84" s="229">
        <v>0.24959999999999999</v>
      </c>
      <c r="BQ84" s="230">
        <v>1184</v>
      </c>
      <c r="BR84" s="228">
        <v>754</v>
      </c>
      <c r="BS84" s="228">
        <v>430</v>
      </c>
      <c r="BT84" s="229">
        <v>0.57040000000000002</v>
      </c>
      <c r="BU84" s="230">
        <v>2863278</v>
      </c>
      <c r="BV84" s="230">
        <v>2266227</v>
      </c>
      <c r="BW84" s="230">
        <v>597051</v>
      </c>
      <c r="BX84" s="229">
        <v>0.26350000000000001</v>
      </c>
      <c r="BY84" s="228">
        <v>711</v>
      </c>
      <c r="BZ84" s="228">
        <v>724</v>
      </c>
      <c r="CA84" s="228">
        <v>-12</v>
      </c>
      <c r="CB84" s="229">
        <v>-1.6799999999999999E-2</v>
      </c>
      <c r="CC84" s="228">
        <v>637</v>
      </c>
      <c r="CD84" s="228">
        <v>658</v>
      </c>
      <c r="CE84" s="228">
        <v>-21</v>
      </c>
      <c r="CF84" s="229">
        <v>-3.1800000000000002E-2</v>
      </c>
      <c r="CG84" s="228">
        <v>66</v>
      </c>
      <c r="CH84" s="228">
        <v>58</v>
      </c>
      <c r="CI84" s="228">
        <v>8</v>
      </c>
      <c r="CJ84" s="229">
        <v>0.14499999999999999</v>
      </c>
      <c r="CK84" s="228">
        <v>8</v>
      </c>
      <c r="CL84" s="228">
        <v>8</v>
      </c>
      <c r="CM84" s="228">
        <v>0</v>
      </c>
      <c r="CN84" s="229">
        <v>4.2599999999999999E-2</v>
      </c>
      <c r="CO84" s="228">
        <v>877</v>
      </c>
      <c r="CP84" s="228">
        <v>862</v>
      </c>
      <c r="CQ84" s="228">
        <v>15</v>
      </c>
      <c r="CR84" s="229">
        <v>1.7600000000000001E-2</v>
      </c>
      <c r="CS84" s="228">
        <v>389</v>
      </c>
      <c r="CT84" s="228">
        <v>378</v>
      </c>
      <c r="CU84" s="228">
        <v>11</v>
      </c>
      <c r="CV84" s="229">
        <v>2.9700000000000001E-2</v>
      </c>
      <c r="CW84" s="230">
        <v>1978</v>
      </c>
      <c r="CX84" s="230">
        <v>1963</v>
      </c>
      <c r="CY84" s="228">
        <v>14</v>
      </c>
      <c r="CZ84" s="229">
        <v>7.1999999999999998E-3</v>
      </c>
      <c r="DA84" s="228">
        <v>28.38</v>
      </c>
      <c r="DB84" s="228">
        <v>30.33</v>
      </c>
      <c r="DC84" s="228">
        <v>-1.95</v>
      </c>
      <c r="DD84" s="228">
        <v>-1.95</v>
      </c>
      <c r="DE84" s="228">
        <v>51.18</v>
      </c>
      <c r="DF84" s="228">
        <v>51.3</v>
      </c>
      <c r="DG84" s="228">
        <v>-22.8</v>
      </c>
      <c r="DH84" s="228">
        <v>-0.12</v>
      </c>
      <c r="DI84" s="228">
        <v>29.26</v>
      </c>
      <c r="DJ84" s="228">
        <v>32.18</v>
      </c>
      <c r="DK84" s="228">
        <v>-2.92</v>
      </c>
      <c r="DL84" s="228">
        <v>-2.92</v>
      </c>
      <c r="DM84" s="228">
        <v>25.68</v>
      </c>
      <c r="DN84" s="228">
        <v>26.47</v>
      </c>
      <c r="DO84" s="228">
        <v>-0.79</v>
      </c>
      <c r="DP84" s="228">
        <v>-0.79</v>
      </c>
      <c r="DQ84" s="228">
        <v>0.44</v>
      </c>
      <c r="DR84" s="228">
        <v>0.44</v>
      </c>
      <c r="DS84" s="228">
        <v>0</v>
      </c>
      <c r="DT84" s="229">
        <v>0</v>
      </c>
      <c r="DU84" s="228">
        <v>240</v>
      </c>
      <c r="DV84" s="228">
        <v>210</v>
      </c>
      <c r="DW84" s="228">
        <v>0.33</v>
      </c>
      <c r="DX84" s="228">
        <v>0.48</v>
      </c>
      <c r="DY84" s="228">
        <v>-0.15</v>
      </c>
      <c r="DZ84" s="229">
        <v>-0.3125</v>
      </c>
      <c r="EA84" s="229">
        <v>0.105</v>
      </c>
      <c r="EB84" s="230">
        <v>3185700</v>
      </c>
      <c r="EC84" s="229">
        <v>6.1999999999999998E-3</v>
      </c>
      <c r="ED84" s="229">
        <v>0.105</v>
      </c>
      <c r="EE84" s="228">
        <v>1.31</v>
      </c>
      <c r="EF84" s="229">
        <v>6.3E-3</v>
      </c>
      <c r="EG84" s="230">
        <v>712843</v>
      </c>
      <c r="EH84" s="230">
        <v>771227</v>
      </c>
      <c r="EI84" s="229">
        <v>-7.5700000000000003E-2</v>
      </c>
      <c r="EJ84" s="229">
        <v>0.249</v>
      </c>
      <c r="EK84" s="228">
        <v>829.82</v>
      </c>
      <c r="EL84" s="228">
        <v>254.82</v>
      </c>
      <c r="EM84" s="228">
        <v>151.41999999999999</v>
      </c>
      <c r="EN84" s="228">
        <v>20.45</v>
      </c>
      <c r="EO84" s="231">
        <v>1236.05</v>
      </c>
      <c r="EP84" s="228">
        <v>799.15</v>
      </c>
      <c r="EQ84" s="228">
        <v>436.9</v>
      </c>
      <c r="ER84" s="229">
        <v>0.54669999999999996</v>
      </c>
      <c r="ES84" s="228">
        <v>983.3</v>
      </c>
      <c r="ET84" s="228">
        <v>407.73</v>
      </c>
      <c r="EU84" s="228">
        <v>711.81</v>
      </c>
      <c r="EV84" s="231">
        <v>75071250</v>
      </c>
      <c r="EW84" s="231">
        <v>2102.84</v>
      </c>
      <c r="EX84" s="231">
        <v>2096.1799999999998</v>
      </c>
      <c r="EY84" s="228">
        <v>6.66</v>
      </c>
      <c r="EZ84" s="229">
        <v>3.2000000000000002E-3</v>
      </c>
      <c r="FA84" s="229">
        <v>1.2725</v>
      </c>
      <c r="FB84" s="227" t="s">
        <v>568</v>
      </c>
      <c r="FC84">
        <f t="shared" si="1"/>
        <v>74</v>
      </c>
    </row>
    <row r="85" spans="1:159" ht="17.25" thickBot="1" x14ac:dyDescent="0.3">
      <c r="A85" s="226">
        <v>46009</v>
      </c>
      <c r="B85" s="227" t="s">
        <v>172</v>
      </c>
      <c r="C85" s="227" t="s">
        <v>232</v>
      </c>
      <c r="D85" s="228">
        <v>700</v>
      </c>
      <c r="E85" s="228">
        <v>12</v>
      </c>
      <c r="F85" s="231">
        <v>1359.5</v>
      </c>
      <c r="G85" s="231">
        <v>1356.5</v>
      </c>
      <c r="H85" s="228">
        <v>3</v>
      </c>
      <c r="I85" s="229">
        <v>2.2000000000000001E-3</v>
      </c>
      <c r="J85" s="231">
        <v>1356.8</v>
      </c>
      <c r="K85" s="231">
        <v>1352.4</v>
      </c>
      <c r="L85" s="228">
        <v>4.4000000000000004</v>
      </c>
      <c r="M85" s="229">
        <v>3.3E-3</v>
      </c>
      <c r="N85" s="231">
        <v>1359.5</v>
      </c>
      <c r="O85" s="231">
        <v>1356.5</v>
      </c>
      <c r="P85" s="228">
        <v>3</v>
      </c>
      <c r="Q85" s="229">
        <v>2.2000000000000001E-3</v>
      </c>
      <c r="R85" s="231">
        <v>1368.3</v>
      </c>
      <c r="S85" s="231">
        <v>1364.9</v>
      </c>
      <c r="T85" s="228">
        <v>3.4</v>
      </c>
      <c r="U85" s="229">
        <v>2.5000000000000001E-3</v>
      </c>
      <c r="V85" s="231">
        <v>1376.2</v>
      </c>
      <c r="W85" s="231">
        <v>1372.6</v>
      </c>
      <c r="X85" s="228">
        <v>3.6</v>
      </c>
      <c r="Y85" s="229">
        <v>2.5999999999999999E-3</v>
      </c>
      <c r="Z85" s="228">
        <v>2.7</v>
      </c>
      <c r="AA85" s="228">
        <v>4.0999999999999996</v>
      </c>
      <c r="AB85" s="228">
        <v>-1.4</v>
      </c>
      <c r="AC85" s="229">
        <v>2E-3</v>
      </c>
      <c r="AD85" s="228">
        <v>2.7</v>
      </c>
      <c r="AE85" s="228">
        <v>4.0999999999999996</v>
      </c>
      <c r="AF85" s="228">
        <v>-1.4</v>
      </c>
      <c r="AG85" s="229">
        <v>2E-3</v>
      </c>
      <c r="AH85" s="228">
        <v>11.5</v>
      </c>
      <c r="AI85" s="228">
        <v>12.5</v>
      </c>
      <c r="AJ85" s="228">
        <v>-1</v>
      </c>
      <c r="AK85" s="229">
        <v>8.5000000000000006E-3</v>
      </c>
      <c r="AL85" s="228">
        <v>19.399999999999999</v>
      </c>
      <c r="AM85" s="228">
        <v>20.2</v>
      </c>
      <c r="AN85" s="228">
        <v>-0.8</v>
      </c>
      <c r="AO85" s="229">
        <v>1.43E-2</v>
      </c>
      <c r="AP85" s="231">
        <v>1360.89</v>
      </c>
      <c r="AQ85" s="231">
        <v>1368.72</v>
      </c>
      <c r="AR85" s="228">
        <v>0</v>
      </c>
      <c r="AS85" s="230">
        <v>3731</v>
      </c>
      <c r="AT85" s="230">
        <v>2095</v>
      </c>
      <c r="AU85" s="230">
        <v>1636</v>
      </c>
      <c r="AV85" s="229">
        <v>0.78100000000000003</v>
      </c>
      <c r="AW85" s="230">
        <v>2307</v>
      </c>
      <c r="AX85" s="230">
        <v>1397</v>
      </c>
      <c r="AY85" s="228">
        <v>911</v>
      </c>
      <c r="AZ85" s="229">
        <v>0.65200000000000002</v>
      </c>
      <c r="BA85" s="230">
        <v>1404</v>
      </c>
      <c r="BB85" s="228">
        <v>671</v>
      </c>
      <c r="BC85" s="228">
        <v>732</v>
      </c>
      <c r="BD85" s="229">
        <v>1.0906</v>
      </c>
      <c r="BE85" s="228">
        <v>20</v>
      </c>
      <c r="BF85" s="228">
        <v>27</v>
      </c>
      <c r="BG85" s="228">
        <v>-7</v>
      </c>
      <c r="BH85" s="229">
        <v>-0.25530000000000003</v>
      </c>
      <c r="BI85" s="230">
        <v>6723</v>
      </c>
      <c r="BJ85" s="230">
        <v>7013</v>
      </c>
      <c r="BK85" s="228">
        <v>-290</v>
      </c>
      <c r="BL85" s="229">
        <v>-4.1399999999999999E-2</v>
      </c>
      <c r="BM85" s="230">
        <v>4167</v>
      </c>
      <c r="BN85" s="230">
        <v>5326</v>
      </c>
      <c r="BO85" s="230">
        <v>-1159</v>
      </c>
      <c r="BP85" s="229">
        <v>-0.21759999999999999</v>
      </c>
      <c r="BQ85" s="230">
        <v>14621</v>
      </c>
      <c r="BR85" s="230">
        <v>14434</v>
      </c>
      <c r="BS85" s="228">
        <v>187</v>
      </c>
      <c r="BT85" s="229">
        <v>1.2999999999999999E-2</v>
      </c>
      <c r="BU85" s="230">
        <v>8291310</v>
      </c>
      <c r="BV85" s="230">
        <v>9787109</v>
      </c>
      <c r="BW85" s="230">
        <v>-1495799</v>
      </c>
      <c r="BX85" s="229">
        <v>-0.15279999999999999</v>
      </c>
      <c r="BY85" s="230">
        <v>16478</v>
      </c>
      <c r="BZ85" s="230">
        <v>16355</v>
      </c>
      <c r="CA85" s="228">
        <v>124</v>
      </c>
      <c r="CB85" s="229">
        <v>7.6E-3</v>
      </c>
      <c r="CC85" s="230">
        <v>12590</v>
      </c>
      <c r="CD85" s="230">
        <v>13729</v>
      </c>
      <c r="CE85" s="230">
        <v>-1139</v>
      </c>
      <c r="CF85" s="229">
        <v>-8.3000000000000004E-2</v>
      </c>
      <c r="CG85" s="230">
        <v>3742</v>
      </c>
      <c r="CH85" s="230">
        <v>2490</v>
      </c>
      <c r="CI85" s="230">
        <v>1252</v>
      </c>
      <c r="CJ85" s="229">
        <v>0.50280000000000002</v>
      </c>
      <c r="CK85" s="228">
        <v>146</v>
      </c>
      <c r="CL85" s="228">
        <v>136</v>
      </c>
      <c r="CM85" s="228">
        <v>11</v>
      </c>
      <c r="CN85" s="229">
        <v>7.7799999999999994E-2</v>
      </c>
      <c r="CO85" s="230">
        <v>5461</v>
      </c>
      <c r="CP85" s="230">
        <v>5681</v>
      </c>
      <c r="CQ85" s="228">
        <v>-220</v>
      </c>
      <c r="CR85" s="229">
        <v>-3.8800000000000001E-2</v>
      </c>
      <c r="CS85" s="230">
        <v>3336</v>
      </c>
      <c r="CT85" s="230">
        <v>3391</v>
      </c>
      <c r="CU85" s="228">
        <v>-55</v>
      </c>
      <c r="CV85" s="229">
        <v>-1.6199999999999999E-2</v>
      </c>
      <c r="CW85" s="230">
        <v>25275</v>
      </c>
      <c r="CX85" s="230">
        <v>25427</v>
      </c>
      <c r="CY85" s="228">
        <v>-152</v>
      </c>
      <c r="CZ85" s="229">
        <v>-6.0000000000000001E-3</v>
      </c>
      <c r="DA85" s="228">
        <v>13.97</v>
      </c>
      <c r="DB85" s="228">
        <v>15.35</v>
      </c>
      <c r="DC85" s="228">
        <v>-1.38</v>
      </c>
      <c r="DD85" s="228">
        <v>-1.38</v>
      </c>
      <c r="DE85" s="228">
        <v>20.45</v>
      </c>
      <c r="DF85" s="228">
        <v>20.5</v>
      </c>
      <c r="DG85" s="228">
        <v>-6.48</v>
      </c>
      <c r="DH85" s="228">
        <v>-0.05</v>
      </c>
      <c r="DI85" s="228">
        <v>13.98</v>
      </c>
      <c r="DJ85" s="228">
        <v>15.43</v>
      </c>
      <c r="DK85" s="228">
        <v>-1.45</v>
      </c>
      <c r="DL85" s="228">
        <v>-1.45</v>
      </c>
      <c r="DM85" s="228">
        <v>13.95</v>
      </c>
      <c r="DN85" s="228">
        <v>15.25</v>
      </c>
      <c r="DO85" s="228">
        <v>-1.3</v>
      </c>
      <c r="DP85" s="228">
        <v>-1.3</v>
      </c>
      <c r="DQ85" s="228">
        <v>0.61</v>
      </c>
      <c r="DR85" s="228">
        <v>0.6</v>
      </c>
      <c r="DS85" s="228">
        <v>0.01</v>
      </c>
      <c r="DT85" s="229">
        <v>1.67E-2</v>
      </c>
      <c r="DU85" s="231">
        <v>1400</v>
      </c>
      <c r="DV85" s="231">
        <v>1400</v>
      </c>
      <c r="DW85" s="228">
        <v>0.62</v>
      </c>
      <c r="DX85" s="228">
        <v>0.76</v>
      </c>
      <c r="DY85" s="228">
        <v>-0.14000000000000001</v>
      </c>
      <c r="DZ85" s="229">
        <v>-0.1842</v>
      </c>
      <c r="EA85" s="229">
        <v>0.23599999999999999</v>
      </c>
      <c r="EB85" s="230">
        <v>19313700</v>
      </c>
      <c r="EC85" s="229">
        <v>6.4999999999999997E-3</v>
      </c>
      <c r="ED85" s="229">
        <v>0.23599999999999999</v>
      </c>
      <c r="EE85" s="228">
        <v>7.83</v>
      </c>
      <c r="EF85" s="229">
        <v>5.7999999999999996E-3</v>
      </c>
      <c r="EG85" s="230">
        <v>3766053</v>
      </c>
      <c r="EH85" s="230">
        <v>5870069</v>
      </c>
      <c r="EI85" s="229">
        <v>-0.3584</v>
      </c>
      <c r="EJ85" s="229">
        <v>0.45419999999999999</v>
      </c>
      <c r="EK85" s="231">
        <v>6875.38</v>
      </c>
      <c r="EL85" s="231">
        <v>4151.91</v>
      </c>
      <c r="EM85" s="231">
        <v>3743.19</v>
      </c>
      <c r="EN85" s="228">
        <v>135.07</v>
      </c>
      <c r="EO85" s="231">
        <v>14770.48</v>
      </c>
      <c r="EP85" s="231">
        <v>14549.5</v>
      </c>
      <c r="EQ85" s="228">
        <v>220.98</v>
      </c>
      <c r="ER85" s="229">
        <v>1.52E-2</v>
      </c>
      <c r="ES85" s="231">
        <v>5627.3</v>
      </c>
      <c r="ET85" s="231">
        <v>3321.31</v>
      </c>
      <c r="EU85" s="231">
        <v>16504.22</v>
      </c>
      <c r="EV85" s="231">
        <v>579785172</v>
      </c>
      <c r="EW85" s="231">
        <v>25452.82</v>
      </c>
      <c r="EX85" s="231">
        <v>25561.09</v>
      </c>
      <c r="EY85" s="228">
        <v>-108.27</v>
      </c>
      <c r="EZ85" s="229">
        <v>-4.1999999999999997E-3</v>
      </c>
      <c r="FA85" s="229">
        <v>0.32069999999999999</v>
      </c>
      <c r="FB85" s="227" t="s">
        <v>555</v>
      </c>
      <c r="FC85">
        <f t="shared" si="1"/>
        <v>3888</v>
      </c>
    </row>
    <row r="86" spans="1:159" ht="17.25" thickBot="1" x14ac:dyDescent="0.3">
      <c r="A86" s="226">
        <v>46009</v>
      </c>
      <c r="B86" s="227" t="s">
        <v>175</v>
      </c>
      <c r="C86" s="227" t="s">
        <v>472</v>
      </c>
      <c r="D86" s="228">
        <v>325</v>
      </c>
      <c r="E86" s="228">
        <v>12</v>
      </c>
      <c r="F86" s="231">
        <v>1955.3</v>
      </c>
      <c r="G86" s="231">
        <v>1947.1</v>
      </c>
      <c r="H86" s="228">
        <v>8.1999999999999993</v>
      </c>
      <c r="I86" s="229">
        <v>4.1999999999999997E-3</v>
      </c>
      <c r="J86" s="231">
        <v>1949.8</v>
      </c>
      <c r="K86" s="231">
        <v>1947</v>
      </c>
      <c r="L86" s="228">
        <v>2.8</v>
      </c>
      <c r="M86" s="229">
        <v>1.4E-3</v>
      </c>
      <c r="N86" s="231">
        <v>1955.3</v>
      </c>
      <c r="O86" s="231">
        <v>1947.1</v>
      </c>
      <c r="P86" s="228">
        <v>8.1999999999999993</v>
      </c>
      <c r="Q86" s="229">
        <v>4.1999999999999997E-3</v>
      </c>
      <c r="R86" s="231">
        <v>1967.8</v>
      </c>
      <c r="S86" s="231">
        <v>1957.1</v>
      </c>
      <c r="T86" s="228">
        <v>10.7</v>
      </c>
      <c r="U86" s="229">
        <v>5.4999999999999997E-3</v>
      </c>
      <c r="V86" s="231">
        <v>1978.1</v>
      </c>
      <c r="W86" s="231">
        <v>1978.1</v>
      </c>
      <c r="X86" s="228">
        <v>0</v>
      </c>
      <c r="Y86" s="229">
        <v>0</v>
      </c>
      <c r="Z86" s="228">
        <v>5.5</v>
      </c>
      <c r="AA86" s="228">
        <v>0.1</v>
      </c>
      <c r="AB86" s="228">
        <v>5.4</v>
      </c>
      <c r="AC86" s="229">
        <v>2.8E-3</v>
      </c>
      <c r="AD86" s="228">
        <v>5.5</v>
      </c>
      <c r="AE86" s="228">
        <v>0.1</v>
      </c>
      <c r="AF86" s="228">
        <v>5.4</v>
      </c>
      <c r="AG86" s="229">
        <v>2.8E-3</v>
      </c>
      <c r="AH86" s="228">
        <v>18</v>
      </c>
      <c r="AI86" s="228">
        <v>10.1</v>
      </c>
      <c r="AJ86" s="228">
        <v>7.9</v>
      </c>
      <c r="AK86" s="229">
        <v>9.1999999999999998E-3</v>
      </c>
      <c r="AL86" s="228">
        <v>28.3</v>
      </c>
      <c r="AM86" s="228">
        <v>31.1</v>
      </c>
      <c r="AN86" s="228">
        <v>-2.8</v>
      </c>
      <c r="AO86" s="229">
        <v>1.4500000000000001E-2</v>
      </c>
      <c r="AP86" s="231">
        <v>1949.12</v>
      </c>
      <c r="AQ86" s="231">
        <v>1964.68</v>
      </c>
      <c r="AR86" s="228">
        <v>0</v>
      </c>
      <c r="AS86" s="228">
        <v>99</v>
      </c>
      <c r="AT86" s="228">
        <v>130</v>
      </c>
      <c r="AU86" s="228">
        <v>-31</v>
      </c>
      <c r="AV86" s="229">
        <v>-0.24160000000000001</v>
      </c>
      <c r="AW86" s="228">
        <v>78</v>
      </c>
      <c r="AX86" s="228">
        <v>116</v>
      </c>
      <c r="AY86" s="228">
        <v>-38</v>
      </c>
      <c r="AZ86" s="229">
        <v>-0.32879999999999998</v>
      </c>
      <c r="BA86" s="228">
        <v>21</v>
      </c>
      <c r="BB86" s="228">
        <v>14</v>
      </c>
      <c r="BC86" s="228">
        <v>7</v>
      </c>
      <c r="BD86" s="229">
        <v>0.4602</v>
      </c>
      <c r="BE86" s="228">
        <v>0</v>
      </c>
      <c r="BF86" s="228">
        <v>0</v>
      </c>
      <c r="BG86" s="228">
        <v>0</v>
      </c>
      <c r="BH86" s="229">
        <v>0</v>
      </c>
      <c r="BI86" s="228">
        <v>133</v>
      </c>
      <c r="BJ86" s="228">
        <v>155</v>
      </c>
      <c r="BK86" s="228">
        <v>-22</v>
      </c>
      <c r="BL86" s="229">
        <v>-0.1399</v>
      </c>
      <c r="BM86" s="228">
        <v>94</v>
      </c>
      <c r="BN86" s="228">
        <v>49</v>
      </c>
      <c r="BO86" s="228">
        <v>45</v>
      </c>
      <c r="BP86" s="229">
        <v>0.91310000000000002</v>
      </c>
      <c r="BQ86" s="228">
        <v>326</v>
      </c>
      <c r="BR86" s="228">
        <v>334</v>
      </c>
      <c r="BS86" s="228">
        <v>-8</v>
      </c>
      <c r="BT86" s="229">
        <v>-2.4899999999999999E-2</v>
      </c>
      <c r="BU86" s="230">
        <v>339078</v>
      </c>
      <c r="BV86" s="230">
        <v>596109</v>
      </c>
      <c r="BW86" s="230">
        <v>-257031</v>
      </c>
      <c r="BX86" s="229">
        <v>-0.43120000000000003</v>
      </c>
      <c r="BY86" s="230">
        <v>1108</v>
      </c>
      <c r="BZ86" s="230">
        <v>1118</v>
      </c>
      <c r="CA86" s="228">
        <v>-9</v>
      </c>
      <c r="CB86" s="229">
        <v>-8.2000000000000007E-3</v>
      </c>
      <c r="CC86" s="230">
        <v>1071</v>
      </c>
      <c r="CD86" s="230">
        <v>1092</v>
      </c>
      <c r="CE86" s="228">
        <v>-21</v>
      </c>
      <c r="CF86" s="229">
        <v>-1.9699999999999999E-2</v>
      </c>
      <c r="CG86" s="228">
        <v>37</v>
      </c>
      <c r="CH86" s="228">
        <v>24</v>
      </c>
      <c r="CI86" s="228">
        <v>12</v>
      </c>
      <c r="CJ86" s="229">
        <v>0.50129999999999997</v>
      </c>
      <c r="CK86" s="228">
        <v>1</v>
      </c>
      <c r="CL86" s="228">
        <v>1</v>
      </c>
      <c r="CM86" s="228">
        <v>0</v>
      </c>
      <c r="CN86" s="229">
        <v>0</v>
      </c>
      <c r="CO86" s="228">
        <v>387</v>
      </c>
      <c r="CP86" s="228">
        <v>390</v>
      </c>
      <c r="CQ86" s="228">
        <v>-2</v>
      </c>
      <c r="CR86" s="229">
        <v>-6.0000000000000001E-3</v>
      </c>
      <c r="CS86" s="228">
        <v>210</v>
      </c>
      <c r="CT86" s="228">
        <v>204</v>
      </c>
      <c r="CU86" s="228">
        <v>6</v>
      </c>
      <c r="CV86" s="229">
        <v>2.93E-2</v>
      </c>
      <c r="CW86" s="230">
        <v>1705</v>
      </c>
      <c r="CX86" s="230">
        <v>1711</v>
      </c>
      <c r="CY86" s="228">
        <v>-6</v>
      </c>
      <c r="CZ86" s="229">
        <v>-3.3E-3</v>
      </c>
      <c r="DA86" s="228">
        <v>19.010000000000002</v>
      </c>
      <c r="DB86" s="228">
        <v>20.71</v>
      </c>
      <c r="DC86" s="228">
        <v>-1.7</v>
      </c>
      <c r="DD86" s="228">
        <v>-1.7</v>
      </c>
      <c r="DE86" s="228">
        <v>28.23</v>
      </c>
      <c r="DF86" s="228">
        <v>28.3</v>
      </c>
      <c r="DG86" s="228">
        <v>-9.2200000000000006</v>
      </c>
      <c r="DH86" s="228">
        <v>-7.0000000000000007E-2</v>
      </c>
      <c r="DI86" s="228">
        <v>19.45</v>
      </c>
      <c r="DJ86" s="228">
        <v>21.04</v>
      </c>
      <c r="DK86" s="228">
        <v>-1.59</v>
      </c>
      <c r="DL86" s="228">
        <v>-1.59</v>
      </c>
      <c r="DM86" s="228">
        <v>18.38</v>
      </c>
      <c r="DN86" s="228">
        <v>19.649999999999999</v>
      </c>
      <c r="DO86" s="228">
        <v>-1.27</v>
      </c>
      <c r="DP86" s="228">
        <v>-1.27</v>
      </c>
      <c r="DQ86" s="228">
        <v>0.54</v>
      </c>
      <c r="DR86" s="228">
        <v>0.52</v>
      </c>
      <c r="DS86" s="228">
        <v>0.02</v>
      </c>
      <c r="DT86" s="229">
        <v>3.85E-2</v>
      </c>
      <c r="DU86" s="231">
        <v>2040</v>
      </c>
      <c r="DV86" s="231">
        <v>1900</v>
      </c>
      <c r="DW86" s="228">
        <v>0.7</v>
      </c>
      <c r="DX86" s="228">
        <v>0.32</v>
      </c>
      <c r="DY86" s="228">
        <v>0.38</v>
      </c>
      <c r="DZ86" s="229">
        <v>1.1875</v>
      </c>
      <c r="EA86" s="229">
        <v>3.4099999999999998E-2</v>
      </c>
      <c r="EB86" s="230">
        <v>130325</v>
      </c>
      <c r="EC86" s="229">
        <v>6.4000000000000003E-3</v>
      </c>
      <c r="ED86" s="229">
        <v>3.4099999999999998E-2</v>
      </c>
      <c r="EE86" s="228">
        <v>15.56</v>
      </c>
      <c r="EF86" s="229">
        <v>8.0000000000000002E-3</v>
      </c>
      <c r="EG86" s="230">
        <v>211741</v>
      </c>
      <c r="EH86" s="230">
        <v>391691</v>
      </c>
      <c r="EI86" s="229">
        <v>-0.45939999999999998</v>
      </c>
      <c r="EJ86" s="229">
        <v>0.62450000000000006</v>
      </c>
      <c r="EK86" s="228">
        <v>137.58000000000001</v>
      </c>
      <c r="EL86" s="228">
        <v>92.09</v>
      </c>
      <c r="EM86" s="228">
        <v>98.42</v>
      </c>
      <c r="EN86" s="228">
        <v>13.8</v>
      </c>
      <c r="EO86" s="228">
        <v>328.08</v>
      </c>
      <c r="EP86" s="228">
        <v>339.4</v>
      </c>
      <c r="EQ86" s="228">
        <v>-11.31</v>
      </c>
      <c r="ER86" s="229">
        <v>-3.3300000000000003E-2</v>
      </c>
      <c r="ES86" s="228">
        <v>410.36</v>
      </c>
      <c r="ET86" s="228">
        <v>204.77</v>
      </c>
      <c r="EU86" s="231">
        <v>1108.6400000000001</v>
      </c>
      <c r="EV86" s="231">
        <v>26688038</v>
      </c>
      <c r="EW86" s="231">
        <v>1723.77</v>
      </c>
      <c r="EX86" s="231">
        <v>1724.92</v>
      </c>
      <c r="EY86" s="228">
        <v>-1.1499999999999999</v>
      </c>
      <c r="EZ86" s="229">
        <v>-6.9999999999999999E-4</v>
      </c>
      <c r="FA86" s="229">
        <v>0.32679999999999998</v>
      </c>
      <c r="FB86" s="227" t="s">
        <v>556</v>
      </c>
      <c r="FC86">
        <f t="shared" si="1"/>
        <v>37</v>
      </c>
    </row>
    <row r="87" spans="1:159" ht="17.25" thickBot="1" x14ac:dyDescent="0.3">
      <c r="A87" s="226">
        <v>46009</v>
      </c>
      <c r="B87" s="227" t="s">
        <v>175</v>
      </c>
      <c r="C87" s="227" t="s">
        <v>233</v>
      </c>
      <c r="D87" s="228">
        <v>925</v>
      </c>
      <c r="E87" s="228">
        <v>12</v>
      </c>
      <c r="F87" s="228">
        <v>646.95000000000005</v>
      </c>
      <c r="G87" s="228">
        <v>631.20000000000005</v>
      </c>
      <c r="H87" s="228">
        <v>15.75</v>
      </c>
      <c r="I87" s="229">
        <v>2.5000000000000001E-2</v>
      </c>
      <c r="J87" s="228">
        <v>645.65</v>
      </c>
      <c r="K87" s="228">
        <v>630.5</v>
      </c>
      <c r="L87" s="228">
        <v>15.15</v>
      </c>
      <c r="M87" s="229">
        <v>2.4E-2</v>
      </c>
      <c r="N87" s="228">
        <v>646.95000000000005</v>
      </c>
      <c r="O87" s="228">
        <v>631.20000000000005</v>
      </c>
      <c r="P87" s="228">
        <v>15.75</v>
      </c>
      <c r="Q87" s="229">
        <v>2.5000000000000001E-2</v>
      </c>
      <c r="R87" s="228">
        <v>650.54999999999995</v>
      </c>
      <c r="S87" s="228">
        <v>634.85</v>
      </c>
      <c r="T87" s="228">
        <v>15.7</v>
      </c>
      <c r="U87" s="229">
        <v>2.47E-2</v>
      </c>
      <c r="V87" s="228">
        <v>653.70000000000005</v>
      </c>
      <c r="W87" s="228">
        <v>636.65</v>
      </c>
      <c r="X87" s="228">
        <v>17.05</v>
      </c>
      <c r="Y87" s="229">
        <v>2.6800000000000001E-2</v>
      </c>
      <c r="Z87" s="228">
        <v>1.3</v>
      </c>
      <c r="AA87" s="228">
        <v>0.7</v>
      </c>
      <c r="AB87" s="228">
        <v>0.6</v>
      </c>
      <c r="AC87" s="229">
        <v>2E-3</v>
      </c>
      <c r="AD87" s="228">
        <v>1.3</v>
      </c>
      <c r="AE87" s="228">
        <v>0.7</v>
      </c>
      <c r="AF87" s="228">
        <v>0.6</v>
      </c>
      <c r="AG87" s="229">
        <v>2E-3</v>
      </c>
      <c r="AH87" s="228">
        <v>4.9000000000000004</v>
      </c>
      <c r="AI87" s="228">
        <v>4.3499999999999996</v>
      </c>
      <c r="AJ87" s="228">
        <v>0.55000000000000004</v>
      </c>
      <c r="AK87" s="229">
        <v>7.6E-3</v>
      </c>
      <c r="AL87" s="228">
        <v>8.0500000000000007</v>
      </c>
      <c r="AM87" s="228">
        <v>6.15</v>
      </c>
      <c r="AN87" s="228">
        <v>1.9</v>
      </c>
      <c r="AO87" s="229">
        <v>1.2500000000000001E-2</v>
      </c>
      <c r="AP87" s="228">
        <v>640.86</v>
      </c>
      <c r="AQ87" s="228">
        <v>644.61</v>
      </c>
      <c r="AR87" s="228">
        <v>0</v>
      </c>
      <c r="AS87" s="228">
        <v>132</v>
      </c>
      <c r="AT87" s="228">
        <v>98</v>
      </c>
      <c r="AU87" s="228">
        <v>35</v>
      </c>
      <c r="AV87" s="229">
        <v>0.35520000000000002</v>
      </c>
      <c r="AW87" s="228">
        <v>114</v>
      </c>
      <c r="AX87" s="228">
        <v>90</v>
      </c>
      <c r="AY87" s="228">
        <v>24</v>
      </c>
      <c r="AZ87" s="229">
        <v>0.2656</v>
      </c>
      <c r="BA87" s="228">
        <v>18</v>
      </c>
      <c r="BB87" s="228">
        <v>7</v>
      </c>
      <c r="BC87" s="228">
        <v>10</v>
      </c>
      <c r="BD87" s="229">
        <v>1.4113</v>
      </c>
      <c r="BE87" s="228">
        <v>1</v>
      </c>
      <c r="BF87" s="228">
        <v>0</v>
      </c>
      <c r="BG87" s="228">
        <v>0</v>
      </c>
      <c r="BH87" s="229">
        <v>1.25</v>
      </c>
      <c r="BI87" s="228">
        <v>394</v>
      </c>
      <c r="BJ87" s="228">
        <v>198</v>
      </c>
      <c r="BK87" s="228">
        <v>196</v>
      </c>
      <c r="BL87" s="229">
        <v>0.98939999999999995</v>
      </c>
      <c r="BM87" s="228">
        <v>148</v>
      </c>
      <c r="BN87" s="228">
        <v>77</v>
      </c>
      <c r="BO87" s="228">
        <v>71</v>
      </c>
      <c r="BP87" s="229">
        <v>0.92689999999999995</v>
      </c>
      <c r="BQ87" s="228">
        <v>674</v>
      </c>
      <c r="BR87" s="228">
        <v>372</v>
      </c>
      <c r="BS87" s="228">
        <v>302</v>
      </c>
      <c r="BT87" s="229">
        <v>0.81040000000000001</v>
      </c>
      <c r="BU87" s="230">
        <v>2682876</v>
      </c>
      <c r="BV87" s="230">
        <v>385584</v>
      </c>
      <c r="BW87" s="230">
        <v>2297292</v>
      </c>
      <c r="BX87" s="229">
        <v>5.9580000000000002</v>
      </c>
      <c r="BY87" s="230">
        <v>1072</v>
      </c>
      <c r="BZ87" s="230">
        <v>1063</v>
      </c>
      <c r="CA87" s="228">
        <v>10</v>
      </c>
      <c r="CB87" s="229">
        <v>9.1000000000000004E-3</v>
      </c>
      <c r="CC87" s="230">
        <v>1035</v>
      </c>
      <c r="CD87" s="230">
        <v>1033</v>
      </c>
      <c r="CE87" s="228">
        <v>2</v>
      </c>
      <c r="CF87" s="229">
        <v>2E-3</v>
      </c>
      <c r="CG87" s="228">
        <v>35</v>
      </c>
      <c r="CH87" s="228">
        <v>27</v>
      </c>
      <c r="CI87" s="228">
        <v>7</v>
      </c>
      <c r="CJ87" s="229">
        <v>0.27350000000000002</v>
      </c>
      <c r="CK87" s="228">
        <v>2</v>
      </c>
      <c r="CL87" s="228">
        <v>2</v>
      </c>
      <c r="CM87" s="228">
        <v>0</v>
      </c>
      <c r="CN87" s="229">
        <v>5.5599999999999997E-2</v>
      </c>
      <c r="CO87" s="228">
        <v>305</v>
      </c>
      <c r="CP87" s="228">
        <v>303</v>
      </c>
      <c r="CQ87" s="228">
        <v>2</v>
      </c>
      <c r="CR87" s="229">
        <v>5.4999999999999997E-3</v>
      </c>
      <c r="CS87" s="228">
        <v>151</v>
      </c>
      <c r="CT87" s="228">
        <v>138</v>
      </c>
      <c r="CU87" s="228">
        <v>12</v>
      </c>
      <c r="CV87" s="229">
        <v>8.8300000000000003E-2</v>
      </c>
      <c r="CW87" s="230">
        <v>1528</v>
      </c>
      <c r="CX87" s="230">
        <v>1504</v>
      </c>
      <c r="CY87" s="228">
        <v>24</v>
      </c>
      <c r="CZ87" s="229">
        <v>1.5699999999999999E-2</v>
      </c>
      <c r="DA87" s="228">
        <v>20.71</v>
      </c>
      <c r="DB87" s="228">
        <v>21.92</v>
      </c>
      <c r="DC87" s="228">
        <v>-1.21</v>
      </c>
      <c r="DD87" s="228">
        <v>-1.21</v>
      </c>
      <c r="DE87" s="228">
        <v>27.43</v>
      </c>
      <c r="DF87" s="228">
        <v>27.3</v>
      </c>
      <c r="DG87" s="228">
        <v>-6.72</v>
      </c>
      <c r="DH87" s="228">
        <v>0.13</v>
      </c>
      <c r="DI87" s="228">
        <v>20.41</v>
      </c>
      <c r="DJ87" s="228">
        <v>22.38</v>
      </c>
      <c r="DK87" s="228">
        <v>-1.97</v>
      </c>
      <c r="DL87" s="228">
        <v>-1.97</v>
      </c>
      <c r="DM87" s="228">
        <v>21.52</v>
      </c>
      <c r="DN87" s="228">
        <v>20.72</v>
      </c>
      <c r="DO87" s="228">
        <v>0.8</v>
      </c>
      <c r="DP87" s="228">
        <v>0.8</v>
      </c>
      <c r="DQ87" s="228">
        <v>0.49</v>
      </c>
      <c r="DR87" s="228">
        <v>0.46</v>
      </c>
      <c r="DS87" s="228">
        <v>0.03</v>
      </c>
      <c r="DT87" s="229">
        <v>6.5199999999999994E-2</v>
      </c>
      <c r="DU87" s="228">
        <v>630</v>
      </c>
      <c r="DV87" s="228">
        <v>590</v>
      </c>
      <c r="DW87" s="228">
        <v>0.38</v>
      </c>
      <c r="DX87" s="228">
        <v>0.39</v>
      </c>
      <c r="DY87" s="228">
        <v>-0.01</v>
      </c>
      <c r="DZ87" s="229">
        <v>-2.5600000000000001E-2</v>
      </c>
      <c r="EA87" s="229">
        <v>3.4599999999999999E-2</v>
      </c>
      <c r="EB87" s="230">
        <v>456025</v>
      </c>
      <c r="EC87" s="229">
        <v>5.5999999999999999E-3</v>
      </c>
      <c r="ED87" s="229">
        <v>3.4599999999999999E-2</v>
      </c>
      <c r="EE87" s="228">
        <v>3.75</v>
      </c>
      <c r="EF87" s="229">
        <v>5.8999999999999999E-3</v>
      </c>
      <c r="EG87" s="230">
        <v>2177386</v>
      </c>
      <c r="EH87" s="230">
        <v>174652</v>
      </c>
      <c r="EI87" s="229">
        <v>11.467000000000001</v>
      </c>
      <c r="EJ87" s="229">
        <v>0.81159999999999999</v>
      </c>
      <c r="EK87" s="228">
        <v>399.7</v>
      </c>
      <c r="EL87" s="228">
        <v>144.12</v>
      </c>
      <c r="EM87" s="228">
        <v>131.06</v>
      </c>
      <c r="EN87" s="228">
        <v>21.99</v>
      </c>
      <c r="EO87" s="228">
        <v>674.88</v>
      </c>
      <c r="EP87" s="228">
        <v>373.95</v>
      </c>
      <c r="EQ87" s="228">
        <v>300.93</v>
      </c>
      <c r="ER87" s="229">
        <v>0.80469999999999997</v>
      </c>
      <c r="ES87" s="228">
        <v>312.64</v>
      </c>
      <c r="ET87" s="228">
        <v>141.74</v>
      </c>
      <c r="EU87" s="231">
        <v>1072.6600000000001</v>
      </c>
      <c r="EV87" s="231">
        <v>48653643</v>
      </c>
      <c r="EW87" s="231">
        <v>1527.04</v>
      </c>
      <c r="EX87" s="231">
        <v>1477.71</v>
      </c>
      <c r="EY87" s="228">
        <v>49.33</v>
      </c>
      <c r="EZ87" s="229">
        <v>3.3399999999999999E-2</v>
      </c>
      <c r="FA87" s="229">
        <v>0.4854</v>
      </c>
      <c r="FB87" s="227" t="s">
        <v>555</v>
      </c>
      <c r="FC87">
        <f t="shared" si="1"/>
        <v>37</v>
      </c>
    </row>
    <row r="88" spans="1:159" ht="17.25" thickBot="1" x14ac:dyDescent="0.3">
      <c r="A88" s="226">
        <v>46009</v>
      </c>
      <c r="B88" s="227" t="s">
        <v>188</v>
      </c>
      <c r="C88" s="227" t="s">
        <v>234</v>
      </c>
      <c r="D88" s="228">
        <v>71475</v>
      </c>
      <c r="E88" s="228">
        <v>12</v>
      </c>
      <c r="F88" s="228">
        <v>11.35</v>
      </c>
      <c r="G88" s="228">
        <v>11.17</v>
      </c>
      <c r="H88" s="228">
        <v>0.18</v>
      </c>
      <c r="I88" s="229">
        <v>1.61E-2</v>
      </c>
      <c r="J88" s="228">
        <v>11.3</v>
      </c>
      <c r="K88" s="228">
        <v>11.13</v>
      </c>
      <c r="L88" s="228">
        <v>0.17</v>
      </c>
      <c r="M88" s="229">
        <v>1.5299999999999999E-2</v>
      </c>
      <c r="N88" s="228">
        <v>11.35</v>
      </c>
      <c r="O88" s="228">
        <v>11.17</v>
      </c>
      <c r="P88" s="228">
        <v>0.18</v>
      </c>
      <c r="Q88" s="229">
        <v>1.61E-2</v>
      </c>
      <c r="R88" s="228">
        <v>11.42</v>
      </c>
      <c r="S88" s="228">
        <v>11.24</v>
      </c>
      <c r="T88" s="228">
        <v>0.18</v>
      </c>
      <c r="U88" s="229">
        <v>1.6E-2</v>
      </c>
      <c r="V88" s="228">
        <v>11.49</v>
      </c>
      <c r="W88" s="228">
        <v>11.31</v>
      </c>
      <c r="X88" s="228">
        <v>0.18</v>
      </c>
      <c r="Y88" s="229">
        <v>1.5900000000000001E-2</v>
      </c>
      <c r="Z88" s="228">
        <v>0.05</v>
      </c>
      <c r="AA88" s="228">
        <v>0.04</v>
      </c>
      <c r="AB88" s="228">
        <v>0.01</v>
      </c>
      <c r="AC88" s="229">
        <v>4.4000000000000003E-3</v>
      </c>
      <c r="AD88" s="228">
        <v>0.05</v>
      </c>
      <c r="AE88" s="228">
        <v>0.04</v>
      </c>
      <c r="AF88" s="228">
        <v>0.01</v>
      </c>
      <c r="AG88" s="229">
        <v>4.4000000000000003E-3</v>
      </c>
      <c r="AH88" s="228">
        <v>0.12</v>
      </c>
      <c r="AI88" s="228">
        <v>0.11</v>
      </c>
      <c r="AJ88" s="228">
        <v>0.01</v>
      </c>
      <c r="AK88" s="229">
        <v>1.06E-2</v>
      </c>
      <c r="AL88" s="228">
        <v>0.19</v>
      </c>
      <c r="AM88" s="228">
        <v>0.18</v>
      </c>
      <c r="AN88" s="228">
        <v>0.01</v>
      </c>
      <c r="AO88" s="229">
        <v>1.6799999999999999E-2</v>
      </c>
      <c r="AP88" s="228">
        <v>11.34</v>
      </c>
      <c r="AQ88" s="228">
        <v>11.41</v>
      </c>
      <c r="AR88" s="228">
        <v>0</v>
      </c>
      <c r="AS88" s="230">
        <v>1351</v>
      </c>
      <c r="AT88" s="228">
        <v>720</v>
      </c>
      <c r="AU88" s="228">
        <v>631</v>
      </c>
      <c r="AV88" s="229">
        <v>0.876</v>
      </c>
      <c r="AW88" s="230">
        <v>1029</v>
      </c>
      <c r="AX88" s="228">
        <v>551</v>
      </c>
      <c r="AY88" s="228">
        <v>477</v>
      </c>
      <c r="AZ88" s="229">
        <v>0.8659</v>
      </c>
      <c r="BA88" s="228">
        <v>276</v>
      </c>
      <c r="BB88" s="228">
        <v>149</v>
      </c>
      <c r="BC88" s="228">
        <v>126</v>
      </c>
      <c r="BD88" s="229">
        <v>0.84670000000000001</v>
      </c>
      <c r="BE88" s="228">
        <v>47</v>
      </c>
      <c r="BF88" s="228">
        <v>20</v>
      </c>
      <c r="BG88" s="228">
        <v>27</v>
      </c>
      <c r="BH88" s="229">
        <v>1.3786</v>
      </c>
      <c r="BI88" s="230">
        <v>4179</v>
      </c>
      <c r="BJ88" s="230">
        <v>2321</v>
      </c>
      <c r="BK88" s="230">
        <v>1859</v>
      </c>
      <c r="BL88" s="229">
        <v>0.80089999999999995</v>
      </c>
      <c r="BM88" s="230">
        <v>1157</v>
      </c>
      <c r="BN88" s="228">
        <v>604</v>
      </c>
      <c r="BO88" s="228">
        <v>553</v>
      </c>
      <c r="BP88" s="229">
        <v>0.91579999999999995</v>
      </c>
      <c r="BQ88" s="230">
        <v>6687</v>
      </c>
      <c r="BR88" s="230">
        <v>3645</v>
      </c>
      <c r="BS88" s="230">
        <v>3043</v>
      </c>
      <c r="BT88" s="229">
        <v>0.83479999999999999</v>
      </c>
      <c r="BU88" s="230">
        <v>964631352</v>
      </c>
      <c r="BV88" s="230">
        <v>682566568</v>
      </c>
      <c r="BW88" s="230">
        <v>282064784</v>
      </c>
      <c r="BX88" s="229">
        <v>0.41320000000000001</v>
      </c>
      <c r="BY88" s="230">
        <v>7823</v>
      </c>
      <c r="BZ88" s="230">
        <v>7881</v>
      </c>
      <c r="CA88" s="228">
        <v>-58</v>
      </c>
      <c r="CB88" s="229">
        <v>-7.4000000000000003E-3</v>
      </c>
      <c r="CC88" s="230">
        <v>6682</v>
      </c>
      <c r="CD88" s="230">
        <v>6795</v>
      </c>
      <c r="CE88" s="228">
        <v>-113</v>
      </c>
      <c r="CF88" s="229">
        <v>-1.66E-2</v>
      </c>
      <c r="CG88" s="230">
        <v>1001</v>
      </c>
      <c r="CH88" s="228">
        <v>951</v>
      </c>
      <c r="CI88" s="228">
        <v>49</v>
      </c>
      <c r="CJ88" s="229">
        <v>5.1900000000000002E-2</v>
      </c>
      <c r="CK88" s="228">
        <v>140</v>
      </c>
      <c r="CL88" s="228">
        <v>135</v>
      </c>
      <c r="CM88" s="228">
        <v>5</v>
      </c>
      <c r="CN88" s="229">
        <v>3.8600000000000002E-2</v>
      </c>
      <c r="CO88" s="230">
        <v>2737</v>
      </c>
      <c r="CP88" s="230">
        <v>2659</v>
      </c>
      <c r="CQ88" s="228">
        <v>78</v>
      </c>
      <c r="CR88" s="229">
        <v>2.93E-2</v>
      </c>
      <c r="CS88" s="230">
        <v>1457</v>
      </c>
      <c r="CT88" s="230">
        <v>1529</v>
      </c>
      <c r="CU88" s="228">
        <v>-72</v>
      </c>
      <c r="CV88" s="229">
        <v>-4.6899999999999997E-2</v>
      </c>
      <c r="CW88" s="230">
        <v>12016</v>
      </c>
      <c r="CX88" s="230">
        <v>12068</v>
      </c>
      <c r="CY88" s="228">
        <v>-52</v>
      </c>
      <c r="CZ88" s="229">
        <v>-4.3E-3</v>
      </c>
      <c r="DA88" s="228">
        <v>57.44</v>
      </c>
      <c r="DB88" s="228">
        <v>57.42</v>
      </c>
      <c r="DC88" s="228">
        <v>0.02</v>
      </c>
      <c r="DD88" s="228">
        <v>0.02</v>
      </c>
      <c r="DE88" s="228">
        <v>67.319999999999993</v>
      </c>
      <c r="DF88" s="228">
        <v>67.45</v>
      </c>
      <c r="DG88" s="228">
        <v>-9.8800000000000008</v>
      </c>
      <c r="DH88" s="228">
        <v>-0.13</v>
      </c>
      <c r="DI88" s="228">
        <v>58.57</v>
      </c>
      <c r="DJ88" s="228">
        <v>58.52</v>
      </c>
      <c r="DK88" s="228">
        <v>0.05</v>
      </c>
      <c r="DL88" s="228">
        <v>0.05</v>
      </c>
      <c r="DM88" s="228">
        <v>53.33</v>
      </c>
      <c r="DN88" s="228">
        <v>53.2</v>
      </c>
      <c r="DO88" s="228">
        <v>0.13</v>
      </c>
      <c r="DP88" s="228">
        <v>0.13</v>
      </c>
      <c r="DQ88" s="228">
        <v>0.53</v>
      </c>
      <c r="DR88" s="228">
        <v>0.56999999999999995</v>
      </c>
      <c r="DS88" s="228">
        <v>-0.04</v>
      </c>
      <c r="DT88" s="229">
        <v>-7.0199999999999999E-2</v>
      </c>
      <c r="DU88" s="228">
        <v>11</v>
      </c>
      <c r="DV88" s="228">
        <v>10</v>
      </c>
      <c r="DW88" s="228">
        <v>0.28000000000000003</v>
      </c>
      <c r="DX88" s="228">
        <v>0.26</v>
      </c>
      <c r="DY88" s="228">
        <v>0.02</v>
      </c>
      <c r="DZ88" s="229">
        <v>7.6899999999999996E-2</v>
      </c>
      <c r="EA88" s="229">
        <v>0.14580000000000001</v>
      </c>
      <c r="EB88" s="230">
        <v>956621400</v>
      </c>
      <c r="EC88" s="229">
        <v>6.1999999999999998E-3</v>
      </c>
      <c r="ED88" s="229">
        <v>0.14580000000000001</v>
      </c>
      <c r="EE88" s="228">
        <v>7.0000000000000007E-2</v>
      </c>
      <c r="EF88" s="229">
        <v>6.1999999999999998E-3</v>
      </c>
      <c r="EG88" s="230">
        <v>166001112</v>
      </c>
      <c r="EH88" s="230">
        <v>117614606</v>
      </c>
      <c r="EI88" s="229">
        <v>0.41139999999999999</v>
      </c>
      <c r="EJ88" s="229">
        <v>0.1721</v>
      </c>
      <c r="EK88" s="231">
        <v>4751.1099999999997</v>
      </c>
      <c r="EL88" s="231">
        <v>1095.81</v>
      </c>
      <c r="EM88" s="231">
        <v>1352.32</v>
      </c>
      <c r="EN88" s="228">
        <v>163.69</v>
      </c>
      <c r="EO88" s="231">
        <v>7199.24</v>
      </c>
      <c r="EP88" s="231">
        <v>3917.36</v>
      </c>
      <c r="EQ88" s="231">
        <v>3281.88</v>
      </c>
      <c r="ER88" s="229">
        <v>0.83779999999999999</v>
      </c>
      <c r="ES88" s="231">
        <v>3023.07</v>
      </c>
      <c r="ET88" s="231">
        <v>1301.3</v>
      </c>
      <c r="EU88" s="231">
        <v>7830.45</v>
      </c>
      <c r="EV88" s="231">
        <v>8713529091</v>
      </c>
      <c r="EW88" s="231">
        <v>12154.82</v>
      </c>
      <c r="EX88" s="231">
        <v>12033.72</v>
      </c>
      <c r="EY88" s="228">
        <v>121.1</v>
      </c>
      <c r="EZ88" s="229">
        <v>1.01E-2</v>
      </c>
      <c r="FA88" s="229">
        <v>1.2150000000000001</v>
      </c>
      <c r="FB88" s="227" t="s">
        <v>556</v>
      </c>
      <c r="FC88">
        <f t="shared" si="1"/>
        <v>1141</v>
      </c>
    </row>
    <row r="89" spans="1:159" ht="17.25" thickBot="1" x14ac:dyDescent="0.3">
      <c r="A89" s="226">
        <v>46009</v>
      </c>
      <c r="B89" s="227" t="s">
        <v>172</v>
      </c>
      <c r="C89" s="227" t="s">
        <v>235</v>
      </c>
      <c r="D89" s="228">
        <v>9275</v>
      </c>
      <c r="E89" s="228">
        <v>12</v>
      </c>
      <c r="F89" s="228">
        <v>83.87</v>
      </c>
      <c r="G89" s="228">
        <v>84.01</v>
      </c>
      <c r="H89" s="228">
        <v>-0.14000000000000001</v>
      </c>
      <c r="I89" s="229">
        <v>-1.6999999999999999E-3</v>
      </c>
      <c r="J89" s="228">
        <v>83.79</v>
      </c>
      <c r="K89" s="228">
        <v>83.95</v>
      </c>
      <c r="L89" s="228">
        <v>-0.16</v>
      </c>
      <c r="M89" s="229">
        <v>-1.9E-3</v>
      </c>
      <c r="N89" s="228">
        <v>83.87</v>
      </c>
      <c r="O89" s="228">
        <v>84.01</v>
      </c>
      <c r="P89" s="228">
        <v>-0.14000000000000001</v>
      </c>
      <c r="Q89" s="229">
        <v>-1.6999999999999999E-3</v>
      </c>
      <c r="R89" s="228">
        <v>84.39</v>
      </c>
      <c r="S89" s="228">
        <v>84.51</v>
      </c>
      <c r="T89" s="228">
        <v>-0.12</v>
      </c>
      <c r="U89" s="229">
        <v>-1.4E-3</v>
      </c>
      <c r="V89" s="228">
        <v>84.91</v>
      </c>
      <c r="W89" s="228">
        <v>84.96</v>
      </c>
      <c r="X89" s="228">
        <v>-0.05</v>
      </c>
      <c r="Y89" s="229">
        <v>-5.9999999999999995E-4</v>
      </c>
      <c r="Z89" s="228">
        <v>0.08</v>
      </c>
      <c r="AA89" s="228">
        <v>0.06</v>
      </c>
      <c r="AB89" s="228">
        <v>0.02</v>
      </c>
      <c r="AC89" s="229">
        <v>1E-3</v>
      </c>
      <c r="AD89" s="228">
        <v>0.08</v>
      </c>
      <c r="AE89" s="228">
        <v>0.06</v>
      </c>
      <c r="AF89" s="228">
        <v>0.02</v>
      </c>
      <c r="AG89" s="229">
        <v>1E-3</v>
      </c>
      <c r="AH89" s="228">
        <v>0.6</v>
      </c>
      <c r="AI89" s="228">
        <v>0.56000000000000005</v>
      </c>
      <c r="AJ89" s="228">
        <v>0.04</v>
      </c>
      <c r="AK89" s="229">
        <v>7.1999999999999998E-3</v>
      </c>
      <c r="AL89" s="228">
        <v>1.1200000000000001</v>
      </c>
      <c r="AM89" s="228">
        <v>1.01</v>
      </c>
      <c r="AN89" s="228">
        <v>0.11</v>
      </c>
      <c r="AO89" s="229">
        <v>1.34E-2</v>
      </c>
      <c r="AP89" s="228">
        <v>83.76</v>
      </c>
      <c r="AQ89" s="228">
        <v>84.31</v>
      </c>
      <c r="AR89" s="228">
        <v>0</v>
      </c>
      <c r="AS89" s="228">
        <v>485</v>
      </c>
      <c r="AT89" s="228">
        <v>389</v>
      </c>
      <c r="AU89" s="228">
        <v>96</v>
      </c>
      <c r="AV89" s="229">
        <v>0.246</v>
      </c>
      <c r="AW89" s="228">
        <v>357</v>
      </c>
      <c r="AX89" s="228">
        <v>305</v>
      </c>
      <c r="AY89" s="228">
        <v>53</v>
      </c>
      <c r="AZ89" s="229">
        <v>0.1724</v>
      </c>
      <c r="BA89" s="228">
        <v>119</v>
      </c>
      <c r="BB89" s="228">
        <v>81</v>
      </c>
      <c r="BC89" s="228">
        <v>38</v>
      </c>
      <c r="BD89" s="229">
        <v>0.46960000000000002</v>
      </c>
      <c r="BE89" s="228">
        <v>9</v>
      </c>
      <c r="BF89" s="228">
        <v>4</v>
      </c>
      <c r="BG89" s="228">
        <v>5</v>
      </c>
      <c r="BH89" s="229">
        <v>1.4167000000000001</v>
      </c>
      <c r="BI89" s="230">
        <v>1006</v>
      </c>
      <c r="BJ89" s="228">
        <v>683</v>
      </c>
      <c r="BK89" s="228">
        <v>323</v>
      </c>
      <c r="BL89" s="229">
        <v>0.4733</v>
      </c>
      <c r="BM89" s="228">
        <v>525</v>
      </c>
      <c r="BN89" s="228">
        <v>334</v>
      </c>
      <c r="BO89" s="228">
        <v>191</v>
      </c>
      <c r="BP89" s="229">
        <v>0.57289999999999996</v>
      </c>
      <c r="BQ89" s="230">
        <v>2015</v>
      </c>
      <c r="BR89" s="230">
        <v>1405</v>
      </c>
      <c r="BS89" s="228">
        <v>610</v>
      </c>
      <c r="BT89" s="229">
        <v>0.434</v>
      </c>
      <c r="BU89" s="230">
        <v>24734263</v>
      </c>
      <c r="BV89" s="230">
        <v>25213949</v>
      </c>
      <c r="BW89" s="230">
        <v>-479686</v>
      </c>
      <c r="BX89" s="229">
        <v>-1.9E-2</v>
      </c>
      <c r="BY89" s="230">
        <v>3007</v>
      </c>
      <c r="BZ89" s="230">
        <v>2956</v>
      </c>
      <c r="CA89" s="228">
        <v>51</v>
      </c>
      <c r="CB89" s="229">
        <v>1.7299999999999999E-2</v>
      </c>
      <c r="CC89" s="230">
        <v>2527</v>
      </c>
      <c r="CD89" s="230">
        <v>2533</v>
      </c>
      <c r="CE89" s="228">
        <v>-7</v>
      </c>
      <c r="CF89" s="229">
        <v>-2.5999999999999999E-3</v>
      </c>
      <c r="CG89" s="228">
        <v>443</v>
      </c>
      <c r="CH89" s="228">
        <v>389</v>
      </c>
      <c r="CI89" s="228">
        <v>54</v>
      </c>
      <c r="CJ89" s="229">
        <v>0.13800000000000001</v>
      </c>
      <c r="CK89" s="228">
        <v>37</v>
      </c>
      <c r="CL89" s="228">
        <v>33</v>
      </c>
      <c r="CM89" s="228">
        <v>4</v>
      </c>
      <c r="CN89" s="229">
        <v>0.1176</v>
      </c>
      <c r="CO89" s="230">
        <v>1099</v>
      </c>
      <c r="CP89" s="230">
        <v>1112</v>
      </c>
      <c r="CQ89" s="228">
        <v>-13</v>
      </c>
      <c r="CR89" s="229">
        <v>-1.2E-2</v>
      </c>
      <c r="CS89" s="228">
        <v>817</v>
      </c>
      <c r="CT89" s="228">
        <v>803</v>
      </c>
      <c r="CU89" s="228">
        <v>15</v>
      </c>
      <c r="CV89" s="229">
        <v>1.8200000000000001E-2</v>
      </c>
      <c r="CW89" s="230">
        <v>4923</v>
      </c>
      <c r="CX89" s="230">
        <v>4871</v>
      </c>
      <c r="CY89" s="228">
        <v>52</v>
      </c>
      <c r="CZ89" s="229">
        <v>1.0699999999999999E-2</v>
      </c>
      <c r="DA89" s="228">
        <v>22.52</v>
      </c>
      <c r="DB89" s="228">
        <v>23.45</v>
      </c>
      <c r="DC89" s="228">
        <v>-0.93</v>
      </c>
      <c r="DD89" s="228">
        <v>-0.93</v>
      </c>
      <c r="DE89" s="228">
        <v>33.090000000000003</v>
      </c>
      <c r="DF89" s="228">
        <v>33.18</v>
      </c>
      <c r="DG89" s="228">
        <v>-10.57</v>
      </c>
      <c r="DH89" s="228">
        <v>-0.09</v>
      </c>
      <c r="DI89" s="228">
        <v>22.08</v>
      </c>
      <c r="DJ89" s="228">
        <v>23.05</v>
      </c>
      <c r="DK89" s="228">
        <v>-0.97</v>
      </c>
      <c r="DL89" s="228">
        <v>-0.97</v>
      </c>
      <c r="DM89" s="228">
        <v>23.38</v>
      </c>
      <c r="DN89" s="228">
        <v>24.28</v>
      </c>
      <c r="DO89" s="228">
        <v>-0.9</v>
      </c>
      <c r="DP89" s="228">
        <v>-0.9</v>
      </c>
      <c r="DQ89" s="228">
        <v>0.74</v>
      </c>
      <c r="DR89" s="228">
        <v>0.72</v>
      </c>
      <c r="DS89" s="228">
        <v>0.02</v>
      </c>
      <c r="DT89" s="229">
        <v>2.7799999999999998E-2</v>
      </c>
      <c r="DU89" s="228">
        <v>85</v>
      </c>
      <c r="DV89" s="228">
        <v>80</v>
      </c>
      <c r="DW89" s="228">
        <v>0.52</v>
      </c>
      <c r="DX89" s="228">
        <v>0.49</v>
      </c>
      <c r="DY89" s="228">
        <v>0.03</v>
      </c>
      <c r="DZ89" s="229">
        <v>6.1199999999999997E-2</v>
      </c>
      <c r="EA89" s="229">
        <v>0.15970000000000001</v>
      </c>
      <c r="EB89" s="230">
        <v>50372525</v>
      </c>
      <c r="EC89" s="229">
        <v>6.1999999999999998E-3</v>
      </c>
      <c r="ED89" s="229">
        <v>0.15970000000000001</v>
      </c>
      <c r="EE89" s="228">
        <v>0.55000000000000004</v>
      </c>
      <c r="EF89" s="229">
        <v>6.6E-3</v>
      </c>
      <c r="EG89" s="230">
        <v>15023561</v>
      </c>
      <c r="EH89" s="230">
        <v>16457265</v>
      </c>
      <c r="EI89" s="229">
        <v>-8.7099999999999997E-2</v>
      </c>
      <c r="EJ89" s="229">
        <v>0.60740000000000005</v>
      </c>
      <c r="EK89" s="231">
        <v>1039.0899999999999</v>
      </c>
      <c r="EL89" s="228">
        <v>514.65</v>
      </c>
      <c r="EM89" s="228">
        <v>484.85</v>
      </c>
      <c r="EN89" s="228">
        <v>61.66</v>
      </c>
      <c r="EO89" s="231">
        <v>2038.59</v>
      </c>
      <c r="EP89" s="231">
        <v>1418.5</v>
      </c>
      <c r="EQ89" s="228">
        <v>620.09</v>
      </c>
      <c r="ER89" s="229">
        <v>0.43709999999999999</v>
      </c>
      <c r="ES89" s="231">
        <v>1113.27</v>
      </c>
      <c r="ET89" s="228">
        <v>772.21</v>
      </c>
      <c r="EU89" s="231">
        <v>3010</v>
      </c>
      <c r="EV89" s="231">
        <v>761294821</v>
      </c>
      <c r="EW89" s="231">
        <v>4895.47</v>
      </c>
      <c r="EX89" s="231">
        <v>4845.8599999999997</v>
      </c>
      <c r="EY89" s="228">
        <v>49.61</v>
      </c>
      <c r="EZ89" s="229">
        <v>1.0200000000000001E-2</v>
      </c>
      <c r="FA89" s="229">
        <v>0.77100000000000002</v>
      </c>
      <c r="FB89" s="227" t="s">
        <v>567</v>
      </c>
      <c r="FC89">
        <f t="shared" si="1"/>
        <v>480</v>
      </c>
    </row>
    <row r="90" spans="1:159" ht="17.25" thickBot="1" x14ac:dyDescent="0.3">
      <c r="A90" s="226">
        <v>46009</v>
      </c>
      <c r="B90" s="227" t="s">
        <v>161</v>
      </c>
      <c r="C90" s="227" t="s">
        <v>514</v>
      </c>
      <c r="D90" s="228">
        <v>3750</v>
      </c>
      <c r="E90" s="228">
        <v>12</v>
      </c>
      <c r="F90" s="228">
        <v>140.06</v>
      </c>
      <c r="G90" s="228">
        <v>140.38999999999999</v>
      </c>
      <c r="H90" s="228">
        <v>-0.33</v>
      </c>
      <c r="I90" s="229">
        <v>-2.3999999999999998E-3</v>
      </c>
      <c r="J90" s="228">
        <v>139.76</v>
      </c>
      <c r="K90" s="228">
        <v>140.22</v>
      </c>
      <c r="L90" s="228">
        <v>-0.46</v>
      </c>
      <c r="M90" s="229">
        <v>-3.3E-3</v>
      </c>
      <c r="N90" s="228">
        <v>140.06</v>
      </c>
      <c r="O90" s="228">
        <v>140.38999999999999</v>
      </c>
      <c r="P90" s="228">
        <v>-0.33</v>
      </c>
      <c r="Q90" s="229">
        <v>-2.3999999999999998E-3</v>
      </c>
      <c r="R90" s="228">
        <v>140.93</v>
      </c>
      <c r="S90" s="228">
        <v>141.02000000000001</v>
      </c>
      <c r="T90" s="228">
        <v>-0.09</v>
      </c>
      <c r="U90" s="229">
        <v>-5.9999999999999995E-4</v>
      </c>
      <c r="V90" s="228">
        <v>140.75</v>
      </c>
      <c r="W90" s="228">
        <v>140.81</v>
      </c>
      <c r="X90" s="228">
        <v>-0.06</v>
      </c>
      <c r="Y90" s="229">
        <v>-4.0000000000000002E-4</v>
      </c>
      <c r="Z90" s="228">
        <v>0.3</v>
      </c>
      <c r="AA90" s="228">
        <v>0.17</v>
      </c>
      <c r="AB90" s="228">
        <v>0.13</v>
      </c>
      <c r="AC90" s="229">
        <v>2.0999999999999999E-3</v>
      </c>
      <c r="AD90" s="228">
        <v>0.3</v>
      </c>
      <c r="AE90" s="228">
        <v>0.17</v>
      </c>
      <c r="AF90" s="228">
        <v>0.13</v>
      </c>
      <c r="AG90" s="229">
        <v>2.0999999999999999E-3</v>
      </c>
      <c r="AH90" s="228">
        <v>1.17</v>
      </c>
      <c r="AI90" s="228">
        <v>0.8</v>
      </c>
      <c r="AJ90" s="228">
        <v>0.37</v>
      </c>
      <c r="AK90" s="229">
        <v>8.3999999999999995E-3</v>
      </c>
      <c r="AL90" s="228">
        <v>0.99</v>
      </c>
      <c r="AM90" s="228">
        <v>0.59</v>
      </c>
      <c r="AN90" s="228">
        <v>0.4</v>
      </c>
      <c r="AO90" s="229">
        <v>7.1000000000000004E-3</v>
      </c>
      <c r="AP90" s="228">
        <v>140.31</v>
      </c>
      <c r="AQ90" s="228">
        <v>141.01</v>
      </c>
      <c r="AR90" s="228">
        <v>0</v>
      </c>
      <c r="AS90" s="228">
        <v>122</v>
      </c>
      <c r="AT90" s="228">
        <v>58</v>
      </c>
      <c r="AU90" s="228">
        <v>65</v>
      </c>
      <c r="AV90" s="229">
        <v>1.1288</v>
      </c>
      <c r="AW90" s="228">
        <v>92</v>
      </c>
      <c r="AX90" s="228">
        <v>48</v>
      </c>
      <c r="AY90" s="228">
        <v>44</v>
      </c>
      <c r="AZ90" s="229">
        <v>0.90949999999999998</v>
      </c>
      <c r="BA90" s="228">
        <v>28</v>
      </c>
      <c r="BB90" s="228">
        <v>7</v>
      </c>
      <c r="BC90" s="228">
        <v>20</v>
      </c>
      <c r="BD90" s="229">
        <v>2.7713999999999999</v>
      </c>
      <c r="BE90" s="228">
        <v>3</v>
      </c>
      <c r="BF90" s="228">
        <v>2</v>
      </c>
      <c r="BG90" s="228">
        <v>1</v>
      </c>
      <c r="BH90" s="229">
        <v>0.36840000000000001</v>
      </c>
      <c r="BI90" s="228">
        <v>274</v>
      </c>
      <c r="BJ90" s="228">
        <v>200</v>
      </c>
      <c r="BK90" s="228">
        <v>74</v>
      </c>
      <c r="BL90" s="229">
        <v>0.37190000000000001</v>
      </c>
      <c r="BM90" s="228">
        <v>118</v>
      </c>
      <c r="BN90" s="228">
        <v>63</v>
      </c>
      <c r="BO90" s="228">
        <v>56</v>
      </c>
      <c r="BP90" s="229">
        <v>0.89239999999999997</v>
      </c>
      <c r="BQ90" s="228">
        <v>515</v>
      </c>
      <c r="BR90" s="228">
        <v>320</v>
      </c>
      <c r="BS90" s="228">
        <v>195</v>
      </c>
      <c r="BT90" s="229">
        <v>0.60970000000000002</v>
      </c>
      <c r="BU90" s="230">
        <v>3537523</v>
      </c>
      <c r="BV90" s="230">
        <v>2006255</v>
      </c>
      <c r="BW90" s="230">
        <v>1531268</v>
      </c>
      <c r="BX90" s="229">
        <v>0.76319999999999999</v>
      </c>
      <c r="BY90" s="228">
        <v>808</v>
      </c>
      <c r="BZ90" s="228">
        <v>795</v>
      </c>
      <c r="CA90" s="228">
        <v>13</v>
      </c>
      <c r="CB90" s="229">
        <v>1.61E-2</v>
      </c>
      <c r="CC90" s="228">
        <v>707</v>
      </c>
      <c r="CD90" s="228">
        <v>712</v>
      </c>
      <c r="CE90" s="228">
        <v>-4</v>
      </c>
      <c r="CF90" s="229">
        <v>-6.0000000000000001E-3</v>
      </c>
      <c r="CG90" s="228">
        <v>82</v>
      </c>
      <c r="CH90" s="228">
        <v>66</v>
      </c>
      <c r="CI90" s="228">
        <v>16</v>
      </c>
      <c r="CJ90" s="229">
        <v>0.24030000000000001</v>
      </c>
      <c r="CK90" s="228">
        <v>19</v>
      </c>
      <c r="CL90" s="228">
        <v>17</v>
      </c>
      <c r="CM90" s="228">
        <v>1</v>
      </c>
      <c r="CN90" s="229">
        <v>6.93E-2</v>
      </c>
      <c r="CO90" s="228">
        <v>649</v>
      </c>
      <c r="CP90" s="228">
        <v>655</v>
      </c>
      <c r="CQ90" s="228">
        <v>-6</v>
      </c>
      <c r="CR90" s="229">
        <v>-9.1000000000000004E-3</v>
      </c>
      <c r="CS90" s="228">
        <v>474</v>
      </c>
      <c r="CT90" s="228">
        <v>475</v>
      </c>
      <c r="CU90" s="228">
        <v>-1</v>
      </c>
      <c r="CV90" s="229">
        <v>-2.5000000000000001E-3</v>
      </c>
      <c r="CW90" s="230">
        <v>1931</v>
      </c>
      <c r="CX90" s="230">
        <v>1925</v>
      </c>
      <c r="CY90" s="228">
        <v>6</v>
      </c>
      <c r="CZ90" s="229">
        <v>2.8999999999999998E-3</v>
      </c>
      <c r="DA90" s="228">
        <v>27.62</v>
      </c>
      <c r="DB90" s="228">
        <v>29.05</v>
      </c>
      <c r="DC90" s="228">
        <v>-1.43</v>
      </c>
      <c r="DD90" s="228">
        <v>-1.43</v>
      </c>
      <c r="DE90" s="228">
        <v>53.27</v>
      </c>
      <c r="DF90" s="228">
        <v>53.4</v>
      </c>
      <c r="DG90" s="228">
        <v>-25.65</v>
      </c>
      <c r="DH90" s="228">
        <v>-0.13</v>
      </c>
      <c r="DI90" s="228">
        <v>27.5</v>
      </c>
      <c r="DJ90" s="228">
        <v>29.28</v>
      </c>
      <c r="DK90" s="228">
        <v>-1.78</v>
      </c>
      <c r="DL90" s="228">
        <v>-1.78</v>
      </c>
      <c r="DM90" s="228">
        <v>27.9</v>
      </c>
      <c r="DN90" s="228">
        <v>28.32</v>
      </c>
      <c r="DO90" s="228">
        <v>-0.42</v>
      </c>
      <c r="DP90" s="228">
        <v>-0.42</v>
      </c>
      <c r="DQ90" s="228">
        <v>0.73</v>
      </c>
      <c r="DR90" s="228">
        <v>0.73</v>
      </c>
      <c r="DS90" s="228">
        <v>0</v>
      </c>
      <c r="DT90" s="229">
        <v>0</v>
      </c>
      <c r="DU90" s="228">
        <v>150</v>
      </c>
      <c r="DV90" s="228">
        <v>140</v>
      </c>
      <c r="DW90" s="228">
        <v>0.43</v>
      </c>
      <c r="DX90" s="228">
        <v>0.31</v>
      </c>
      <c r="DY90" s="228">
        <v>0.12</v>
      </c>
      <c r="DZ90" s="229">
        <v>0.3871</v>
      </c>
      <c r="EA90" s="229">
        <v>0.1244</v>
      </c>
      <c r="EB90" s="230">
        <v>5958750</v>
      </c>
      <c r="EC90" s="229">
        <v>6.1999999999999998E-3</v>
      </c>
      <c r="ED90" s="229">
        <v>0.1244</v>
      </c>
      <c r="EE90" s="228">
        <v>0.7</v>
      </c>
      <c r="EF90" s="229">
        <v>5.0000000000000001E-3</v>
      </c>
      <c r="EG90" s="230">
        <v>1437511</v>
      </c>
      <c r="EH90" s="230">
        <v>812890</v>
      </c>
      <c r="EI90" s="229">
        <v>0.76839999999999997</v>
      </c>
      <c r="EJ90" s="229">
        <v>0.40639999999999998</v>
      </c>
      <c r="EK90" s="228">
        <v>289.47000000000003</v>
      </c>
      <c r="EL90" s="228">
        <v>116.93</v>
      </c>
      <c r="EM90" s="228">
        <v>122.8</v>
      </c>
      <c r="EN90" s="228">
        <v>15.29</v>
      </c>
      <c r="EO90" s="228">
        <v>529.20000000000005</v>
      </c>
      <c r="EP90" s="228">
        <v>334.85</v>
      </c>
      <c r="EQ90" s="228">
        <v>194.35</v>
      </c>
      <c r="ER90" s="229">
        <v>0.58040000000000003</v>
      </c>
      <c r="ES90" s="228">
        <v>700.89</v>
      </c>
      <c r="ET90" s="228">
        <v>468.26</v>
      </c>
      <c r="EU90" s="228">
        <v>808.5</v>
      </c>
      <c r="EV90" s="231">
        <v>133395043</v>
      </c>
      <c r="EW90" s="231">
        <v>1977.66</v>
      </c>
      <c r="EX90" s="231">
        <v>1975.35</v>
      </c>
      <c r="EY90" s="228">
        <v>2.31</v>
      </c>
      <c r="EZ90" s="229">
        <v>1.1999999999999999E-3</v>
      </c>
      <c r="FA90" s="229">
        <v>1.0333000000000001</v>
      </c>
      <c r="FB90" s="227" t="s">
        <v>567</v>
      </c>
      <c r="FC90">
        <f t="shared" si="1"/>
        <v>101</v>
      </c>
    </row>
    <row r="91" spans="1:159" ht="17.25" thickBot="1" x14ac:dyDescent="0.3">
      <c r="A91" s="226">
        <v>46009</v>
      </c>
      <c r="B91" s="227" t="s">
        <v>175</v>
      </c>
      <c r="C91" s="227" t="s">
        <v>667</v>
      </c>
      <c r="D91" s="228">
        <v>1650</v>
      </c>
      <c r="E91" s="228">
        <v>12</v>
      </c>
      <c r="F91" s="228">
        <v>561.9</v>
      </c>
      <c r="G91" s="228">
        <v>563.54999999999995</v>
      </c>
      <c r="H91" s="228">
        <v>-1.65</v>
      </c>
      <c r="I91" s="229">
        <v>-2.8999999999999998E-3</v>
      </c>
      <c r="J91" s="228">
        <v>560.5</v>
      </c>
      <c r="K91" s="228">
        <v>563.1</v>
      </c>
      <c r="L91" s="228">
        <v>-2.6</v>
      </c>
      <c r="M91" s="229">
        <v>-4.5999999999999999E-3</v>
      </c>
      <c r="N91" s="228">
        <v>561.9</v>
      </c>
      <c r="O91" s="228">
        <v>563.54999999999995</v>
      </c>
      <c r="P91" s="228">
        <v>-1.65</v>
      </c>
      <c r="Q91" s="229">
        <v>-2.8999999999999998E-3</v>
      </c>
      <c r="R91" s="228">
        <v>565.65</v>
      </c>
      <c r="S91" s="228">
        <v>567.29999999999995</v>
      </c>
      <c r="T91" s="228">
        <v>-1.65</v>
      </c>
      <c r="U91" s="229">
        <v>-2.8999999999999998E-3</v>
      </c>
      <c r="V91" s="228">
        <v>0</v>
      </c>
      <c r="W91" s="228">
        <v>0</v>
      </c>
      <c r="X91" s="228">
        <v>0</v>
      </c>
      <c r="Y91" s="229">
        <v>0</v>
      </c>
      <c r="Z91" s="228">
        <v>1.4</v>
      </c>
      <c r="AA91" s="228">
        <v>0.45</v>
      </c>
      <c r="AB91" s="228">
        <v>0.95</v>
      </c>
      <c r="AC91" s="229">
        <v>2.5000000000000001E-3</v>
      </c>
      <c r="AD91" s="228">
        <v>1.4</v>
      </c>
      <c r="AE91" s="228">
        <v>0.45</v>
      </c>
      <c r="AF91" s="228">
        <v>0.95</v>
      </c>
      <c r="AG91" s="229">
        <v>2.5000000000000001E-3</v>
      </c>
      <c r="AH91" s="228">
        <v>5.15</v>
      </c>
      <c r="AI91" s="228">
        <v>4.2</v>
      </c>
      <c r="AJ91" s="228">
        <v>0.95</v>
      </c>
      <c r="AK91" s="229">
        <v>9.1999999999999998E-3</v>
      </c>
      <c r="AL91" s="228">
        <v>0</v>
      </c>
      <c r="AM91" s="228">
        <v>0</v>
      </c>
      <c r="AN91" s="228">
        <v>0</v>
      </c>
      <c r="AO91" s="229">
        <v>0</v>
      </c>
      <c r="AP91" s="228">
        <v>563.30999999999995</v>
      </c>
      <c r="AQ91" s="228">
        <v>567.05999999999995</v>
      </c>
      <c r="AR91" s="228">
        <v>0</v>
      </c>
      <c r="AS91" s="228">
        <v>141</v>
      </c>
      <c r="AT91" s="228">
        <v>87</v>
      </c>
      <c r="AU91" s="228">
        <v>53</v>
      </c>
      <c r="AV91" s="229">
        <v>0.60870000000000002</v>
      </c>
      <c r="AW91" s="228">
        <v>128</v>
      </c>
      <c r="AX91" s="228">
        <v>77</v>
      </c>
      <c r="AY91" s="228">
        <v>51</v>
      </c>
      <c r="AZ91" s="229">
        <v>0.66310000000000002</v>
      </c>
      <c r="BA91" s="228">
        <v>13</v>
      </c>
      <c r="BB91" s="228">
        <v>10</v>
      </c>
      <c r="BC91" s="228">
        <v>2</v>
      </c>
      <c r="BD91" s="229">
        <v>0.2054</v>
      </c>
      <c r="BE91" s="228">
        <v>0</v>
      </c>
      <c r="BF91" s="228">
        <v>0</v>
      </c>
      <c r="BG91" s="228">
        <v>0</v>
      </c>
      <c r="BH91" s="229">
        <v>0</v>
      </c>
      <c r="BI91" s="228">
        <v>445</v>
      </c>
      <c r="BJ91" s="228">
        <v>547</v>
      </c>
      <c r="BK91" s="228">
        <v>-101</v>
      </c>
      <c r="BL91" s="229">
        <v>-0.18490000000000001</v>
      </c>
      <c r="BM91" s="228">
        <v>149</v>
      </c>
      <c r="BN91" s="228">
        <v>120</v>
      </c>
      <c r="BO91" s="228">
        <v>29</v>
      </c>
      <c r="BP91" s="229">
        <v>0.2442</v>
      </c>
      <c r="BQ91" s="228">
        <v>735</v>
      </c>
      <c r="BR91" s="228">
        <v>754</v>
      </c>
      <c r="BS91" s="228">
        <v>-19</v>
      </c>
      <c r="BT91" s="229">
        <v>-2.47E-2</v>
      </c>
      <c r="BU91" s="230">
        <v>789742</v>
      </c>
      <c r="BV91" s="230">
        <v>403998</v>
      </c>
      <c r="BW91" s="230">
        <v>385744</v>
      </c>
      <c r="BX91" s="229">
        <v>0.95479999999999998</v>
      </c>
      <c r="BY91" s="228">
        <v>677</v>
      </c>
      <c r="BZ91" s="228">
        <v>680</v>
      </c>
      <c r="CA91" s="228">
        <v>-2</v>
      </c>
      <c r="CB91" s="229">
        <v>-3.3E-3</v>
      </c>
      <c r="CC91" s="228">
        <v>652</v>
      </c>
      <c r="CD91" s="228">
        <v>656</v>
      </c>
      <c r="CE91" s="228">
        <v>-4</v>
      </c>
      <c r="CF91" s="229">
        <v>-6.4000000000000003E-3</v>
      </c>
      <c r="CG91" s="228">
        <v>25</v>
      </c>
      <c r="CH91" s="228">
        <v>23</v>
      </c>
      <c r="CI91" s="228">
        <v>2</v>
      </c>
      <c r="CJ91" s="229">
        <v>8.4000000000000005E-2</v>
      </c>
      <c r="CK91" s="228">
        <v>0</v>
      </c>
      <c r="CL91" s="228">
        <v>0</v>
      </c>
      <c r="CM91" s="228">
        <v>0</v>
      </c>
      <c r="CN91" s="229">
        <v>0</v>
      </c>
      <c r="CO91" s="228">
        <v>416</v>
      </c>
      <c r="CP91" s="228">
        <v>427</v>
      </c>
      <c r="CQ91" s="228">
        <v>-11</v>
      </c>
      <c r="CR91" s="229">
        <v>-2.5000000000000001E-2</v>
      </c>
      <c r="CS91" s="228">
        <v>254</v>
      </c>
      <c r="CT91" s="228">
        <v>257</v>
      </c>
      <c r="CU91" s="228">
        <v>-4</v>
      </c>
      <c r="CV91" s="229">
        <v>-1.4800000000000001E-2</v>
      </c>
      <c r="CW91" s="230">
        <v>1347</v>
      </c>
      <c r="CX91" s="230">
        <v>1364</v>
      </c>
      <c r="CY91" s="228">
        <v>-17</v>
      </c>
      <c r="CZ91" s="229">
        <v>-1.2200000000000001E-2</v>
      </c>
      <c r="DA91" s="228">
        <v>29.41</v>
      </c>
      <c r="DB91" s="228">
        <v>31.01</v>
      </c>
      <c r="DC91" s="228">
        <v>-1.6</v>
      </c>
      <c r="DD91" s="228">
        <v>-1.6</v>
      </c>
      <c r="DE91" s="228">
        <v>49.29</v>
      </c>
      <c r="DF91" s="228">
        <v>49.41</v>
      </c>
      <c r="DG91" s="228">
        <v>-19.88</v>
      </c>
      <c r="DH91" s="228">
        <v>-0.12</v>
      </c>
      <c r="DI91" s="228">
        <v>29.8</v>
      </c>
      <c r="DJ91" s="228">
        <v>31.34</v>
      </c>
      <c r="DK91" s="228">
        <v>-1.54</v>
      </c>
      <c r="DL91" s="228">
        <v>-1.54</v>
      </c>
      <c r="DM91" s="228">
        <v>28.26</v>
      </c>
      <c r="DN91" s="228">
        <v>29.55</v>
      </c>
      <c r="DO91" s="228">
        <v>-1.29</v>
      </c>
      <c r="DP91" s="228">
        <v>-1.29</v>
      </c>
      <c r="DQ91" s="228">
        <v>0.61</v>
      </c>
      <c r="DR91" s="228">
        <v>0.6</v>
      </c>
      <c r="DS91" s="228">
        <v>0.01</v>
      </c>
      <c r="DT91" s="229">
        <v>1.67E-2</v>
      </c>
      <c r="DU91" s="228">
        <v>570</v>
      </c>
      <c r="DV91" s="228">
        <v>560</v>
      </c>
      <c r="DW91" s="228">
        <v>0.33</v>
      </c>
      <c r="DX91" s="228">
        <v>0.22</v>
      </c>
      <c r="DY91" s="228">
        <v>0.11</v>
      </c>
      <c r="DZ91" s="229">
        <v>0.5</v>
      </c>
      <c r="EA91" s="229">
        <v>3.7100000000000001E-2</v>
      </c>
      <c r="EB91" s="230">
        <v>412500</v>
      </c>
      <c r="EC91" s="229">
        <v>6.7000000000000002E-3</v>
      </c>
      <c r="ED91" s="229">
        <v>3.7100000000000001E-2</v>
      </c>
      <c r="EE91" s="228">
        <v>3.75</v>
      </c>
      <c r="EF91" s="229">
        <v>6.7000000000000002E-3</v>
      </c>
      <c r="EG91" s="230">
        <v>233695</v>
      </c>
      <c r="EH91" s="230">
        <v>114171</v>
      </c>
      <c r="EI91" s="229">
        <v>1.0468999999999999</v>
      </c>
      <c r="EJ91" s="229">
        <v>0.2959</v>
      </c>
      <c r="EK91" s="228">
        <v>466.35</v>
      </c>
      <c r="EL91" s="228">
        <v>148.09</v>
      </c>
      <c r="EM91" s="228">
        <v>141.08000000000001</v>
      </c>
      <c r="EN91" s="228">
        <v>14.63</v>
      </c>
      <c r="EO91" s="228">
        <v>755.52</v>
      </c>
      <c r="EP91" s="228">
        <v>787.37</v>
      </c>
      <c r="EQ91" s="228">
        <v>-31.85</v>
      </c>
      <c r="ER91" s="229">
        <v>-4.0399999999999998E-2</v>
      </c>
      <c r="ES91" s="228">
        <v>434.08</v>
      </c>
      <c r="ET91" s="228">
        <v>246.57</v>
      </c>
      <c r="EU91" s="228">
        <v>677.53</v>
      </c>
      <c r="EV91" s="231">
        <v>47888370</v>
      </c>
      <c r="EW91" s="231">
        <v>1358.17</v>
      </c>
      <c r="EX91" s="231">
        <v>1377.5</v>
      </c>
      <c r="EY91" s="228">
        <v>-19.329999999999998</v>
      </c>
      <c r="EZ91" s="229">
        <v>-1.4E-2</v>
      </c>
      <c r="FA91" s="229">
        <v>0.50070000000000003</v>
      </c>
      <c r="FB91" s="227" t="s">
        <v>568</v>
      </c>
      <c r="FC91">
        <f t="shared" si="1"/>
        <v>25</v>
      </c>
    </row>
    <row r="92" spans="1:159" ht="17.25" thickBot="1" x14ac:dyDescent="0.3">
      <c r="A92" s="226">
        <v>46009</v>
      </c>
      <c r="B92" s="227" t="s">
        <v>206</v>
      </c>
      <c r="C92" s="227" t="s">
        <v>501</v>
      </c>
      <c r="D92" s="228">
        <v>1000</v>
      </c>
      <c r="E92" s="228">
        <v>12</v>
      </c>
      <c r="F92" s="228">
        <v>724.15</v>
      </c>
      <c r="G92" s="228">
        <v>715.75</v>
      </c>
      <c r="H92" s="228">
        <v>8.4</v>
      </c>
      <c r="I92" s="229">
        <v>1.17E-2</v>
      </c>
      <c r="J92" s="228">
        <v>722</v>
      </c>
      <c r="K92" s="228">
        <v>713.2</v>
      </c>
      <c r="L92" s="228">
        <v>8.8000000000000007</v>
      </c>
      <c r="M92" s="229">
        <v>1.23E-2</v>
      </c>
      <c r="N92" s="228">
        <v>724.15</v>
      </c>
      <c r="O92" s="228">
        <v>715.75</v>
      </c>
      <c r="P92" s="228">
        <v>8.4</v>
      </c>
      <c r="Q92" s="229">
        <v>1.17E-2</v>
      </c>
      <c r="R92" s="228">
        <v>728.55</v>
      </c>
      <c r="S92" s="228">
        <v>720.05</v>
      </c>
      <c r="T92" s="228">
        <v>8.5</v>
      </c>
      <c r="U92" s="229">
        <v>1.18E-2</v>
      </c>
      <c r="V92" s="228">
        <v>732.95</v>
      </c>
      <c r="W92" s="228">
        <v>724.95</v>
      </c>
      <c r="X92" s="228">
        <v>8</v>
      </c>
      <c r="Y92" s="229">
        <v>1.0999999999999999E-2</v>
      </c>
      <c r="Z92" s="228">
        <v>2.15</v>
      </c>
      <c r="AA92" s="228">
        <v>2.5499999999999998</v>
      </c>
      <c r="AB92" s="228">
        <v>-0.4</v>
      </c>
      <c r="AC92" s="229">
        <v>3.0000000000000001E-3</v>
      </c>
      <c r="AD92" s="228">
        <v>2.15</v>
      </c>
      <c r="AE92" s="228">
        <v>2.5499999999999998</v>
      </c>
      <c r="AF92" s="228">
        <v>-0.4</v>
      </c>
      <c r="AG92" s="229">
        <v>3.0000000000000001E-3</v>
      </c>
      <c r="AH92" s="228">
        <v>6.55</v>
      </c>
      <c r="AI92" s="228">
        <v>6.85</v>
      </c>
      <c r="AJ92" s="228">
        <v>-0.3</v>
      </c>
      <c r="AK92" s="229">
        <v>9.1000000000000004E-3</v>
      </c>
      <c r="AL92" s="228">
        <v>10.95</v>
      </c>
      <c r="AM92" s="228">
        <v>11.75</v>
      </c>
      <c r="AN92" s="228">
        <v>-0.8</v>
      </c>
      <c r="AO92" s="229">
        <v>1.52E-2</v>
      </c>
      <c r="AP92" s="228">
        <v>720.32</v>
      </c>
      <c r="AQ92" s="228">
        <v>724.57</v>
      </c>
      <c r="AR92" s="228">
        <v>0</v>
      </c>
      <c r="AS92" s="228">
        <v>293</v>
      </c>
      <c r="AT92" s="228">
        <v>252</v>
      </c>
      <c r="AU92" s="228">
        <v>41</v>
      </c>
      <c r="AV92" s="229">
        <v>0.1643</v>
      </c>
      <c r="AW92" s="228">
        <v>246</v>
      </c>
      <c r="AX92" s="228">
        <v>209</v>
      </c>
      <c r="AY92" s="228">
        <v>37</v>
      </c>
      <c r="AZ92" s="229">
        <v>0.17460000000000001</v>
      </c>
      <c r="BA92" s="228">
        <v>44</v>
      </c>
      <c r="BB92" s="228">
        <v>39</v>
      </c>
      <c r="BC92" s="228">
        <v>5</v>
      </c>
      <c r="BD92" s="229">
        <v>0.12520000000000001</v>
      </c>
      <c r="BE92" s="228">
        <v>3</v>
      </c>
      <c r="BF92" s="228">
        <v>3</v>
      </c>
      <c r="BG92" s="228">
        <v>0</v>
      </c>
      <c r="BH92" s="229">
        <v>-0.05</v>
      </c>
      <c r="BI92" s="228">
        <v>659</v>
      </c>
      <c r="BJ92" s="228">
        <v>635</v>
      </c>
      <c r="BK92" s="228">
        <v>24</v>
      </c>
      <c r="BL92" s="229">
        <v>3.8199999999999998E-2</v>
      </c>
      <c r="BM92" s="228">
        <v>319</v>
      </c>
      <c r="BN92" s="228">
        <v>257</v>
      </c>
      <c r="BO92" s="228">
        <v>61</v>
      </c>
      <c r="BP92" s="229">
        <v>0.23880000000000001</v>
      </c>
      <c r="BQ92" s="230">
        <v>1271</v>
      </c>
      <c r="BR92" s="230">
        <v>1144</v>
      </c>
      <c r="BS92" s="228">
        <v>127</v>
      </c>
      <c r="BT92" s="229">
        <v>0.1111</v>
      </c>
      <c r="BU92" s="230">
        <v>2486834</v>
      </c>
      <c r="BV92" s="230">
        <v>2598042</v>
      </c>
      <c r="BW92" s="230">
        <v>-111208</v>
      </c>
      <c r="BX92" s="229">
        <v>-4.2799999999999998E-2</v>
      </c>
      <c r="BY92" s="230">
        <v>1946</v>
      </c>
      <c r="BZ92" s="230">
        <v>1971</v>
      </c>
      <c r="CA92" s="228">
        <v>-26</v>
      </c>
      <c r="CB92" s="229">
        <v>-1.2999999999999999E-2</v>
      </c>
      <c r="CC92" s="230">
        <v>1792</v>
      </c>
      <c r="CD92" s="230">
        <v>1836</v>
      </c>
      <c r="CE92" s="228">
        <v>-44</v>
      </c>
      <c r="CF92" s="229">
        <v>-2.3900000000000001E-2</v>
      </c>
      <c r="CG92" s="228">
        <v>142</v>
      </c>
      <c r="CH92" s="228">
        <v>124</v>
      </c>
      <c r="CI92" s="228">
        <v>18</v>
      </c>
      <c r="CJ92" s="229">
        <v>0.14929999999999999</v>
      </c>
      <c r="CK92" s="228">
        <v>11</v>
      </c>
      <c r="CL92" s="228">
        <v>12</v>
      </c>
      <c r="CM92" s="228">
        <v>0</v>
      </c>
      <c r="CN92" s="229">
        <v>-3.1399999999999997E-2</v>
      </c>
      <c r="CO92" s="228">
        <v>772</v>
      </c>
      <c r="CP92" s="228">
        <v>796</v>
      </c>
      <c r="CQ92" s="228">
        <v>-24</v>
      </c>
      <c r="CR92" s="229">
        <v>-3.0700000000000002E-2</v>
      </c>
      <c r="CS92" s="228">
        <v>500</v>
      </c>
      <c r="CT92" s="228">
        <v>475</v>
      </c>
      <c r="CU92" s="228">
        <v>24</v>
      </c>
      <c r="CV92" s="229">
        <v>5.1299999999999998E-2</v>
      </c>
      <c r="CW92" s="230">
        <v>3217</v>
      </c>
      <c r="CX92" s="230">
        <v>3243</v>
      </c>
      <c r="CY92" s="228">
        <v>-26</v>
      </c>
      <c r="CZ92" s="229">
        <v>-7.9000000000000008E-3</v>
      </c>
      <c r="DA92" s="228">
        <v>20.68</v>
      </c>
      <c r="DB92" s="228">
        <v>22.63</v>
      </c>
      <c r="DC92" s="228">
        <v>-1.95</v>
      </c>
      <c r="DD92" s="228">
        <v>-1.95</v>
      </c>
      <c r="DE92" s="228">
        <v>34.03</v>
      </c>
      <c r="DF92" s="228">
        <v>34.08</v>
      </c>
      <c r="DG92" s="228">
        <v>-13.35</v>
      </c>
      <c r="DH92" s="228">
        <v>-0.05</v>
      </c>
      <c r="DI92" s="228">
        <v>20.89</v>
      </c>
      <c r="DJ92" s="228">
        <v>23.46</v>
      </c>
      <c r="DK92" s="228">
        <v>-2.57</v>
      </c>
      <c r="DL92" s="228">
        <v>-2.57</v>
      </c>
      <c r="DM92" s="228">
        <v>20.23</v>
      </c>
      <c r="DN92" s="228">
        <v>20.6</v>
      </c>
      <c r="DO92" s="228">
        <v>-0.37</v>
      </c>
      <c r="DP92" s="228">
        <v>-0.37</v>
      </c>
      <c r="DQ92" s="228">
        <v>0.65</v>
      </c>
      <c r="DR92" s="228">
        <v>0.6</v>
      </c>
      <c r="DS92" s="228">
        <v>0.05</v>
      </c>
      <c r="DT92" s="229">
        <v>8.3299999999999999E-2</v>
      </c>
      <c r="DU92" s="228">
        <v>750</v>
      </c>
      <c r="DV92" s="228">
        <v>700</v>
      </c>
      <c r="DW92" s="228">
        <v>0.48</v>
      </c>
      <c r="DX92" s="228">
        <v>0.41</v>
      </c>
      <c r="DY92" s="228">
        <v>7.0000000000000007E-2</v>
      </c>
      <c r="DZ92" s="229">
        <v>0.17069999999999999</v>
      </c>
      <c r="EA92" s="229">
        <v>7.8799999999999995E-2</v>
      </c>
      <c r="EB92" s="230">
        <v>1867000</v>
      </c>
      <c r="EC92" s="229">
        <v>6.1000000000000004E-3</v>
      </c>
      <c r="ED92" s="229">
        <v>7.8799999999999995E-2</v>
      </c>
      <c r="EE92" s="228">
        <v>4.25</v>
      </c>
      <c r="EF92" s="229">
        <v>5.8999999999999999E-3</v>
      </c>
      <c r="EG92" s="230">
        <v>1521236</v>
      </c>
      <c r="EH92" s="230">
        <v>1860536</v>
      </c>
      <c r="EI92" s="229">
        <v>-0.18240000000000001</v>
      </c>
      <c r="EJ92" s="229">
        <v>0.61170000000000002</v>
      </c>
      <c r="EK92" s="228">
        <v>677.52</v>
      </c>
      <c r="EL92" s="228">
        <v>314.86</v>
      </c>
      <c r="EM92" s="228">
        <v>291.8</v>
      </c>
      <c r="EN92" s="228">
        <v>31.32</v>
      </c>
      <c r="EO92" s="231">
        <v>1284.18</v>
      </c>
      <c r="EP92" s="231">
        <v>1165.02</v>
      </c>
      <c r="EQ92" s="228">
        <v>119.15</v>
      </c>
      <c r="ER92" s="229">
        <v>0.1023</v>
      </c>
      <c r="ES92" s="228">
        <v>806.58</v>
      </c>
      <c r="ET92" s="228">
        <v>496.69</v>
      </c>
      <c r="EU92" s="231">
        <v>1946.65</v>
      </c>
      <c r="EV92" s="231">
        <v>111956321</v>
      </c>
      <c r="EW92" s="231">
        <v>3249.91</v>
      </c>
      <c r="EX92" s="231">
        <v>3254.56</v>
      </c>
      <c r="EY92" s="228">
        <v>-4.6500000000000004</v>
      </c>
      <c r="EZ92" s="229">
        <v>-1.4E-3</v>
      </c>
      <c r="FA92" s="229">
        <v>0.39689999999999998</v>
      </c>
      <c r="FB92" s="227" t="s">
        <v>556</v>
      </c>
      <c r="FC92">
        <f t="shared" si="1"/>
        <v>154</v>
      </c>
    </row>
    <row r="93" spans="1:159" ht="17.25" thickBot="1" x14ac:dyDescent="0.3">
      <c r="A93" s="226">
        <v>46009</v>
      </c>
      <c r="B93" s="227" t="s">
        <v>172</v>
      </c>
      <c r="C93" s="227" t="s">
        <v>578</v>
      </c>
      <c r="D93" s="228">
        <v>1000</v>
      </c>
      <c r="E93" s="228">
        <v>12</v>
      </c>
      <c r="F93" s="228">
        <v>778.45</v>
      </c>
      <c r="G93" s="228">
        <v>776.35</v>
      </c>
      <c r="H93" s="228">
        <v>2.1</v>
      </c>
      <c r="I93" s="229">
        <v>2.7000000000000001E-3</v>
      </c>
      <c r="J93" s="228">
        <v>777.85</v>
      </c>
      <c r="K93" s="228">
        <v>775</v>
      </c>
      <c r="L93" s="228">
        <v>2.85</v>
      </c>
      <c r="M93" s="229">
        <v>3.7000000000000002E-3</v>
      </c>
      <c r="N93" s="228">
        <v>778.45</v>
      </c>
      <c r="O93" s="228">
        <v>776.35</v>
      </c>
      <c r="P93" s="228">
        <v>2.1</v>
      </c>
      <c r="Q93" s="229">
        <v>2.7000000000000001E-3</v>
      </c>
      <c r="R93" s="228">
        <v>782.3</v>
      </c>
      <c r="S93" s="228">
        <v>779.85</v>
      </c>
      <c r="T93" s="228">
        <v>2.4500000000000002</v>
      </c>
      <c r="U93" s="229">
        <v>3.0999999999999999E-3</v>
      </c>
      <c r="V93" s="228">
        <v>780.5</v>
      </c>
      <c r="W93" s="228">
        <v>781.65</v>
      </c>
      <c r="X93" s="228">
        <v>-1.1499999999999999</v>
      </c>
      <c r="Y93" s="229">
        <v>-1.5E-3</v>
      </c>
      <c r="Z93" s="228">
        <v>0.6</v>
      </c>
      <c r="AA93" s="228">
        <v>1.35</v>
      </c>
      <c r="AB93" s="228">
        <v>-0.75</v>
      </c>
      <c r="AC93" s="229">
        <v>8.0000000000000004E-4</v>
      </c>
      <c r="AD93" s="228">
        <v>0.6</v>
      </c>
      <c r="AE93" s="228">
        <v>1.35</v>
      </c>
      <c r="AF93" s="228">
        <v>-0.75</v>
      </c>
      <c r="AG93" s="229">
        <v>8.0000000000000004E-4</v>
      </c>
      <c r="AH93" s="228">
        <v>4.45</v>
      </c>
      <c r="AI93" s="228">
        <v>4.8499999999999996</v>
      </c>
      <c r="AJ93" s="228">
        <v>-0.4</v>
      </c>
      <c r="AK93" s="229">
        <v>5.7000000000000002E-3</v>
      </c>
      <c r="AL93" s="228">
        <v>2.65</v>
      </c>
      <c r="AM93" s="228">
        <v>6.65</v>
      </c>
      <c r="AN93" s="228">
        <v>-4</v>
      </c>
      <c r="AO93" s="229">
        <v>3.3999999999999998E-3</v>
      </c>
      <c r="AP93" s="228">
        <v>777.71</v>
      </c>
      <c r="AQ93" s="228">
        <v>781.7</v>
      </c>
      <c r="AR93" s="228">
        <v>0</v>
      </c>
      <c r="AS93" s="228">
        <v>113</v>
      </c>
      <c r="AT93" s="228">
        <v>119</v>
      </c>
      <c r="AU93" s="228">
        <v>-6</v>
      </c>
      <c r="AV93" s="229">
        <v>-4.9799999999999997E-2</v>
      </c>
      <c r="AW93" s="228">
        <v>100</v>
      </c>
      <c r="AX93" s="228">
        <v>109</v>
      </c>
      <c r="AY93" s="228">
        <v>-9</v>
      </c>
      <c r="AZ93" s="229">
        <v>-8.6400000000000005E-2</v>
      </c>
      <c r="BA93" s="228">
        <v>13</v>
      </c>
      <c r="BB93" s="228">
        <v>9</v>
      </c>
      <c r="BC93" s="228">
        <v>4</v>
      </c>
      <c r="BD93" s="229">
        <v>0.42109999999999997</v>
      </c>
      <c r="BE93" s="228">
        <v>1</v>
      </c>
      <c r="BF93" s="228">
        <v>1</v>
      </c>
      <c r="BG93" s="228">
        <v>0</v>
      </c>
      <c r="BH93" s="229">
        <v>-0.2727</v>
      </c>
      <c r="BI93" s="228">
        <v>409</v>
      </c>
      <c r="BJ93" s="228">
        <v>372</v>
      </c>
      <c r="BK93" s="228">
        <v>37</v>
      </c>
      <c r="BL93" s="229">
        <v>9.9400000000000002E-2</v>
      </c>
      <c r="BM93" s="228">
        <v>106</v>
      </c>
      <c r="BN93" s="228">
        <v>134</v>
      </c>
      <c r="BO93" s="228">
        <v>-28</v>
      </c>
      <c r="BP93" s="229">
        <v>-0.20660000000000001</v>
      </c>
      <c r="BQ93" s="228">
        <v>628</v>
      </c>
      <c r="BR93" s="228">
        <v>625</v>
      </c>
      <c r="BS93" s="228">
        <v>3</v>
      </c>
      <c r="BT93" s="229">
        <v>5.4999999999999997E-3</v>
      </c>
      <c r="BU93" s="230">
        <v>1097832</v>
      </c>
      <c r="BV93" s="230">
        <v>929594</v>
      </c>
      <c r="BW93" s="230">
        <v>168238</v>
      </c>
      <c r="BX93" s="229">
        <v>0.18099999999999999</v>
      </c>
      <c r="BY93" s="228">
        <v>914</v>
      </c>
      <c r="BZ93" s="228">
        <v>913</v>
      </c>
      <c r="CA93" s="228">
        <v>1</v>
      </c>
      <c r="CB93" s="229">
        <v>1.4E-3</v>
      </c>
      <c r="CC93" s="228">
        <v>861</v>
      </c>
      <c r="CD93" s="228">
        <v>863</v>
      </c>
      <c r="CE93" s="228">
        <v>-2</v>
      </c>
      <c r="CF93" s="229">
        <v>-2.0999999999999999E-3</v>
      </c>
      <c r="CG93" s="228">
        <v>48</v>
      </c>
      <c r="CH93" s="228">
        <v>45</v>
      </c>
      <c r="CI93" s="228">
        <v>3</v>
      </c>
      <c r="CJ93" s="229">
        <v>6.88E-2</v>
      </c>
      <c r="CK93" s="228">
        <v>5</v>
      </c>
      <c r="CL93" s="228">
        <v>5</v>
      </c>
      <c r="CM93" s="228">
        <v>0</v>
      </c>
      <c r="CN93" s="229">
        <v>-1.54E-2</v>
      </c>
      <c r="CO93" s="228">
        <v>957</v>
      </c>
      <c r="CP93" s="228">
        <v>976</v>
      </c>
      <c r="CQ93" s="228">
        <v>-20</v>
      </c>
      <c r="CR93" s="229">
        <v>-2.01E-2</v>
      </c>
      <c r="CS93" s="228">
        <v>395</v>
      </c>
      <c r="CT93" s="228">
        <v>396</v>
      </c>
      <c r="CU93" s="228">
        <v>-1</v>
      </c>
      <c r="CV93" s="229">
        <v>-2E-3</v>
      </c>
      <c r="CW93" s="230">
        <v>2266</v>
      </c>
      <c r="CX93" s="230">
        <v>2285</v>
      </c>
      <c r="CY93" s="228">
        <v>-19</v>
      </c>
      <c r="CZ93" s="229">
        <v>-8.3999999999999995E-3</v>
      </c>
      <c r="DA93" s="228">
        <v>27.24</v>
      </c>
      <c r="DB93" s="228">
        <v>27.51</v>
      </c>
      <c r="DC93" s="228">
        <v>-0.27</v>
      </c>
      <c r="DD93" s="228">
        <v>-0.27</v>
      </c>
      <c r="DE93" s="228">
        <v>37.619999999999997</v>
      </c>
      <c r="DF93" s="228">
        <v>37.71</v>
      </c>
      <c r="DG93" s="228">
        <v>-10.38</v>
      </c>
      <c r="DH93" s="228">
        <v>-0.09</v>
      </c>
      <c r="DI93" s="228">
        <v>27.65</v>
      </c>
      <c r="DJ93" s="228">
        <v>27.94</v>
      </c>
      <c r="DK93" s="228">
        <v>-0.28999999999999998</v>
      </c>
      <c r="DL93" s="228">
        <v>-0.28999999999999998</v>
      </c>
      <c r="DM93" s="228">
        <v>25.67</v>
      </c>
      <c r="DN93" s="228">
        <v>26.32</v>
      </c>
      <c r="DO93" s="228">
        <v>-0.65</v>
      </c>
      <c r="DP93" s="228">
        <v>-0.65</v>
      </c>
      <c r="DQ93" s="228">
        <v>0.41</v>
      </c>
      <c r="DR93" s="228">
        <v>0.41</v>
      </c>
      <c r="DS93" s="228">
        <v>0</v>
      </c>
      <c r="DT93" s="229">
        <v>0</v>
      </c>
      <c r="DU93" s="228">
        <v>900</v>
      </c>
      <c r="DV93" s="228">
        <v>740</v>
      </c>
      <c r="DW93" s="228">
        <v>0.26</v>
      </c>
      <c r="DX93" s="228">
        <v>0.36</v>
      </c>
      <c r="DY93" s="228">
        <v>-0.1</v>
      </c>
      <c r="DZ93" s="229">
        <v>-0.27779999999999999</v>
      </c>
      <c r="EA93" s="229">
        <v>5.8299999999999998E-2</v>
      </c>
      <c r="EB93" s="230">
        <v>646000</v>
      </c>
      <c r="EC93" s="229">
        <v>4.8999999999999998E-3</v>
      </c>
      <c r="ED93" s="229">
        <v>5.8299999999999998E-2</v>
      </c>
      <c r="EE93" s="228">
        <v>3.99</v>
      </c>
      <c r="EF93" s="229">
        <v>5.1000000000000004E-3</v>
      </c>
      <c r="EG93" s="230">
        <v>534840</v>
      </c>
      <c r="EH93" s="230">
        <v>380391</v>
      </c>
      <c r="EI93" s="229">
        <v>0.40600000000000003</v>
      </c>
      <c r="EJ93" s="229">
        <v>0.48720000000000002</v>
      </c>
      <c r="EK93" s="228">
        <v>434.49</v>
      </c>
      <c r="EL93" s="228">
        <v>105.52</v>
      </c>
      <c r="EM93" s="228">
        <v>112.84</v>
      </c>
      <c r="EN93" s="228">
        <v>21.12</v>
      </c>
      <c r="EO93" s="228">
        <v>652.85</v>
      </c>
      <c r="EP93" s="228">
        <v>643.05999999999995</v>
      </c>
      <c r="EQ93" s="228">
        <v>9.7899999999999991</v>
      </c>
      <c r="ER93" s="229">
        <v>1.52E-2</v>
      </c>
      <c r="ES93" s="231">
        <v>1058.1400000000001</v>
      </c>
      <c r="ET93" s="228">
        <v>404.79</v>
      </c>
      <c r="EU93" s="228">
        <v>914.46</v>
      </c>
      <c r="EV93" s="231">
        <v>52862157</v>
      </c>
      <c r="EW93" s="231">
        <v>2377.38</v>
      </c>
      <c r="EX93" s="231">
        <v>2396.84</v>
      </c>
      <c r="EY93" s="228">
        <v>-19.46</v>
      </c>
      <c r="EZ93" s="229">
        <v>-8.0999999999999996E-3</v>
      </c>
      <c r="FA93" s="229">
        <v>0.55059999999999998</v>
      </c>
      <c r="FB93" s="227" t="s">
        <v>555</v>
      </c>
      <c r="FC93">
        <f t="shared" si="1"/>
        <v>53</v>
      </c>
    </row>
    <row r="94" spans="1:159" ht="17.25" thickBot="1" x14ac:dyDescent="0.3">
      <c r="A94" s="226">
        <v>46009</v>
      </c>
      <c r="B94" s="227" t="s">
        <v>181</v>
      </c>
      <c r="C94" s="227" t="s">
        <v>689</v>
      </c>
      <c r="D94" s="228">
        <v>1</v>
      </c>
      <c r="E94" s="228">
        <v>12</v>
      </c>
      <c r="F94" s="228">
        <v>9.7100000000000009</v>
      </c>
      <c r="G94" s="228">
        <v>9.84</v>
      </c>
      <c r="H94" s="228">
        <v>-0.13</v>
      </c>
      <c r="I94" s="229">
        <v>-1.35E-2</v>
      </c>
      <c r="J94" s="228">
        <v>9.7100000000000009</v>
      </c>
      <c r="K94" s="228">
        <v>9.84</v>
      </c>
      <c r="L94" s="228">
        <v>-0.13</v>
      </c>
      <c r="M94" s="229">
        <v>-1.35E-2</v>
      </c>
      <c r="N94" s="228">
        <v>0</v>
      </c>
      <c r="O94" s="228">
        <v>0</v>
      </c>
      <c r="P94" s="228">
        <v>0</v>
      </c>
      <c r="Q94" s="229">
        <v>0</v>
      </c>
      <c r="R94" s="228">
        <v>0</v>
      </c>
      <c r="S94" s="228">
        <v>0</v>
      </c>
      <c r="T94" s="228">
        <v>0</v>
      </c>
      <c r="U94" s="229">
        <v>0</v>
      </c>
      <c r="V94" s="228">
        <v>0</v>
      </c>
      <c r="W94" s="228">
        <v>0</v>
      </c>
      <c r="X94" s="228">
        <v>0</v>
      </c>
      <c r="Y94" s="229">
        <v>0</v>
      </c>
      <c r="Z94" s="228">
        <v>0</v>
      </c>
      <c r="AA94" s="228">
        <v>0</v>
      </c>
      <c r="AB94" s="228">
        <v>0</v>
      </c>
      <c r="AC94" s="229">
        <v>0</v>
      </c>
      <c r="AD94" s="228">
        <v>0</v>
      </c>
      <c r="AE94" s="228">
        <v>0</v>
      </c>
      <c r="AF94" s="228">
        <v>0</v>
      </c>
      <c r="AG94" s="229">
        <v>0</v>
      </c>
      <c r="AH94" s="228">
        <v>0</v>
      </c>
      <c r="AI94" s="228">
        <v>0</v>
      </c>
      <c r="AJ94" s="228">
        <v>0</v>
      </c>
      <c r="AK94" s="229">
        <v>0</v>
      </c>
      <c r="AL94" s="228">
        <v>0</v>
      </c>
      <c r="AM94" s="228">
        <v>0</v>
      </c>
      <c r="AN94" s="228">
        <v>0</v>
      </c>
      <c r="AO94" s="229">
        <v>0</v>
      </c>
      <c r="AP94" s="228">
        <v>0</v>
      </c>
      <c r="AQ94" s="228">
        <v>0</v>
      </c>
      <c r="AR94" s="228">
        <v>0</v>
      </c>
      <c r="AS94" s="228">
        <v>0</v>
      </c>
      <c r="AT94" s="228">
        <v>0</v>
      </c>
      <c r="AU94" s="228">
        <v>0</v>
      </c>
      <c r="AV94" s="229">
        <v>0</v>
      </c>
      <c r="AW94" s="228">
        <v>0</v>
      </c>
      <c r="AX94" s="228">
        <v>0</v>
      </c>
      <c r="AY94" s="228">
        <v>0</v>
      </c>
      <c r="AZ94" s="229">
        <v>0</v>
      </c>
      <c r="BA94" s="228">
        <v>0</v>
      </c>
      <c r="BB94" s="228">
        <v>0</v>
      </c>
      <c r="BC94" s="228">
        <v>0</v>
      </c>
      <c r="BD94" s="229">
        <v>0</v>
      </c>
      <c r="BE94" s="228">
        <v>0</v>
      </c>
      <c r="BF94" s="228">
        <v>0</v>
      </c>
      <c r="BG94" s="228">
        <v>0</v>
      </c>
      <c r="BH94" s="229">
        <v>0</v>
      </c>
      <c r="BI94" s="228">
        <v>0</v>
      </c>
      <c r="BJ94" s="228">
        <v>0</v>
      </c>
      <c r="BK94" s="228">
        <v>0</v>
      </c>
      <c r="BL94" s="229">
        <v>0</v>
      </c>
      <c r="BM94" s="228">
        <v>0</v>
      </c>
      <c r="BN94" s="228">
        <v>0</v>
      </c>
      <c r="BO94" s="228">
        <v>0</v>
      </c>
      <c r="BP94" s="229">
        <v>0</v>
      </c>
      <c r="BQ94" s="228">
        <v>0</v>
      </c>
      <c r="BR94" s="228">
        <v>0</v>
      </c>
      <c r="BS94" s="228">
        <v>0</v>
      </c>
      <c r="BT94" s="229">
        <v>0</v>
      </c>
      <c r="BU94" s="228">
        <v>0</v>
      </c>
      <c r="BV94" s="228">
        <v>0</v>
      </c>
      <c r="BW94" s="228">
        <v>0</v>
      </c>
      <c r="BX94" s="229">
        <v>0</v>
      </c>
      <c r="BY94" s="228">
        <v>0</v>
      </c>
      <c r="BZ94" s="228">
        <v>0</v>
      </c>
      <c r="CA94" s="228">
        <v>0</v>
      </c>
      <c r="CB94" s="229">
        <v>0</v>
      </c>
      <c r="CC94" s="228">
        <v>0</v>
      </c>
      <c r="CD94" s="228">
        <v>0</v>
      </c>
      <c r="CE94" s="228">
        <v>0</v>
      </c>
      <c r="CF94" s="229">
        <v>0</v>
      </c>
      <c r="CG94" s="228">
        <v>0</v>
      </c>
      <c r="CH94" s="228">
        <v>0</v>
      </c>
      <c r="CI94" s="228">
        <v>0</v>
      </c>
      <c r="CJ94" s="229">
        <v>0</v>
      </c>
      <c r="CK94" s="228">
        <v>0</v>
      </c>
      <c r="CL94" s="228">
        <v>0</v>
      </c>
      <c r="CM94" s="228">
        <v>0</v>
      </c>
      <c r="CN94" s="229">
        <v>0</v>
      </c>
      <c r="CO94" s="228">
        <v>0</v>
      </c>
      <c r="CP94" s="228">
        <v>0</v>
      </c>
      <c r="CQ94" s="228">
        <v>0</v>
      </c>
      <c r="CR94" s="229">
        <v>0</v>
      </c>
      <c r="CS94" s="228">
        <v>0</v>
      </c>
      <c r="CT94" s="228">
        <v>0</v>
      </c>
      <c r="CU94" s="228">
        <v>0</v>
      </c>
      <c r="CV94" s="229">
        <v>0</v>
      </c>
      <c r="CW94" s="228">
        <v>0</v>
      </c>
      <c r="CX94" s="228">
        <v>0</v>
      </c>
      <c r="CY94" s="228">
        <v>0</v>
      </c>
      <c r="CZ94" s="229">
        <v>0</v>
      </c>
      <c r="DA94" s="228">
        <v>0</v>
      </c>
      <c r="DB94" s="228">
        <v>0</v>
      </c>
      <c r="DC94" s="228">
        <v>0</v>
      </c>
      <c r="DD94" s="228">
        <v>0</v>
      </c>
      <c r="DE94" s="228">
        <v>0</v>
      </c>
      <c r="DF94" s="228">
        <v>0</v>
      </c>
      <c r="DG94" s="228">
        <v>0</v>
      </c>
      <c r="DH94" s="228">
        <v>0</v>
      </c>
      <c r="DI94" s="228">
        <v>0</v>
      </c>
      <c r="DJ94" s="228">
        <v>0</v>
      </c>
      <c r="DK94" s="228">
        <v>0</v>
      </c>
      <c r="DL94" s="228">
        <v>0</v>
      </c>
      <c r="DM94" s="228">
        <v>0</v>
      </c>
      <c r="DN94" s="228">
        <v>0</v>
      </c>
      <c r="DO94" s="228">
        <v>0</v>
      </c>
      <c r="DP94" s="228">
        <v>0</v>
      </c>
      <c r="DQ94" s="228">
        <v>0</v>
      </c>
      <c r="DR94" s="228">
        <v>0</v>
      </c>
      <c r="DS94" s="228">
        <v>0</v>
      </c>
      <c r="DT94" s="229">
        <v>0</v>
      </c>
      <c r="DU94" s="228">
        <v>0</v>
      </c>
      <c r="DV94" s="228">
        <v>0</v>
      </c>
      <c r="DW94" s="228">
        <v>0</v>
      </c>
      <c r="DX94" s="228">
        <v>0</v>
      </c>
      <c r="DY94" s="228">
        <v>0</v>
      </c>
      <c r="DZ94" s="229">
        <v>0</v>
      </c>
      <c r="EA94" s="229">
        <v>0</v>
      </c>
      <c r="EB94" s="228">
        <v>0</v>
      </c>
      <c r="EC94" s="229">
        <v>0</v>
      </c>
      <c r="ED94" s="229">
        <v>0</v>
      </c>
      <c r="EE94" s="228">
        <v>0</v>
      </c>
      <c r="EF94" s="229">
        <v>0</v>
      </c>
      <c r="EG94" s="228">
        <v>0</v>
      </c>
      <c r="EH94" s="228">
        <v>0</v>
      </c>
      <c r="EI94" s="229">
        <v>0</v>
      </c>
      <c r="EJ94" s="229">
        <v>0</v>
      </c>
      <c r="EK94" s="228">
        <v>0</v>
      </c>
      <c r="EL94" s="228">
        <v>0</v>
      </c>
      <c r="EM94" s="228">
        <v>0</v>
      </c>
      <c r="EN94" s="228">
        <v>0</v>
      </c>
      <c r="EO94" s="228">
        <v>0</v>
      </c>
      <c r="EP94" s="228">
        <v>0</v>
      </c>
      <c r="EQ94" s="228">
        <v>0</v>
      </c>
      <c r="ER94" s="229">
        <v>0</v>
      </c>
      <c r="ES94" s="228">
        <v>0</v>
      </c>
      <c r="ET94" s="228">
        <v>0</v>
      </c>
      <c r="EU94" s="228">
        <v>0</v>
      </c>
      <c r="EV94" s="228">
        <v>0</v>
      </c>
      <c r="EW94" s="228">
        <v>0</v>
      </c>
      <c r="EX94" s="228">
        <v>0</v>
      </c>
      <c r="EY94" s="228">
        <v>0</v>
      </c>
      <c r="EZ94" s="229">
        <v>0</v>
      </c>
      <c r="FA94" s="229">
        <v>0</v>
      </c>
      <c r="FB94" s="227" t="s">
        <v>237</v>
      </c>
      <c r="FC94">
        <f t="shared" si="1"/>
        <v>0</v>
      </c>
    </row>
    <row r="95" spans="1:159" ht="17.25" thickBot="1" x14ac:dyDescent="0.3">
      <c r="A95" s="226">
        <v>46009</v>
      </c>
      <c r="B95" s="227" t="s">
        <v>215</v>
      </c>
      <c r="C95" s="227" t="s">
        <v>238</v>
      </c>
      <c r="D95" s="228">
        <v>150</v>
      </c>
      <c r="E95" s="228">
        <v>12</v>
      </c>
      <c r="F95" s="231">
        <v>5130.5</v>
      </c>
      <c r="G95" s="231">
        <v>4984</v>
      </c>
      <c r="H95" s="228">
        <v>146.5</v>
      </c>
      <c r="I95" s="229">
        <v>2.9399999999999999E-2</v>
      </c>
      <c r="J95" s="231">
        <v>5115.5</v>
      </c>
      <c r="K95" s="231">
        <v>4980.5</v>
      </c>
      <c r="L95" s="228">
        <v>135</v>
      </c>
      <c r="M95" s="229">
        <v>2.7099999999999999E-2</v>
      </c>
      <c r="N95" s="231">
        <v>5130.5</v>
      </c>
      <c r="O95" s="231">
        <v>4984</v>
      </c>
      <c r="P95" s="228">
        <v>146.5</v>
      </c>
      <c r="Q95" s="229">
        <v>2.9399999999999999E-2</v>
      </c>
      <c r="R95" s="231">
        <v>5153</v>
      </c>
      <c r="S95" s="231">
        <v>5009.5</v>
      </c>
      <c r="T95" s="228">
        <v>143.5</v>
      </c>
      <c r="U95" s="229">
        <v>2.86E-2</v>
      </c>
      <c r="V95" s="231">
        <v>5178</v>
      </c>
      <c r="W95" s="231">
        <v>5039.5</v>
      </c>
      <c r="X95" s="228">
        <v>138.5</v>
      </c>
      <c r="Y95" s="229">
        <v>2.75E-2</v>
      </c>
      <c r="Z95" s="228">
        <v>15</v>
      </c>
      <c r="AA95" s="228">
        <v>3.5</v>
      </c>
      <c r="AB95" s="228">
        <v>11.5</v>
      </c>
      <c r="AC95" s="229">
        <v>2.8999999999999998E-3</v>
      </c>
      <c r="AD95" s="228">
        <v>15</v>
      </c>
      <c r="AE95" s="228">
        <v>3.5</v>
      </c>
      <c r="AF95" s="228">
        <v>11.5</v>
      </c>
      <c r="AG95" s="229">
        <v>2.8999999999999998E-3</v>
      </c>
      <c r="AH95" s="228">
        <v>37.5</v>
      </c>
      <c r="AI95" s="228">
        <v>29</v>
      </c>
      <c r="AJ95" s="228">
        <v>8.5</v>
      </c>
      <c r="AK95" s="229">
        <v>7.3000000000000001E-3</v>
      </c>
      <c r="AL95" s="228">
        <v>62.5</v>
      </c>
      <c r="AM95" s="228">
        <v>59</v>
      </c>
      <c r="AN95" s="228">
        <v>3.5</v>
      </c>
      <c r="AO95" s="229">
        <v>1.2200000000000001E-2</v>
      </c>
      <c r="AP95" s="231">
        <v>5086.41</v>
      </c>
      <c r="AQ95" s="231">
        <v>5110.8599999999997</v>
      </c>
      <c r="AR95" s="228">
        <v>0</v>
      </c>
      <c r="AS95" s="230">
        <v>2319</v>
      </c>
      <c r="AT95" s="228">
        <v>579</v>
      </c>
      <c r="AU95" s="230">
        <v>1740</v>
      </c>
      <c r="AV95" s="229">
        <v>3.0061</v>
      </c>
      <c r="AW95" s="230">
        <v>1890</v>
      </c>
      <c r="AX95" s="228">
        <v>475</v>
      </c>
      <c r="AY95" s="230">
        <v>1415</v>
      </c>
      <c r="AZ95" s="229">
        <v>2.9822000000000002</v>
      </c>
      <c r="BA95" s="228">
        <v>389</v>
      </c>
      <c r="BB95" s="228">
        <v>96</v>
      </c>
      <c r="BC95" s="228">
        <v>293</v>
      </c>
      <c r="BD95" s="229">
        <v>3.0668000000000002</v>
      </c>
      <c r="BE95" s="228">
        <v>40</v>
      </c>
      <c r="BF95" s="228">
        <v>9</v>
      </c>
      <c r="BG95" s="228">
        <v>31</v>
      </c>
      <c r="BH95" s="229">
        <v>3.6518000000000002</v>
      </c>
      <c r="BI95" s="230">
        <v>18325</v>
      </c>
      <c r="BJ95" s="230">
        <v>4389</v>
      </c>
      <c r="BK95" s="230">
        <v>13937</v>
      </c>
      <c r="BL95" s="229">
        <v>3.1757</v>
      </c>
      <c r="BM95" s="230">
        <v>8781</v>
      </c>
      <c r="BN95" s="230">
        <v>2219</v>
      </c>
      <c r="BO95" s="230">
        <v>6562</v>
      </c>
      <c r="BP95" s="229">
        <v>2.9569000000000001</v>
      </c>
      <c r="BQ95" s="230">
        <v>29425</v>
      </c>
      <c r="BR95" s="230">
        <v>7186</v>
      </c>
      <c r="BS95" s="230">
        <v>22238</v>
      </c>
      <c r="BT95" s="229">
        <v>3.0945</v>
      </c>
      <c r="BU95" s="230">
        <v>4396967</v>
      </c>
      <c r="BV95" s="230">
        <v>1662896</v>
      </c>
      <c r="BW95" s="230">
        <v>2734071</v>
      </c>
      <c r="BX95" s="229">
        <v>1.6442000000000001</v>
      </c>
      <c r="BY95" s="230">
        <v>5941</v>
      </c>
      <c r="BZ95" s="230">
        <v>6302</v>
      </c>
      <c r="CA95" s="228">
        <v>-360</v>
      </c>
      <c r="CB95" s="229">
        <v>-5.7200000000000001E-2</v>
      </c>
      <c r="CC95" s="230">
        <v>5150</v>
      </c>
      <c r="CD95" s="230">
        <v>5611</v>
      </c>
      <c r="CE95" s="228">
        <v>-461</v>
      </c>
      <c r="CF95" s="229">
        <v>-8.2100000000000006E-2</v>
      </c>
      <c r="CG95" s="228">
        <v>706</v>
      </c>
      <c r="CH95" s="228">
        <v>596</v>
      </c>
      <c r="CI95" s="228">
        <v>109</v>
      </c>
      <c r="CJ95" s="229">
        <v>0.18340000000000001</v>
      </c>
      <c r="CK95" s="228">
        <v>85</v>
      </c>
      <c r="CL95" s="228">
        <v>95</v>
      </c>
      <c r="CM95" s="228">
        <v>-9</v>
      </c>
      <c r="CN95" s="229">
        <v>-9.6000000000000002E-2</v>
      </c>
      <c r="CO95" s="230">
        <v>8117</v>
      </c>
      <c r="CP95" s="230">
        <v>8785</v>
      </c>
      <c r="CQ95" s="228">
        <v>-667</v>
      </c>
      <c r="CR95" s="229">
        <v>-7.5999999999999998E-2</v>
      </c>
      <c r="CS95" s="230">
        <v>4560</v>
      </c>
      <c r="CT95" s="230">
        <v>4229</v>
      </c>
      <c r="CU95" s="228">
        <v>331</v>
      </c>
      <c r="CV95" s="229">
        <v>7.8299999999999995E-2</v>
      </c>
      <c r="CW95" s="230">
        <v>18619</v>
      </c>
      <c r="CX95" s="230">
        <v>19316</v>
      </c>
      <c r="CY95" s="228">
        <v>-697</v>
      </c>
      <c r="CZ95" s="229">
        <v>-3.61E-2</v>
      </c>
      <c r="DA95" s="228">
        <v>26.01</v>
      </c>
      <c r="DB95" s="228">
        <v>29.86</v>
      </c>
      <c r="DC95" s="228">
        <v>-3.85</v>
      </c>
      <c r="DD95" s="228">
        <v>-3.85</v>
      </c>
      <c r="DE95" s="228">
        <v>33.909999999999997</v>
      </c>
      <c r="DF95" s="228">
        <v>33.799999999999997</v>
      </c>
      <c r="DG95" s="228">
        <v>-7.9</v>
      </c>
      <c r="DH95" s="228">
        <v>0.11</v>
      </c>
      <c r="DI95" s="228">
        <v>25.25</v>
      </c>
      <c r="DJ95" s="228">
        <v>29.87</v>
      </c>
      <c r="DK95" s="228">
        <v>-4.62</v>
      </c>
      <c r="DL95" s="228">
        <v>-4.62</v>
      </c>
      <c r="DM95" s="228">
        <v>27.59</v>
      </c>
      <c r="DN95" s="228">
        <v>29.83</v>
      </c>
      <c r="DO95" s="228">
        <v>-2.2400000000000002</v>
      </c>
      <c r="DP95" s="228">
        <v>-2.2400000000000002</v>
      </c>
      <c r="DQ95" s="228">
        <v>0.56000000000000005</v>
      </c>
      <c r="DR95" s="228">
        <v>0.48</v>
      </c>
      <c r="DS95" s="228">
        <v>0.08</v>
      </c>
      <c r="DT95" s="229">
        <v>0.16669999999999999</v>
      </c>
      <c r="DU95" s="231">
        <v>5500</v>
      </c>
      <c r="DV95" s="231">
        <v>5000</v>
      </c>
      <c r="DW95" s="228">
        <v>0.48</v>
      </c>
      <c r="DX95" s="228">
        <v>0.51</v>
      </c>
      <c r="DY95" s="228">
        <v>-0.03</v>
      </c>
      <c r="DZ95" s="229">
        <v>-5.8799999999999998E-2</v>
      </c>
      <c r="EA95" s="229">
        <v>0.13320000000000001</v>
      </c>
      <c r="EB95" s="230">
        <v>1346700</v>
      </c>
      <c r="EC95" s="229">
        <v>4.4000000000000003E-3</v>
      </c>
      <c r="ED95" s="229">
        <v>0.13320000000000001</v>
      </c>
      <c r="EE95" s="228">
        <v>24.45</v>
      </c>
      <c r="EF95" s="229">
        <v>4.7999999999999996E-3</v>
      </c>
      <c r="EG95" s="230">
        <v>2478903</v>
      </c>
      <c r="EH95" s="230">
        <v>930071</v>
      </c>
      <c r="EI95" s="229">
        <v>1.6653</v>
      </c>
      <c r="EJ95" s="229">
        <v>0.56379999999999997</v>
      </c>
      <c r="EK95" s="231">
        <v>18984.61</v>
      </c>
      <c r="EL95" s="231">
        <v>8442.7199999999993</v>
      </c>
      <c r="EM95" s="231">
        <v>2301.0500000000002</v>
      </c>
      <c r="EN95" s="228">
        <v>198.13</v>
      </c>
      <c r="EO95" s="231">
        <v>29728.38</v>
      </c>
      <c r="EP95" s="231">
        <v>7204.94</v>
      </c>
      <c r="EQ95" s="231">
        <v>22523.43</v>
      </c>
      <c r="ER95" s="229">
        <v>3.1261000000000001</v>
      </c>
      <c r="ES95" s="231">
        <v>8642.4</v>
      </c>
      <c r="ET95" s="231">
        <v>4359.84</v>
      </c>
      <c r="EU95" s="231">
        <v>5945.24</v>
      </c>
      <c r="EV95" s="231">
        <v>32732860</v>
      </c>
      <c r="EW95" s="231">
        <v>18947.47</v>
      </c>
      <c r="EX95" s="231">
        <v>19459.599999999999</v>
      </c>
      <c r="EY95" s="228">
        <v>-512.13</v>
      </c>
      <c r="EZ95" s="229">
        <v>-2.63E-2</v>
      </c>
      <c r="FA95" s="229">
        <v>1.1087</v>
      </c>
      <c r="FB95" s="227" t="s">
        <v>556</v>
      </c>
      <c r="FC95">
        <f t="shared" si="1"/>
        <v>791</v>
      </c>
    </row>
    <row r="96" spans="1:159" ht="17.25" thickBot="1" x14ac:dyDescent="0.3">
      <c r="A96" s="226">
        <v>46009</v>
      </c>
      <c r="B96" s="227" t="s">
        <v>172</v>
      </c>
      <c r="C96" s="227" t="s">
        <v>239</v>
      </c>
      <c r="D96" s="228">
        <v>700</v>
      </c>
      <c r="E96" s="228">
        <v>12</v>
      </c>
      <c r="F96" s="228">
        <v>835.8</v>
      </c>
      <c r="G96" s="228">
        <v>834.65</v>
      </c>
      <c r="H96" s="228">
        <v>1.1499999999999999</v>
      </c>
      <c r="I96" s="229">
        <v>1.4E-3</v>
      </c>
      <c r="J96" s="228">
        <v>834.9</v>
      </c>
      <c r="K96" s="228">
        <v>833.85</v>
      </c>
      <c r="L96" s="228">
        <v>1.05</v>
      </c>
      <c r="M96" s="229">
        <v>1.2999999999999999E-3</v>
      </c>
      <c r="N96" s="228">
        <v>835.8</v>
      </c>
      <c r="O96" s="228">
        <v>834.65</v>
      </c>
      <c r="P96" s="228">
        <v>1.1499999999999999</v>
      </c>
      <c r="Q96" s="229">
        <v>1.4E-3</v>
      </c>
      <c r="R96" s="228">
        <v>841.1</v>
      </c>
      <c r="S96" s="228">
        <v>839.8</v>
      </c>
      <c r="T96" s="228">
        <v>1.3</v>
      </c>
      <c r="U96" s="229">
        <v>1.5E-3</v>
      </c>
      <c r="V96" s="228">
        <v>845.4</v>
      </c>
      <c r="W96" s="228">
        <v>844.8</v>
      </c>
      <c r="X96" s="228">
        <v>0.6</v>
      </c>
      <c r="Y96" s="229">
        <v>6.9999999999999999E-4</v>
      </c>
      <c r="Z96" s="228">
        <v>0.9</v>
      </c>
      <c r="AA96" s="228">
        <v>0.8</v>
      </c>
      <c r="AB96" s="228">
        <v>0.1</v>
      </c>
      <c r="AC96" s="229">
        <v>1.1000000000000001E-3</v>
      </c>
      <c r="AD96" s="228">
        <v>0.9</v>
      </c>
      <c r="AE96" s="228">
        <v>0.8</v>
      </c>
      <c r="AF96" s="228">
        <v>0.1</v>
      </c>
      <c r="AG96" s="229">
        <v>1.1000000000000001E-3</v>
      </c>
      <c r="AH96" s="228">
        <v>6.2</v>
      </c>
      <c r="AI96" s="228">
        <v>5.95</v>
      </c>
      <c r="AJ96" s="228">
        <v>0.25</v>
      </c>
      <c r="AK96" s="229">
        <v>7.4000000000000003E-3</v>
      </c>
      <c r="AL96" s="228">
        <v>10.5</v>
      </c>
      <c r="AM96" s="228">
        <v>10.95</v>
      </c>
      <c r="AN96" s="228">
        <v>-0.45</v>
      </c>
      <c r="AO96" s="229">
        <v>1.26E-2</v>
      </c>
      <c r="AP96" s="228">
        <v>834.94</v>
      </c>
      <c r="AQ96" s="228">
        <v>840.06</v>
      </c>
      <c r="AR96" s="228">
        <v>0</v>
      </c>
      <c r="AS96" s="228">
        <v>435</v>
      </c>
      <c r="AT96" s="228">
        <v>588</v>
      </c>
      <c r="AU96" s="228">
        <v>-153</v>
      </c>
      <c r="AV96" s="229">
        <v>-0.26029999999999998</v>
      </c>
      <c r="AW96" s="228">
        <v>371</v>
      </c>
      <c r="AX96" s="228">
        <v>468</v>
      </c>
      <c r="AY96" s="228">
        <v>-97</v>
      </c>
      <c r="AZ96" s="229">
        <v>-0.20699999999999999</v>
      </c>
      <c r="BA96" s="228">
        <v>60</v>
      </c>
      <c r="BB96" s="228">
        <v>103</v>
      </c>
      <c r="BC96" s="228">
        <v>-42</v>
      </c>
      <c r="BD96" s="229">
        <v>-0.41020000000000001</v>
      </c>
      <c r="BE96" s="228">
        <v>3</v>
      </c>
      <c r="BF96" s="228">
        <v>17</v>
      </c>
      <c r="BG96" s="228">
        <v>-14</v>
      </c>
      <c r="BH96" s="229">
        <v>-0.81140000000000001</v>
      </c>
      <c r="BI96" s="230">
        <v>1002</v>
      </c>
      <c r="BJ96" s="230">
        <v>1469</v>
      </c>
      <c r="BK96" s="228">
        <v>-467</v>
      </c>
      <c r="BL96" s="229">
        <v>-0.31790000000000002</v>
      </c>
      <c r="BM96" s="228">
        <v>702</v>
      </c>
      <c r="BN96" s="230">
        <v>1293</v>
      </c>
      <c r="BO96" s="228">
        <v>-591</v>
      </c>
      <c r="BP96" s="229">
        <v>-0.45700000000000002</v>
      </c>
      <c r="BQ96" s="230">
        <v>2139</v>
      </c>
      <c r="BR96" s="230">
        <v>3350</v>
      </c>
      <c r="BS96" s="230">
        <v>-1211</v>
      </c>
      <c r="BT96" s="229">
        <v>-0.36149999999999999</v>
      </c>
      <c r="BU96" s="230">
        <v>1583909</v>
      </c>
      <c r="BV96" s="230">
        <v>3214781</v>
      </c>
      <c r="BW96" s="230">
        <v>-1630872</v>
      </c>
      <c r="BX96" s="229">
        <v>-0.50729999999999997</v>
      </c>
      <c r="BY96" s="230">
        <v>3958</v>
      </c>
      <c r="BZ96" s="230">
        <v>3994</v>
      </c>
      <c r="CA96" s="228">
        <v>-37</v>
      </c>
      <c r="CB96" s="229">
        <v>-9.1999999999999998E-3</v>
      </c>
      <c r="CC96" s="230">
        <v>3539</v>
      </c>
      <c r="CD96" s="230">
        <v>3605</v>
      </c>
      <c r="CE96" s="228">
        <v>-66</v>
      </c>
      <c r="CF96" s="229">
        <v>-1.83E-2</v>
      </c>
      <c r="CG96" s="228">
        <v>379</v>
      </c>
      <c r="CH96" s="228">
        <v>350</v>
      </c>
      <c r="CI96" s="228">
        <v>29</v>
      </c>
      <c r="CJ96" s="229">
        <v>8.1799999999999998E-2</v>
      </c>
      <c r="CK96" s="228">
        <v>39</v>
      </c>
      <c r="CL96" s="228">
        <v>39</v>
      </c>
      <c r="CM96" s="228">
        <v>0</v>
      </c>
      <c r="CN96" s="229">
        <v>6.0000000000000001E-3</v>
      </c>
      <c r="CO96" s="230">
        <v>1150</v>
      </c>
      <c r="CP96" s="230">
        <v>1188</v>
      </c>
      <c r="CQ96" s="228">
        <v>-37</v>
      </c>
      <c r="CR96" s="229">
        <v>-3.15E-2</v>
      </c>
      <c r="CS96" s="228">
        <v>818</v>
      </c>
      <c r="CT96" s="228">
        <v>830</v>
      </c>
      <c r="CU96" s="228">
        <v>-13</v>
      </c>
      <c r="CV96" s="229">
        <v>-1.54E-2</v>
      </c>
      <c r="CW96" s="230">
        <v>5925</v>
      </c>
      <c r="CX96" s="230">
        <v>6013</v>
      </c>
      <c r="CY96" s="228">
        <v>-87</v>
      </c>
      <c r="CZ96" s="229">
        <v>-1.4500000000000001E-2</v>
      </c>
      <c r="DA96" s="228">
        <v>25.73</v>
      </c>
      <c r="DB96" s="228">
        <v>27.21</v>
      </c>
      <c r="DC96" s="228">
        <v>-1.48</v>
      </c>
      <c r="DD96" s="228">
        <v>-1.48</v>
      </c>
      <c r="DE96" s="228">
        <v>44.2</v>
      </c>
      <c r="DF96" s="228">
        <v>44.31</v>
      </c>
      <c r="DG96" s="228">
        <v>-18.47</v>
      </c>
      <c r="DH96" s="228">
        <v>-0.11</v>
      </c>
      <c r="DI96" s="228">
        <v>25.57</v>
      </c>
      <c r="DJ96" s="228">
        <v>27.55</v>
      </c>
      <c r="DK96" s="228">
        <v>-1.98</v>
      </c>
      <c r="DL96" s="228">
        <v>-1.98</v>
      </c>
      <c r="DM96" s="228">
        <v>25.97</v>
      </c>
      <c r="DN96" s="228">
        <v>26.82</v>
      </c>
      <c r="DO96" s="228">
        <v>-0.85</v>
      </c>
      <c r="DP96" s="228">
        <v>-0.85</v>
      </c>
      <c r="DQ96" s="228">
        <v>0.71</v>
      </c>
      <c r="DR96" s="228">
        <v>0.7</v>
      </c>
      <c r="DS96" s="228">
        <v>0.01</v>
      </c>
      <c r="DT96" s="229">
        <v>1.43E-2</v>
      </c>
      <c r="DU96" s="228">
        <v>900</v>
      </c>
      <c r="DV96" s="228">
        <v>820</v>
      </c>
      <c r="DW96" s="228">
        <v>0.7</v>
      </c>
      <c r="DX96" s="228">
        <v>0.88</v>
      </c>
      <c r="DY96" s="228">
        <v>-0.18</v>
      </c>
      <c r="DZ96" s="229">
        <v>-0.20449999999999999</v>
      </c>
      <c r="EA96" s="229">
        <v>0.1057</v>
      </c>
      <c r="EB96" s="230">
        <v>4660600</v>
      </c>
      <c r="EC96" s="229">
        <v>6.3E-3</v>
      </c>
      <c r="ED96" s="229">
        <v>0.1057</v>
      </c>
      <c r="EE96" s="228">
        <v>5.12</v>
      </c>
      <c r="EF96" s="229">
        <v>6.1000000000000004E-3</v>
      </c>
      <c r="EG96" s="230">
        <v>586055</v>
      </c>
      <c r="EH96" s="230">
        <v>1509934</v>
      </c>
      <c r="EI96" s="229">
        <v>-0.6119</v>
      </c>
      <c r="EJ96" s="229">
        <v>0.37</v>
      </c>
      <c r="EK96" s="231">
        <v>1044.7</v>
      </c>
      <c r="EL96" s="228">
        <v>689.93</v>
      </c>
      <c r="EM96" s="228">
        <v>434.96</v>
      </c>
      <c r="EN96" s="228">
        <v>78.59</v>
      </c>
      <c r="EO96" s="231">
        <v>2169.59</v>
      </c>
      <c r="EP96" s="231">
        <v>3407.56</v>
      </c>
      <c r="EQ96" s="231">
        <v>-1237.97</v>
      </c>
      <c r="ER96" s="229">
        <v>-0.36330000000000001</v>
      </c>
      <c r="ES96" s="231">
        <v>1218.76</v>
      </c>
      <c r="ET96" s="228">
        <v>806.39</v>
      </c>
      <c r="EU96" s="231">
        <v>3960.44</v>
      </c>
      <c r="EV96" s="231">
        <v>93805784</v>
      </c>
      <c r="EW96" s="231">
        <v>5985.58</v>
      </c>
      <c r="EX96" s="231">
        <v>6070.73</v>
      </c>
      <c r="EY96" s="228">
        <v>-85.15</v>
      </c>
      <c r="EZ96" s="229">
        <v>-1.4E-2</v>
      </c>
      <c r="FA96" s="229">
        <v>0.75580000000000003</v>
      </c>
      <c r="FB96" s="227" t="s">
        <v>556</v>
      </c>
      <c r="FC96">
        <f t="shared" si="1"/>
        <v>419</v>
      </c>
    </row>
    <row r="97" spans="1:159" ht="17.25" thickBot="1" x14ac:dyDescent="0.3">
      <c r="A97" s="226">
        <v>46009</v>
      </c>
      <c r="B97" s="227" t="s">
        <v>188</v>
      </c>
      <c r="C97" s="227" t="s">
        <v>473</v>
      </c>
      <c r="D97" s="228">
        <v>1700</v>
      </c>
      <c r="E97" s="228">
        <v>12</v>
      </c>
      <c r="F97" s="228">
        <v>409.7</v>
      </c>
      <c r="G97" s="228">
        <v>408.6</v>
      </c>
      <c r="H97" s="228">
        <v>1.1000000000000001</v>
      </c>
      <c r="I97" s="229">
        <v>2.7000000000000001E-3</v>
      </c>
      <c r="J97" s="228">
        <v>408.75</v>
      </c>
      <c r="K97" s="228">
        <v>407.2</v>
      </c>
      <c r="L97" s="228">
        <v>1.55</v>
      </c>
      <c r="M97" s="229">
        <v>3.8E-3</v>
      </c>
      <c r="N97" s="228">
        <v>409.7</v>
      </c>
      <c r="O97" s="228">
        <v>408.6</v>
      </c>
      <c r="P97" s="228">
        <v>1.1000000000000001</v>
      </c>
      <c r="Q97" s="229">
        <v>2.7000000000000001E-3</v>
      </c>
      <c r="R97" s="228">
        <v>412.15</v>
      </c>
      <c r="S97" s="228">
        <v>410.95</v>
      </c>
      <c r="T97" s="228">
        <v>1.2</v>
      </c>
      <c r="U97" s="229">
        <v>2.8999999999999998E-3</v>
      </c>
      <c r="V97" s="228">
        <v>414.35</v>
      </c>
      <c r="W97" s="228">
        <v>413.5</v>
      </c>
      <c r="X97" s="228">
        <v>0.85</v>
      </c>
      <c r="Y97" s="229">
        <v>2.0999999999999999E-3</v>
      </c>
      <c r="Z97" s="228">
        <v>0.95</v>
      </c>
      <c r="AA97" s="228">
        <v>1.4</v>
      </c>
      <c r="AB97" s="228">
        <v>-0.45</v>
      </c>
      <c r="AC97" s="229">
        <v>2.3E-3</v>
      </c>
      <c r="AD97" s="228">
        <v>0.95</v>
      </c>
      <c r="AE97" s="228">
        <v>1.4</v>
      </c>
      <c r="AF97" s="228">
        <v>-0.45</v>
      </c>
      <c r="AG97" s="229">
        <v>2.3E-3</v>
      </c>
      <c r="AH97" s="228">
        <v>3.4</v>
      </c>
      <c r="AI97" s="228">
        <v>3.75</v>
      </c>
      <c r="AJ97" s="228">
        <v>-0.35</v>
      </c>
      <c r="AK97" s="229">
        <v>8.3000000000000001E-3</v>
      </c>
      <c r="AL97" s="228">
        <v>5.6</v>
      </c>
      <c r="AM97" s="228">
        <v>6.3</v>
      </c>
      <c r="AN97" s="228">
        <v>-0.7</v>
      </c>
      <c r="AO97" s="229">
        <v>1.37E-2</v>
      </c>
      <c r="AP97" s="228">
        <v>410.43</v>
      </c>
      <c r="AQ97" s="228">
        <v>412.88</v>
      </c>
      <c r="AR97" s="228">
        <v>0</v>
      </c>
      <c r="AS97" s="228">
        <v>358</v>
      </c>
      <c r="AT97" s="228">
        <v>243</v>
      </c>
      <c r="AU97" s="228">
        <v>115</v>
      </c>
      <c r="AV97" s="229">
        <v>0.4708</v>
      </c>
      <c r="AW97" s="228">
        <v>279</v>
      </c>
      <c r="AX97" s="228">
        <v>212</v>
      </c>
      <c r="AY97" s="228">
        <v>67</v>
      </c>
      <c r="AZ97" s="229">
        <v>0.31330000000000002</v>
      </c>
      <c r="BA97" s="228">
        <v>77</v>
      </c>
      <c r="BB97" s="228">
        <v>31</v>
      </c>
      <c r="BC97" s="228">
        <v>47</v>
      </c>
      <c r="BD97" s="229">
        <v>1.5274000000000001</v>
      </c>
      <c r="BE97" s="228">
        <v>2</v>
      </c>
      <c r="BF97" s="228">
        <v>0</v>
      </c>
      <c r="BG97" s="228">
        <v>1</v>
      </c>
      <c r="BH97" s="229">
        <v>3</v>
      </c>
      <c r="BI97" s="228">
        <v>810</v>
      </c>
      <c r="BJ97" s="228">
        <v>718</v>
      </c>
      <c r="BK97" s="228">
        <v>92</v>
      </c>
      <c r="BL97" s="229">
        <v>0.12809999999999999</v>
      </c>
      <c r="BM97" s="228">
        <v>283</v>
      </c>
      <c r="BN97" s="228">
        <v>177</v>
      </c>
      <c r="BO97" s="228">
        <v>105</v>
      </c>
      <c r="BP97" s="229">
        <v>0.59540000000000004</v>
      </c>
      <c r="BQ97" s="230">
        <v>1451</v>
      </c>
      <c r="BR97" s="230">
        <v>1139</v>
      </c>
      <c r="BS97" s="228">
        <v>312</v>
      </c>
      <c r="BT97" s="229">
        <v>0.27400000000000002</v>
      </c>
      <c r="BU97" s="230">
        <v>4818477</v>
      </c>
      <c r="BV97" s="230">
        <v>4617669</v>
      </c>
      <c r="BW97" s="230">
        <v>200808</v>
      </c>
      <c r="BX97" s="229">
        <v>4.3499999999999997E-2</v>
      </c>
      <c r="BY97" s="230">
        <v>3429</v>
      </c>
      <c r="BZ97" s="230">
        <v>3426</v>
      </c>
      <c r="CA97" s="228">
        <v>4</v>
      </c>
      <c r="CB97" s="229">
        <v>1.1000000000000001E-3</v>
      </c>
      <c r="CC97" s="230">
        <v>3285</v>
      </c>
      <c r="CD97" s="230">
        <v>3308</v>
      </c>
      <c r="CE97" s="228">
        <v>-24</v>
      </c>
      <c r="CF97" s="229">
        <v>-7.1999999999999998E-3</v>
      </c>
      <c r="CG97" s="228">
        <v>137</v>
      </c>
      <c r="CH97" s="228">
        <v>110</v>
      </c>
      <c r="CI97" s="228">
        <v>27</v>
      </c>
      <c r="CJ97" s="229">
        <v>0.2467</v>
      </c>
      <c r="CK97" s="228">
        <v>8</v>
      </c>
      <c r="CL97" s="228">
        <v>8</v>
      </c>
      <c r="CM97" s="228">
        <v>0</v>
      </c>
      <c r="CN97" s="229">
        <v>2.7300000000000001E-2</v>
      </c>
      <c r="CO97" s="230">
        <v>1052</v>
      </c>
      <c r="CP97" s="230">
        <v>1102</v>
      </c>
      <c r="CQ97" s="228">
        <v>-49</v>
      </c>
      <c r="CR97" s="229">
        <v>-4.48E-2</v>
      </c>
      <c r="CS97" s="228">
        <v>632</v>
      </c>
      <c r="CT97" s="228">
        <v>647</v>
      </c>
      <c r="CU97" s="228">
        <v>-15</v>
      </c>
      <c r="CV97" s="229">
        <v>-2.2800000000000001E-2</v>
      </c>
      <c r="CW97" s="230">
        <v>5114</v>
      </c>
      <c r="CX97" s="230">
        <v>5175</v>
      </c>
      <c r="CY97" s="228">
        <v>-61</v>
      </c>
      <c r="CZ97" s="229">
        <v>-1.17E-2</v>
      </c>
      <c r="DA97" s="228">
        <v>25.08</v>
      </c>
      <c r="DB97" s="228">
        <v>26.8</v>
      </c>
      <c r="DC97" s="228">
        <v>-1.72</v>
      </c>
      <c r="DD97" s="228">
        <v>-1.72</v>
      </c>
      <c r="DE97" s="228">
        <v>38.520000000000003</v>
      </c>
      <c r="DF97" s="228">
        <v>38.61</v>
      </c>
      <c r="DG97" s="228">
        <v>-13.44</v>
      </c>
      <c r="DH97" s="228">
        <v>-0.09</v>
      </c>
      <c r="DI97" s="228">
        <v>25.14</v>
      </c>
      <c r="DJ97" s="228">
        <v>26.84</v>
      </c>
      <c r="DK97" s="228">
        <v>-1.7</v>
      </c>
      <c r="DL97" s="228">
        <v>-1.7</v>
      </c>
      <c r="DM97" s="228">
        <v>24.92</v>
      </c>
      <c r="DN97" s="228">
        <v>26.65</v>
      </c>
      <c r="DO97" s="228">
        <v>-1.73</v>
      </c>
      <c r="DP97" s="228">
        <v>-1.73</v>
      </c>
      <c r="DQ97" s="228">
        <v>0.6</v>
      </c>
      <c r="DR97" s="228">
        <v>0.59</v>
      </c>
      <c r="DS97" s="228">
        <v>0.01</v>
      </c>
      <c r="DT97" s="229">
        <v>1.6899999999999998E-2</v>
      </c>
      <c r="DU97" s="228">
        <v>420</v>
      </c>
      <c r="DV97" s="228">
        <v>400</v>
      </c>
      <c r="DW97" s="228">
        <v>0.35</v>
      </c>
      <c r="DX97" s="228">
        <v>0.25</v>
      </c>
      <c r="DY97" s="228">
        <v>0.1</v>
      </c>
      <c r="DZ97" s="229">
        <v>0.4</v>
      </c>
      <c r="EA97" s="229">
        <v>4.2200000000000001E-2</v>
      </c>
      <c r="EB97" s="230">
        <v>2867900</v>
      </c>
      <c r="EC97" s="229">
        <v>6.0000000000000001E-3</v>
      </c>
      <c r="ED97" s="229">
        <v>4.2200000000000001E-2</v>
      </c>
      <c r="EE97" s="228">
        <v>2.4500000000000002</v>
      </c>
      <c r="EF97" s="229">
        <v>6.0000000000000001E-3</v>
      </c>
      <c r="EG97" s="230">
        <v>3187491</v>
      </c>
      <c r="EH97" s="230">
        <v>3299742</v>
      </c>
      <c r="EI97" s="229">
        <v>-3.4000000000000002E-2</v>
      </c>
      <c r="EJ97" s="229">
        <v>0.66149999999999998</v>
      </c>
      <c r="EK97" s="228">
        <v>839.09</v>
      </c>
      <c r="EL97" s="228">
        <v>279.68</v>
      </c>
      <c r="EM97" s="228">
        <v>359.25</v>
      </c>
      <c r="EN97" s="228">
        <v>58.05</v>
      </c>
      <c r="EO97" s="231">
        <v>1478.03</v>
      </c>
      <c r="EP97" s="231">
        <v>1166.6500000000001</v>
      </c>
      <c r="EQ97" s="228">
        <v>311.38</v>
      </c>
      <c r="ER97" s="229">
        <v>0.26690000000000003</v>
      </c>
      <c r="ES97" s="231">
        <v>1088.45</v>
      </c>
      <c r="ET97" s="228">
        <v>605.35</v>
      </c>
      <c r="EU97" s="231">
        <v>3430.36</v>
      </c>
      <c r="EV97" s="231">
        <v>197705578</v>
      </c>
      <c r="EW97" s="231">
        <v>5124.1499999999996</v>
      </c>
      <c r="EX97" s="231">
        <v>5176.24</v>
      </c>
      <c r="EY97" s="228">
        <v>-52.09</v>
      </c>
      <c r="EZ97" s="229">
        <v>-1.01E-2</v>
      </c>
      <c r="FA97" s="229">
        <v>0.63139999999999996</v>
      </c>
      <c r="FB97" s="227" t="s">
        <v>555</v>
      </c>
      <c r="FC97">
        <f t="shared" si="1"/>
        <v>144</v>
      </c>
    </row>
    <row r="98" spans="1:159" ht="17.25" thickBot="1" x14ac:dyDescent="0.3">
      <c r="A98" s="226">
        <v>46009</v>
      </c>
      <c r="B98" s="227" t="s">
        <v>221</v>
      </c>
      <c r="C98" s="227" t="s">
        <v>240</v>
      </c>
      <c r="D98" s="228">
        <v>400</v>
      </c>
      <c r="E98" s="228">
        <v>12</v>
      </c>
      <c r="F98" s="231">
        <v>1627.9</v>
      </c>
      <c r="G98" s="231">
        <v>1605.8</v>
      </c>
      <c r="H98" s="228">
        <v>22.1</v>
      </c>
      <c r="I98" s="229">
        <v>1.38E-2</v>
      </c>
      <c r="J98" s="231">
        <v>1626.8</v>
      </c>
      <c r="K98" s="231">
        <v>1602</v>
      </c>
      <c r="L98" s="228">
        <v>24.8</v>
      </c>
      <c r="M98" s="229">
        <v>1.55E-2</v>
      </c>
      <c r="N98" s="231">
        <v>1627.9</v>
      </c>
      <c r="O98" s="231">
        <v>1605.8</v>
      </c>
      <c r="P98" s="228">
        <v>22.1</v>
      </c>
      <c r="Q98" s="229">
        <v>1.38E-2</v>
      </c>
      <c r="R98" s="231">
        <v>1638.2</v>
      </c>
      <c r="S98" s="231">
        <v>1615.9</v>
      </c>
      <c r="T98" s="228">
        <v>22.3</v>
      </c>
      <c r="U98" s="229">
        <v>1.38E-2</v>
      </c>
      <c r="V98" s="231">
        <v>1647.3</v>
      </c>
      <c r="W98" s="231">
        <v>1624.7</v>
      </c>
      <c r="X98" s="228">
        <v>22.6</v>
      </c>
      <c r="Y98" s="229">
        <v>1.3899999999999999E-2</v>
      </c>
      <c r="Z98" s="228">
        <v>1.1000000000000001</v>
      </c>
      <c r="AA98" s="228">
        <v>3.8</v>
      </c>
      <c r="AB98" s="228">
        <v>-2.7</v>
      </c>
      <c r="AC98" s="229">
        <v>6.9999999999999999E-4</v>
      </c>
      <c r="AD98" s="228">
        <v>1.1000000000000001</v>
      </c>
      <c r="AE98" s="228">
        <v>3.8</v>
      </c>
      <c r="AF98" s="228">
        <v>-2.7</v>
      </c>
      <c r="AG98" s="229">
        <v>6.9999999999999999E-4</v>
      </c>
      <c r="AH98" s="228">
        <v>11.4</v>
      </c>
      <c r="AI98" s="228">
        <v>13.9</v>
      </c>
      <c r="AJ98" s="228">
        <v>-2.5</v>
      </c>
      <c r="AK98" s="229">
        <v>7.0000000000000001E-3</v>
      </c>
      <c r="AL98" s="228">
        <v>20.5</v>
      </c>
      <c r="AM98" s="228">
        <v>22.7</v>
      </c>
      <c r="AN98" s="228">
        <v>-2.2000000000000002</v>
      </c>
      <c r="AO98" s="229">
        <v>1.26E-2</v>
      </c>
      <c r="AP98" s="231">
        <v>1625.1</v>
      </c>
      <c r="AQ98" s="231">
        <v>1635.77</v>
      </c>
      <c r="AR98" s="228">
        <v>0</v>
      </c>
      <c r="AS98" s="230">
        <v>2719</v>
      </c>
      <c r="AT98" s="230">
        <v>1475</v>
      </c>
      <c r="AU98" s="230">
        <v>1243</v>
      </c>
      <c r="AV98" s="229">
        <v>0.84260000000000002</v>
      </c>
      <c r="AW98" s="230">
        <v>1913</v>
      </c>
      <c r="AX98" s="230">
        <v>1029</v>
      </c>
      <c r="AY98" s="228">
        <v>884</v>
      </c>
      <c r="AZ98" s="229">
        <v>0.85970000000000002</v>
      </c>
      <c r="BA98" s="228">
        <v>783</v>
      </c>
      <c r="BB98" s="228">
        <v>442</v>
      </c>
      <c r="BC98" s="228">
        <v>342</v>
      </c>
      <c r="BD98" s="229">
        <v>0.77339999999999998</v>
      </c>
      <c r="BE98" s="228">
        <v>22</v>
      </c>
      <c r="BF98" s="228">
        <v>5</v>
      </c>
      <c r="BG98" s="228">
        <v>17</v>
      </c>
      <c r="BH98" s="229">
        <v>3.4285999999999999</v>
      </c>
      <c r="BI98" s="230">
        <v>7375</v>
      </c>
      <c r="BJ98" s="230">
        <v>3590</v>
      </c>
      <c r="BK98" s="230">
        <v>3785</v>
      </c>
      <c r="BL98" s="229">
        <v>1.0543</v>
      </c>
      <c r="BM98" s="230">
        <v>4213</v>
      </c>
      <c r="BN98" s="230">
        <v>1937</v>
      </c>
      <c r="BO98" s="230">
        <v>2275</v>
      </c>
      <c r="BP98" s="229">
        <v>1.1744000000000001</v>
      </c>
      <c r="BQ98" s="230">
        <v>14306</v>
      </c>
      <c r="BR98" s="230">
        <v>7003</v>
      </c>
      <c r="BS98" s="230">
        <v>7303</v>
      </c>
      <c r="BT98" s="229">
        <v>1.0428999999999999</v>
      </c>
      <c r="BU98" s="230">
        <v>7290936</v>
      </c>
      <c r="BV98" s="230">
        <v>4991558</v>
      </c>
      <c r="BW98" s="230">
        <v>2299378</v>
      </c>
      <c r="BX98" s="229">
        <v>0.4607</v>
      </c>
      <c r="BY98" s="230">
        <v>11694</v>
      </c>
      <c r="BZ98" s="230">
        <v>11511</v>
      </c>
      <c r="CA98" s="228">
        <v>183</v>
      </c>
      <c r="CB98" s="229">
        <v>1.5900000000000001E-2</v>
      </c>
      <c r="CC98" s="230">
        <v>9261</v>
      </c>
      <c r="CD98" s="230">
        <v>9719</v>
      </c>
      <c r="CE98" s="228">
        <v>-458</v>
      </c>
      <c r="CF98" s="229">
        <v>-4.7199999999999999E-2</v>
      </c>
      <c r="CG98" s="230">
        <v>2371</v>
      </c>
      <c r="CH98" s="230">
        <v>1735</v>
      </c>
      <c r="CI98" s="228">
        <v>636</v>
      </c>
      <c r="CJ98" s="229">
        <v>0.36680000000000001</v>
      </c>
      <c r="CK98" s="228">
        <v>62</v>
      </c>
      <c r="CL98" s="228">
        <v>57</v>
      </c>
      <c r="CM98" s="228">
        <v>5</v>
      </c>
      <c r="CN98" s="229">
        <v>9.1700000000000004E-2</v>
      </c>
      <c r="CO98" s="230">
        <v>4576</v>
      </c>
      <c r="CP98" s="230">
        <v>4529</v>
      </c>
      <c r="CQ98" s="228">
        <v>46</v>
      </c>
      <c r="CR98" s="229">
        <v>1.0200000000000001E-2</v>
      </c>
      <c r="CS98" s="230">
        <v>3475</v>
      </c>
      <c r="CT98" s="230">
        <v>2929</v>
      </c>
      <c r="CU98" s="228">
        <v>546</v>
      </c>
      <c r="CV98" s="229">
        <v>0.18640000000000001</v>
      </c>
      <c r="CW98" s="230">
        <v>19745</v>
      </c>
      <c r="CX98" s="230">
        <v>18969</v>
      </c>
      <c r="CY98" s="228">
        <v>775</v>
      </c>
      <c r="CZ98" s="229">
        <v>4.0899999999999999E-2</v>
      </c>
      <c r="DA98" s="228">
        <v>17.97</v>
      </c>
      <c r="DB98" s="228">
        <v>17.12</v>
      </c>
      <c r="DC98" s="228">
        <v>0.85</v>
      </c>
      <c r="DD98" s="228">
        <v>0.85</v>
      </c>
      <c r="DE98" s="228">
        <v>28.4</v>
      </c>
      <c r="DF98" s="228">
        <v>28.4</v>
      </c>
      <c r="DG98" s="228">
        <v>-10.43</v>
      </c>
      <c r="DH98" s="228">
        <v>0</v>
      </c>
      <c r="DI98" s="228">
        <v>17.100000000000001</v>
      </c>
      <c r="DJ98" s="228">
        <v>16.32</v>
      </c>
      <c r="DK98" s="228">
        <v>0.78</v>
      </c>
      <c r="DL98" s="228">
        <v>0.78</v>
      </c>
      <c r="DM98" s="228">
        <v>19.510000000000002</v>
      </c>
      <c r="DN98" s="228">
        <v>18.61</v>
      </c>
      <c r="DO98" s="228">
        <v>0.9</v>
      </c>
      <c r="DP98" s="228">
        <v>0.9</v>
      </c>
      <c r="DQ98" s="228">
        <v>0.76</v>
      </c>
      <c r="DR98" s="228">
        <v>0.65</v>
      </c>
      <c r="DS98" s="228">
        <v>0.11</v>
      </c>
      <c r="DT98" s="229">
        <v>0.16919999999999999</v>
      </c>
      <c r="DU98" s="231">
        <v>1600</v>
      </c>
      <c r="DV98" s="231">
        <v>1600</v>
      </c>
      <c r="DW98" s="228">
        <v>0.56999999999999995</v>
      </c>
      <c r="DX98" s="228">
        <v>0.54</v>
      </c>
      <c r="DY98" s="228">
        <v>0.03</v>
      </c>
      <c r="DZ98" s="229">
        <v>5.5599999999999997E-2</v>
      </c>
      <c r="EA98" s="229">
        <v>0.20810000000000001</v>
      </c>
      <c r="EB98" s="230">
        <v>11006000</v>
      </c>
      <c r="EC98" s="229">
        <v>6.3E-3</v>
      </c>
      <c r="ED98" s="229">
        <v>0.20810000000000001</v>
      </c>
      <c r="EE98" s="228">
        <v>10.67</v>
      </c>
      <c r="EF98" s="229">
        <v>6.6E-3</v>
      </c>
      <c r="EG98" s="230">
        <v>3701240</v>
      </c>
      <c r="EH98" s="230">
        <v>2592673</v>
      </c>
      <c r="EI98" s="229">
        <v>0.42759999999999998</v>
      </c>
      <c r="EJ98" s="229">
        <v>0.50760000000000005</v>
      </c>
      <c r="EK98" s="231">
        <v>7522.43</v>
      </c>
      <c r="EL98" s="231">
        <v>4131.5600000000004</v>
      </c>
      <c r="EM98" s="231">
        <v>2719.38</v>
      </c>
      <c r="EN98" s="228">
        <v>199.15</v>
      </c>
      <c r="EO98" s="231">
        <v>14373.36</v>
      </c>
      <c r="EP98" s="231">
        <v>6968.01</v>
      </c>
      <c r="EQ98" s="231">
        <v>7405.35</v>
      </c>
      <c r="ER98" s="229">
        <v>1.0628</v>
      </c>
      <c r="ES98" s="231">
        <v>4586.0600000000004</v>
      </c>
      <c r="ET98" s="231">
        <v>3303.42</v>
      </c>
      <c r="EU98" s="231">
        <v>11710.12</v>
      </c>
      <c r="EV98" s="231">
        <v>341789333</v>
      </c>
      <c r="EW98" s="231">
        <v>19599.599999999999</v>
      </c>
      <c r="EX98" s="231">
        <v>18662.68</v>
      </c>
      <c r="EY98" s="228">
        <v>936.92</v>
      </c>
      <c r="EZ98" s="229">
        <v>5.0200000000000002E-2</v>
      </c>
      <c r="FA98" s="229">
        <v>0.35489999999999999</v>
      </c>
      <c r="FB98" s="227" t="s">
        <v>555</v>
      </c>
      <c r="FC98">
        <f t="shared" si="1"/>
        <v>2433</v>
      </c>
    </row>
    <row r="99" spans="1:159" ht="17.25" thickBot="1" x14ac:dyDescent="0.3">
      <c r="A99" s="226">
        <v>46009</v>
      </c>
      <c r="B99" s="227" t="s">
        <v>161</v>
      </c>
      <c r="C99" s="227" t="s">
        <v>670</v>
      </c>
      <c r="D99" s="228">
        <v>3272</v>
      </c>
      <c r="E99" s="228">
        <v>12</v>
      </c>
      <c r="F99" s="228">
        <v>124.71</v>
      </c>
      <c r="G99" s="228">
        <v>126.43</v>
      </c>
      <c r="H99" s="228">
        <v>-1.72</v>
      </c>
      <c r="I99" s="229">
        <v>-1.3599999999999999E-2</v>
      </c>
      <c r="J99" s="228">
        <v>124.21</v>
      </c>
      <c r="K99" s="228">
        <v>126.04</v>
      </c>
      <c r="L99" s="228">
        <v>-1.83</v>
      </c>
      <c r="M99" s="229">
        <v>-1.4500000000000001E-2</v>
      </c>
      <c r="N99" s="228">
        <v>124.71</v>
      </c>
      <c r="O99" s="228">
        <v>126.43</v>
      </c>
      <c r="P99" s="228">
        <v>-1.72</v>
      </c>
      <c r="Q99" s="229">
        <v>-1.3599999999999999E-2</v>
      </c>
      <c r="R99" s="228">
        <v>125.36</v>
      </c>
      <c r="S99" s="228">
        <v>127.1</v>
      </c>
      <c r="T99" s="228">
        <v>-1.74</v>
      </c>
      <c r="U99" s="229">
        <v>-1.37E-2</v>
      </c>
      <c r="V99" s="228">
        <v>126.2</v>
      </c>
      <c r="W99" s="228">
        <v>127.36</v>
      </c>
      <c r="X99" s="228">
        <v>-1.1599999999999999</v>
      </c>
      <c r="Y99" s="229">
        <v>-9.1000000000000004E-3</v>
      </c>
      <c r="Z99" s="228">
        <v>0.5</v>
      </c>
      <c r="AA99" s="228">
        <v>0.39</v>
      </c>
      <c r="AB99" s="228">
        <v>0.11</v>
      </c>
      <c r="AC99" s="229">
        <v>4.0000000000000001E-3</v>
      </c>
      <c r="AD99" s="228">
        <v>0.5</v>
      </c>
      <c r="AE99" s="228">
        <v>0.39</v>
      </c>
      <c r="AF99" s="228">
        <v>0.11</v>
      </c>
      <c r="AG99" s="229">
        <v>4.0000000000000001E-3</v>
      </c>
      <c r="AH99" s="228">
        <v>1.1499999999999999</v>
      </c>
      <c r="AI99" s="228">
        <v>1.06</v>
      </c>
      <c r="AJ99" s="228">
        <v>0.09</v>
      </c>
      <c r="AK99" s="229">
        <v>9.2999999999999992E-3</v>
      </c>
      <c r="AL99" s="228">
        <v>1.99</v>
      </c>
      <c r="AM99" s="228">
        <v>1.32</v>
      </c>
      <c r="AN99" s="228">
        <v>0.67</v>
      </c>
      <c r="AO99" s="229">
        <v>1.6E-2</v>
      </c>
      <c r="AP99" s="228">
        <v>125.08</v>
      </c>
      <c r="AQ99" s="228">
        <v>125.84</v>
      </c>
      <c r="AR99" s="228">
        <v>0</v>
      </c>
      <c r="AS99" s="228">
        <v>99</v>
      </c>
      <c r="AT99" s="228">
        <v>94</v>
      </c>
      <c r="AU99" s="228">
        <v>5</v>
      </c>
      <c r="AV99" s="229">
        <v>5.7200000000000001E-2</v>
      </c>
      <c r="AW99" s="228">
        <v>84</v>
      </c>
      <c r="AX99" s="228">
        <v>82</v>
      </c>
      <c r="AY99" s="228">
        <v>1</v>
      </c>
      <c r="AZ99" s="229">
        <v>1.7299999999999999E-2</v>
      </c>
      <c r="BA99" s="228">
        <v>15</v>
      </c>
      <c r="BB99" s="228">
        <v>11</v>
      </c>
      <c r="BC99" s="228">
        <v>4</v>
      </c>
      <c r="BD99" s="229">
        <v>0.3407</v>
      </c>
      <c r="BE99" s="228">
        <v>0</v>
      </c>
      <c r="BF99" s="228">
        <v>0</v>
      </c>
      <c r="BG99" s="228">
        <v>0</v>
      </c>
      <c r="BH99" s="229">
        <v>1.3332999999999999</v>
      </c>
      <c r="BI99" s="228">
        <v>205</v>
      </c>
      <c r="BJ99" s="228">
        <v>127</v>
      </c>
      <c r="BK99" s="228">
        <v>77</v>
      </c>
      <c r="BL99" s="229">
        <v>0.60699999999999998</v>
      </c>
      <c r="BM99" s="228">
        <v>142</v>
      </c>
      <c r="BN99" s="228">
        <v>76</v>
      </c>
      <c r="BO99" s="228">
        <v>66</v>
      </c>
      <c r="BP99" s="229">
        <v>0.87219999999999998</v>
      </c>
      <c r="BQ99" s="228">
        <v>446</v>
      </c>
      <c r="BR99" s="228">
        <v>297</v>
      </c>
      <c r="BS99" s="228">
        <v>149</v>
      </c>
      <c r="BT99" s="229">
        <v>0.50160000000000005</v>
      </c>
      <c r="BU99" s="230">
        <v>6396933</v>
      </c>
      <c r="BV99" s="230">
        <v>10257293</v>
      </c>
      <c r="BW99" s="230">
        <v>-3860360</v>
      </c>
      <c r="BX99" s="229">
        <v>-0.37640000000000001</v>
      </c>
      <c r="BY99" s="230">
        <v>1102</v>
      </c>
      <c r="BZ99" s="230">
        <v>1101</v>
      </c>
      <c r="CA99" s="228">
        <v>1</v>
      </c>
      <c r="CB99" s="229">
        <v>8.0000000000000004E-4</v>
      </c>
      <c r="CC99" s="230">
        <v>1017</v>
      </c>
      <c r="CD99" s="230">
        <v>1020</v>
      </c>
      <c r="CE99" s="228">
        <v>-3</v>
      </c>
      <c r="CF99" s="229">
        <v>-3.2000000000000002E-3</v>
      </c>
      <c r="CG99" s="228">
        <v>75</v>
      </c>
      <c r="CH99" s="228">
        <v>71</v>
      </c>
      <c r="CI99" s="228">
        <v>4</v>
      </c>
      <c r="CJ99" s="229">
        <v>5.7799999999999997E-2</v>
      </c>
      <c r="CK99" s="228">
        <v>10</v>
      </c>
      <c r="CL99" s="228">
        <v>10</v>
      </c>
      <c r="CM99" s="228">
        <v>0</v>
      </c>
      <c r="CN99" s="229">
        <v>4.4999999999999997E-3</v>
      </c>
      <c r="CO99" s="228">
        <v>579</v>
      </c>
      <c r="CP99" s="228">
        <v>580</v>
      </c>
      <c r="CQ99" s="228">
        <v>-1</v>
      </c>
      <c r="CR99" s="229">
        <v>-2.5000000000000001E-3</v>
      </c>
      <c r="CS99" s="228">
        <v>283</v>
      </c>
      <c r="CT99" s="228">
        <v>283</v>
      </c>
      <c r="CU99" s="228">
        <v>-1</v>
      </c>
      <c r="CV99" s="229">
        <v>-2.2000000000000001E-3</v>
      </c>
      <c r="CW99" s="230">
        <v>1963</v>
      </c>
      <c r="CX99" s="230">
        <v>1964</v>
      </c>
      <c r="CY99" s="228">
        <v>-1</v>
      </c>
      <c r="CZ99" s="229">
        <v>-5.9999999999999995E-4</v>
      </c>
      <c r="DA99" s="228">
        <v>30.9</v>
      </c>
      <c r="DB99" s="228">
        <v>31.19</v>
      </c>
      <c r="DC99" s="228">
        <v>-0.28999999999999998</v>
      </c>
      <c r="DD99" s="228">
        <v>-0.28999999999999998</v>
      </c>
      <c r="DE99" s="228">
        <v>53</v>
      </c>
      <c r="DF99" s="228">
        <v>53.1</v>
      </c>
      <c r="DG99" s="228">
        <v>-22.1</v>
      </c>
      <c r="DH99" s="228">
        <v>-0.1</v>
      </c>
      <c r="DI99" s="228">
        <v>32.96</v>
      </c>
      <c r="DJ99" s="228">
        <v>32.22</v>
      </c>
      <c r="DK99" s="228">
        <v>0.74</v>
      </c>
      <c r="DL99" s="228">
        <v>0.74</v>
      </c>
      <c r="DM99" s="228">
        <v>27.94</v>
      </c>
      <c r="DN99" s="228">
        <v>29.46</v>
      </c>
      <c r="DO99" s="228">
        <v>-1.52</v>
      </c>
      <c r="DP99" s="228">
        <v>-1.52</v>
      </c>
      <c r="DQ99" s="228">
        <v>0.49</v>
      </c>
      <c r="DR99" s="228">
        <v>0.49</v>
      </c>
      <c r="DS99" s="228">
        <v>0</v>
      </c>
      <c r="DT99" s="229">
        <v>0</v>
      </c>
      <c r="DU99" s="228">
        <v>140</v>
      </c>
      <c r="DV99" s="228">
        <v>120</v>
      </c>
      <c r="DW99" s="228">
        <v>0.69</v>
      </c>
      <c r="DX99" s="228">
        <v>0.6</v>
      </c>
      <c r="DY99" s="228">
        <v>0.09</v>
      </c>
      <c r="DZ99" s="229">
        <v>0.15</v>
      </c>
      <c r="EA99" s="229">
        <v>7.7200000000000005E-2</v>
      </c>
      <c r="EB99" s="230">
        <v>6485050</v>
      </c>
      <c r="EC99" s="229">
        <v>5.1999999999999998E-3</v>
      </c>
      <c r="ED99" s="229">
        <v>7.7200000000000005E-2</v>
      </c>
      <c r="EE99" s="228">
        <v>0.76</v>
      </c>
      <c r="EF99" s="229">
        <v>6.1000000000000004E-3</v>
      </c>
      <c r="EG99" s="230">
        <v>2752679</v>
      </c>
      <c r="EH99" s="230">
        <v>7708949</v>
      </c>
      <c r="EI99" s="229">
        <v>-0.64290000000000003</v>
      </c>
      <c r="EJ99" s="229">
        <v>0.43030000000000002</v>
      </c>
      <c r="EK99" s="228">
        <v>221.66</v>
      </c>
      <c r="EL99" s="228">
        <v>142.41</v>
      </c>
      <c r="EM99" s="228">
        <v>100.66</v>
      </c>
      <c r="EN99" s="228">
        <v>31.95</v>
      </c>
      <c r="EO99" s="228">
        <v>464.72</v>
      </c>
      <c r="EP99" s="228">
        <v>312.89999999999998</v>
      </c>
      <c r="EQ99" s="228">
        <v>151.82</v>
      </c>
      <c r="ER99" s="229">
        <v>0.48520000000000002</v>
      </c>
      <c r="ES99" s="228">
        <v>646.96</v>
      </c>
      <c r="ET99" s="228">
        <v>293.08999999999997</v>
      </c>
      <c r="EU99" s="231">
        <v>1102.23</v>
      </c>
      <c r="EV99" s="231">
        <v>144708707</v>
      </c>
      <c r="EW99" s="231">
        <v>2042.29</v>
      </c>
      <c r="EX99" s="231">
        <v>2060.67</v>
      </c>
      <c r="EY99" s="228">
        <v>-18.38</v>
      </c>
      <c r="EZ99" s="229">
        <v>-8.8999999999999999E-3</v>
      </c>
      <c r="FA99" s="229">
        <v>1.0876999999999999</v>
      </c>
      <c r="FB99" s="227" t="s">
        <v>567</v>
      </c>
      <c r="FC99">
        <f t="shared" si="1"/>
        <v>85</v>
      </c>
    </row>
    <row r="100" spans="1:159" ht="17.25" thickBot="1" x14ac:dyDescent="0.3">
      <c r="A100" s="226">
        <v>46009</v>
      </c>
      <c r="B100" s="227" t="s">
        <v>193</v>
      </c>
      <c r="C100" s="227" t="s">
        <v>241</v>
      </c>
      <c r="D100" s="228">
        <v>4875</v>
      </c>
      <c r="E100" s="228">
        <v>12</v>
      </c>
      <c r="F100" s="228">
        <v>162.16</v>
      </c>
      <c r="G100" s="228">
        <v>168.64</v>
      </c>
      <c r="H100" s="228">
        <v>-6.48</v>
      </c>
      <c r="I100" s="229">
        <v>-3.8399999999999997E-2</v>
      </c>
      <c r="J100" s="228">
        <v>161.75</v>
      </c>
      <c r="K100" s="228">
        <v>168.16</v>
      </c>
      <c r="L100" s="228">
        <v>-6.41</v>
      </c>
      <c r="M100" s="229">
        <v>-3.8100000000000002E-2</v>
      </c>
      <c r="N100" s="228">
        <v>162.16</v>
      </c>
      <c r="O100" s="228">
        <v>168.64</v>
      </c>
      <c r="P100" s="228">
        <v>-6.48</v>
      </c>
      <c r="Q100" s="229">
        <v>-3.8399999999999997E-2</v>
      </c>
      <c r="R100" s="228">
        <v>163.21</v>
      </c>
      <c r="S100" s="228">
        <v>169.56</v>
      </c>
      <c r="T100" s="228">
        <v>-6.35</v>
      </c>
      <c r="U100" s="229">
        <v>-3.7400000000000003E-2</v>
      </c>
      <c r="V100" s="228">
        <v>163.98</v>
      </c>
      <c r="W100" s="228">
        <v>170.17</v>
      </c>
      <c r="X100" s="228">
        <v>-6.19</v>
      </c>
      <c r="Y100" s="229">
        <v>-3.6400000000000002E-2</v>
      </c>
      <c r="Z100" s="228">
        <v>0.41</v>
      </c>
      <c r="AA100" s="228">
        <v>0.48</v>
      </c>
      <c r="AB100" s="228">
        <v>-7.0000000000000007E-2</v>
      </c>
      <c r="AC100" s="229">
        <v>2.5000000000000001E-3</v>
      </c>
      <c r="AD100" s="228">
        <v>0.41</v>
      </c>
      <c r="AE100" s="228">
        <v>0.48</v>
      </c>
      <c r="AF100" s="228">
        <v>-7.0000000000000007E-2</v>
      </c>
      <c r="AG100" s="229">
        <v>2.5000000000000001E-3</v>
      </c>
      <c r="AH100" s="228">
        <v>1.46</v>
      </c>
      <c r="AI100" s="228">
        <v>1.4</v>
      </c>
      <c r="AJ100" s="228">
        <v>0.06</v>
      </c>
      <c r="AK100" s="229">
        <v>8.9999999999999993E-3</v>
      </c>
      <c r="AL100" s="228">
        <v>2.23</v>
      </c>
      <c r="AM100" s="228">
        <v>2.0099999999999998</v>
      </c>
      <c r="AN100" s="228">
        <v>0.22</v>
      </c>
      <c r="AO100" s="229">
        <v>1.38E-2</v>
      </c>
      <c r="AP100" s="228">
        <v>162.6</v>
      </c>
      <c r="AQ100" s="228">
        <v>163.47</v>
      </c>
      <c r="AR100" s="228">
        <v>0</v>
      </c>
      <c r="AS100" s="228">
        <v>251</v>
      </c>
      <c r="AT100" s="228">
        <v>313</v>
      </c>
      <c r="AU100" s="228">
        <v>-62</v>
      </c>
      <c r="AV100" s="229">
        <v>-0.19819999999999999</v>
      </c>
      <c r="AW100" s="228">
        <v>197</v>
      </c>
      <c r="AX100" s="228">
        <v>280</v>
      </c>
      <c r="AY100" s="228">
        <v>-83</v>
      </c>
      <c r="AZ100" s="229">
        <v>-0.29670000000000002</v>
      </c>
      <c r="BA100" s="228">
        <v>50</v>
      </c>
      <c r="BB100" s="228">
        <v>30</v>
      </c>
      <c r="BC100" s="228">
        <v>20</v>
      </c>
      <c r="BD100" s="229">
        <v>0.66490000000000005</v>
      </c>
      <c r="BE100" s="228">
        <v>4</v>
      </c>
      <c r="BF100" s="228">
        <v>3</v>
      </c>
      <c r="BG100" s="228">
        <v>1</v>
      </c>
      <c r="BH100" s="229">
        <v>0.35899999999999999</v>
      </c>
      <c r="BI100" s="230">
        <v>1152</v>
      </c>
      <c r="BJ100" s="230">
        <v>1552</v>
      </c>
      <c r="BK100" s="228">
        <v>-400</v>
      </c>
      <c r="BL100" s="229">
        <v>-0.25750000000000001</v>
      </c>
      <c r="BM100" s="228">
        <v>660</v>
      </c>
      <c r="BN100" s="228">
        <v>900</v>
      </c>
      <c r="BO100" s="228">
        <v>-240</v>
      </c>
      <c r="BP100" s="229">
        <v>-0.2666</v>
      </c>
      <c r="BQ100" s="230">
        <v>2063</v>
      </c>
      <c r="BR100" s="230">
        <v>2765</v>
      </c>
      <c r="BS100" s="228">
        <v>-702</v>
      </c>
      <c r="BT100" s="229">
        <v>-0.25380000000000003</v>
      </c>
      <c r="BU100" s="230">
        <v>10787799</v>
      </c>
      <c r="BV100" s="230">
        <v>18164482</v>
      </c>
      <c r="BW100" s="230">
        <v>-7376683</v>
      </c>
      <c r="BX100" s="229">
        <v>-0.40610000000000002</v>
      </c>
      <c r="BY100" s="230">
        <v>1592</v>
      </c>
      <c r="BZ100" s="230">
        <v>1570</v>
      </c>
      <c r="CA100" s="228">
        <v>22</v>
      </c>
      <c r="CB100" s="229">
        <v>1.41E-2</v>
      </c>
      <c r="CC100" s="230">
        <v>1471</v>
      </c>
      <c r="CD100" s="230">
        <v>1475</v>
      </c>
      <c r="CE100" s="228">
        <v>-3</v>
      </c>
      <c r="CF100" s="229">
        <v>-2.3E-3</v>
      </c>
      <c r="CG100" s="228">
        <v>108</v>
      </c>
      <c r="CH100" s="228">
        <v>84</v>
      </c>
      <c r="CI100" s="228">
        <v>25</v>
      </c>
      <c r="CJ100" s="229">
        <v>0.29430000000000001</v>
      </c>
      <c r="CK100" s="228">
        <v>12</v>
      </c>
      <c r="CL100" s="228">
        <v>11</v>
      </c>
      <c r="CM100" s="228">
        <v>1</v>
      </c>
      <c r="CN100" s="229">
        <v>6.4299999999999996E-2</v>
      </c>
      <c r="CO100" s="230">
        <v>1004</v>
      </c>
      <c r="CP100" s="230">
        <v>1025</v>
      </c>
      <c r="CQ100" s="228">
        <v>-21</v>
      </c>
      <c r="CR100" s="229">
        <v>-2.0400000000000001E-2</v>
      </c>
      <c r="CS100" s="228">
        <v>674</v>
      </c>
      <c r="CT100" s="228">
        <v>678</v>
      </c>
      <c r="CU100" s="228">
        <v>-3</v>
      </c>
      <c r="CV100" s="229">
        <v>-5.1000000000000004E-3</v>
      </c>
      <c r="CW100" s="230">
        <v>3270</v>
      </c>
      <c r="CX100" s="230">
        <v>3272</v>
      </c>
      <c r="CY100" s="228">
        <v>-2</v>
      </c>
      <c r="CZ100" s="229">
        <v>-6.9999999999999999E-4</v>
      </c>
      <c r="DA100" s="228">
        <v>21.05</v>
      </c>
      <c r="DB100" s="228">
        <v>22.08</v>
      </c>
      <c r="DC100" s="228">
        <v>-1.03</v>
      </c>
      <c r="DD100" s="228">
        <v>-1.03</v>
      </c>
      <c r="DE100" s="228">
        <v>31</v>
      </c>
      <c r="DF100" s="228">
        <v>31.05</v>
      </c>
      <c r="DG100" s="228">
        <v>-9.9499999999999993</v>
      </c>
      <c r="DH100" s="228">
        <v>-0.05</v>
      </c>
      <c r="DI100" s="228">
        <v>21.1</v>
      </c>
      <c r="DJ100" s="228">
        <v>21.72</v>
      </c>
      <c r="DK100" s="228">
        <v>-0.62</v>
      </c>
      <c r="DL100" s="228">
        <v>-0.62</v>
      </c>
      <c r="DM100" s="228">
        <v>20.98</v>
      </c>
      <c r="DN100" s="228">
        <v>22.68</v>
      </c>
      <c r="DO100" s="228">
        <v>-1.7</v>
      </c>
      <c r="DP100" s="228">
        <v>-1.7</v>
      </c>
      <c r="DQ100" s="228">
        <v>0.67</v>
      </c>
      <c r="DR100" s="228">
        <v>0.66</v>
      </c>
      <c r="DS100" s="228">
        <v>0.01</v>
      </c>
      <c r="DT100" s="229">
        <v>1.52E-2</v>
      </c>
      <c r="DU100" s="228">
        <v>165</v>
      </c>
      <c r="DV100" s="228">
        <v>155</v>
      </c>
      <c r="DW100" s="228">
        <v>0.56999999999999995</v>
      </c>
      <c r="DX100" s="228">
        <v>0.57999999999999996</v>
      </c>
      <c r="DY100" s="228">
        <v>-0.01</v>
      </c>
      <c r="DZ100" s="229">
        <v>-1.72E-2</v>
      </c>
      <c r="EA100" s="229">
        <v>7.5499999999999998E-2</v>
      </c>
      <c r="EB100" s="230">
        <v>5850000</v>
      </c>
      <c r="EC100" s="229">
        <v>6.4999999999999997E-3</v>
      </c>
      <c r="ED100" s="229">
        <v>7.5499999999999998E-2</v>
      </c>
      <c r="EE100" s="228">
        <v>0.87</v>
      </c>
      <c r="EF100" s="229">
        <v>5.4000000000000003E-3</v>
      </c>
      <c r="EG100" s="230">
        <v>4685648</v>
      </c>
      <c r="EH100" s="230">
        <v>10362553</v>
      </c>
      <c r="EI100" s="229">
        <v>-0.54779999999999995</v>
      </c>
      <c r="EJ100" s="229">
        <v>0.43430000000000002</v>
      </c>
      <c r="EK100" s="231">
        <v>1194.73</v>
      </c>
      <c r="EL100" s="228">
        <v>656.34</v>
      </c>
      <c r="EM100" s="228">
        <v>251.99</v>
      </c>
      <c r="EN100" s="228">
        <v>47.54</v>
      </c>
      <c r="EO100" s="231">
        <v>2103.0500000000002</v>
      </c>
      <c r="EP100" s="231">
        <v>2908.83</v>
      </c>
      <c r="EQ100" s="228">
        <v>-805.78</v>
      </c>
      <c r="ER100" s="229">
        <v>-0.27700000000000002</v>
      </c>
      <c r="ES100" s="231">
        <v>1040.6199999999999</v>
      </c>
      <c r="ET100" s="228">
        <v>651.85</v>
      </c>
      <c r="EU100" s="231">
        <v>1592.57</v>
      </c>
      <c r="EV100" s="231">
        <v>684903861</v>
      </c>
      <c r="EW100" s="231">
        <v>3285.03</v>
      </c>
      <c r="EX100" s="231">
        <v>3402.78</v>
      </c>
      <c r="EY100" s="228">
        <v>-117.75</v>
      </c>
      <c r="EZ100" s="229">
        <v>-3.4599999999999999E-2</v>
      </c>
      <c r="FA100" s="229">
        <v>0.2944</v>
      </c>
      <c r="FB100" s="227" t="s">
        <v>567</v>
      </c>
      <c r="FC100">
        <f t="shared" si="1"/>
        <v>121</v>
      </c>
    </row>
    <row r="101" spans="1:159" ht="17.25" thickBot="1" x14ac:dyDescent="0.3">
      <c r="A101" s="226">
        <v>46009</v>
      </c>
      <c r="B101" s="227" t="s">
        <v>215</v>
      </c>
      <c r="C101" s="227" t="s">
        <v>490</v>
      </c>
      <c r="D101" s="228">
        <v>875</v>
      </c>
      <c r="E101" s="228">
        <v>12</v>
      </c>
      <c r="F101" s="228">
        <v>665.6</v>
      </c>
      <c r="G101" s="228">
        <v>667.25</v>
      </c>
      <c r="H101" s="228">
        <v>-1.65</v>
      </c>
      <c r="I101" s="229">
        <v>-2.5000000000000001E-3</v>
      </c>
      <c r="J101" s="228">
        <v>663.85</v>
      </c>
      <c r="K101" s="228">
        <v>666.1</v>
      </c>
      <c r="L101" s="228">
        <v>-2.25</v>
      </c>
      <c r="M101" s="229">
        <v>-3.3999999999999998E-3</v>
      </c>
      <c r="N101" s="228">
        <v>665.6</v>
      </c>
      <c r="O101" s="228">
        <v>667.25</v>
      </c>
      <c r="P101" s="228">
        <v>-1.65</v>
      </c>
      <c r="Q101" s="229">
        <v>-2.5000000000000001E-3</v>
      </c>
      <c r="R101" s="228">
        <v>668.75</v>
      </c>
      <c r="S101" s="228">
        <v>670.55</v>
      </c>
      <c r="T101" s="228">
        <v>-1.8</v>
      </c>
      <c r="U101" s="229">
        <v>-2.7000000000000001E-3</v>
      </c>
      <c r="V101" s="228">
        <v>669.8</v>
      </c>
      <c r="W101" s="228">
        <v>671.25</v>
      </c>
      <c r="X101" s="228">
        <v>-1.45</v>
      </c>
      <c r="Y101" s="229">
        <v>-2.2000000000000001E-3</v>
      </c>
      <c r="Z101" s="228">
        <v>1.75</v>
      </c>
      <c r="AA101" s="228">
        <v>1.1499999999999999</v>
      </c>
      <c r="AB101" s="228">
        <v>0.6</v>
      </c>
      <c r="AC101" s="229">
        <v>2.5999999999999999E-3</v>
      </c>
      <c r="AD101" s="228">
        <v>1.75</v>
      </c>
      <c r="AE101" s="228">
        <v>1.1499999999999999</v>
      </c>
      <c r="AF101" s="228">
        <v>0.6</v>
      </c>
      <c r="AG101" s="229">
        <v>2.5999999999999999E-3</v>
      </c>
      <c r="AH101" s="228">
        <v>4.9000000000000004</v>
      </c>
      <c r="AI101" s="228">
        <v>4.45</v>
      </c>
      <c r="AJ101" s="228">
        <v>0.45</v>
      </c>
      <c r="AK101" s="229">
        <v>7.4000000000000003E-3</v>
      </c>
      <c r="AL101" s="228">
        <v>5.95</v>
      </c>
      <c r="AM101" s="228">
        <v>5.15</v>
      </c>
      <c r="AN101" s="228">
        <v>0.8</v>
      </c>
      <c r="AO101" s="229">
        <v>8.9999999999999993E-3</v>
      </c>
      <c r="AP101" s="228">
        <v>665.67</v>
      </c>
      <c r="AQ101" s="228">
        <v>668.92</v>
      </c>
      <c r="AR101" s="228">
        <v>0</v>
      </c>
      <c r="AS101" s="228">
        <v>99</v>
      </c>
      <c r="AT101" s="228">
        <v>105</v>
      </c>
      <c r="AU101" s="228">
        <v>-6</v>
      </c>
      <c r="AV101" s="229">
        <v>-5.3999999999999999E-2</v>
      </c>
      <c r="AW101" s="228">
        <v>62</v>
      </c>
      <c r="AX101" s="228">
        <v>74</v>
      </c>
      <c r="AY101" s="228">
        <v>-12</v>
      </c>
      <c r="AZ101" s="229">
        <v>-0.15640000000000001</v>
      </c>
      <c r="BA101" s="228">
        <v>30</v>
      </c>
      <c r="BB101" s="228">
        <v>25</v>
      </c>
      <c r="BC101" s="228">
        <v>6</v>
      </c>
      <c r="BD101" s="229">
        <v>0.22539999999999999</v>
      </c>
      <c r="BE101" s="228">
        <v>6</v>
      </c>
      <c r="BF101" s="228">
        <v>6</v>
      </c>
      <c r="BG101" s="228">
        <v>0</v>
      </c>
      <c r="BH101" s="229">
        <v>6.1899999999999997E-2</v>
      </c>
      <c r="BI101" s="228">
        <v>443</v>
      </c>
      <c r="BJ101" s="228">
        <v>359</v>
      </c>
      <c r="BK101" s="228">
        <v>84</v>
      </c>
      <c r="BL101" s="229">
        <v>0.23350000000000001</v>
      </c>
      <c r="BM101" s="228">
        <v>155</v>
      </c>
      <c r="BN101" s="228">
        <v>225</v>
      </c>
      <c r="BO101" s="228">
        <v>-70</v>
      </c>
      <c r="BP101" s="229">
        <v>-0.31009999999999999</v>
      </c>
      <c r="BQ101" s="228">
        <v>697</v>
      </c>
      <c r="BR101" s="228">
        <v>689</v>
      </c>
      <c r="BS101" s="228">
        <v>8</v>
      </c>
      <c r="BT101" s="229">
        <v>1.2200000000000001E-2</v>
      </c>
      <c r="BU101" s="230">
        <v>358606</v>
      </c>
      <c r="BV101" s="230">
        <v>449392</v>
      </c>
      <c r="BW101" s="230">
        <v>-90786</v>
      </c>
      <c r="BX101" s="229">
        <v>-0.20200000000000001</v>
      </c>
      <c r="BY101" s="230">
        <v>1396</v>
      </c>
      <c r="BZ101" s="230">
        <v>1378</v>
      </c>
      <c r="CA101" s="228">
        <v>19</v>
      </c>
      <c r="CB101" s="229">
        <v>1.3599999999999999E-2</v>
      </c>
      <c r="CC101" s="230">
        <v>1219</v>
      </c>
      <c r="CD101" s="230">
        <v>1216</v>
      </c>
      <c r="CE101" s="228">
        <v>3</v>
      </c>
      <c r="CF101" s="229">
        <v>2.5999999999999999E-3</v>
      </c>
      <c r="CG101" s="228">
        <v>145</v>
      </c>
      <c r="CH101" s="228">
        <v>133</v>
      </c>
      <c r="CI101" s="228">
        <v>12</v>
      </c>
      <c r="CJ101" s="229">
        <v>8.7599999999999997E-2</v>
      </c>
      <c r="CK101" s="228">
        <v>33</v>
      </c>
      <c r="CL101" s="228">
        <v>29</v>
      </c>
      <c r="CM101" s="228">
        <v>4</v>
      </c>
      <c r="CN101" s="229">
        <v>0.1328</v>
      </c>
      <c r="CO101" s="228">
        <v>675</v>
      </c>
      <c r="CP101" s="228">
        <v>691</v>
      </c>
      <c r="CQ101" s="228">
        <v>-16</v>
      </c>
      <c r="CR101" s="229">
        <v>-2.2599999999999999E-2</v>
      </c>
      <c r="CS101" s="228">
        <v>456</v>
      </c>
      <c r="CT101" s="228">
        <v>486</v>
      </c>
      <c r="CU101" s="228">
        <v>-30</v>
      </c>
      <c r="CV101" s="229">
        <v>-6.25E-2</v>
      </c>
      <c r="CW101" s="230">
        <v>2527</v>
      </c>
      <c r="CX101" s="230">
        <v>2555</v>
      </c>
      <c r="CY101" s="228">
        <v>-27</v>
      </c>
      <c r="CZ101" s="229">
        <v>-1.0699999999999999E-2</v>
      </c>
      <c r="DA101" s="228">
        <v>16.29</v>
      </c>
      <c r="DB101" s="228">
        <v>18.05</v>
      </c>
      <c r="DC101" s="228">
        <v>-1.76</v>
      </c>
      <c r="DD101" s="228">
        <v>-1.76</v>
      </c>
      <c r="DE101" s="228">
        <v>28.98</v>
      </c>
      <c r="DF101" s="228">
        <v>29.05</v>
      </c>
      <c r="DG101" s="228">
        <v>-12.69</v>
      </c>
      <c r="DH101" s="228">
        <v>-7.0000000000000007E-2</v>
      </c>
      <c r="DI101" s="228">
        <v>16.46</v>
      </c>
      <c r="DJ101" s="228">
        <v>18.739999999999998</v>
      </c>
      <c r="DK101" s="228">
        <v>-2.2799999999999998</v>
      </c>
      <c r="DL101" s="228">
        <v>-2.2799999999999998</v>
      </c>
      <c r="DM101" s="228">
        <v>15.83</v>
      </c>
      <c r="DN101" s="228">
        <v>16.940000000000001</v>
      </c>
      <c r="DO101" s="228">
        <v>-1.1100000000000001</v>
      </c>
      <c r="DP101" s="228">
        <v>-1.1100000000000001</v>
      </c>
      <c r="DQ101" s="228">
        <v>0.68</v>
      </c>
      <c r="DR101" s="228">
        <v>0.7</v>
      </c>
      <c r="DS101" s="228">
        <v>-0.02</v>
      </c>
      <c r="DT101" s="229">
        <v>-2.86E-2</v>
      </c>
      <c r="DU101" s="228">
        <v>700</v>
      </c>
      <c r="DV101" s="228">
        <v>700</v>
      </c>
      <c r="DW101" s="228">
        <v>0.35</v>
      </c>
      <c r="DX101" s="228">
        <v>0.63</v>
      </c>
      <c r="DY101" s="228">
        <v>-0.28000000000000003</v>
      </c>
      <c r="DZ101" s="229">
        <v>-0.44440000000000002</v>
      </c>
      <c r="EA101" s="229">
        <v>0.12709999999999999</v>
      </c>
      <c r="EB101" s="230">
        <v>2433375</v>
      </c>
      <c r="EC101" s="229">
        <v>4.7000000000000002E-3</v>
      </c>
      <c r="ED101" s="229">
        <v>0.12709999999999999</v>
      </c>
      <c r="EE101" s="228">
        <v>3.25</v>
      </c>
      <c r="EF101" s="229">
        <v>4.8999999999999998E-3</v>
      </c>
      <c r="EG101" s="230">
        <v>175408</v>
      </c>
      <c r="EH101" s="230">
        <v>206993</v>
      </c>
      <c r="EI101" s="229">
        <v>-0.15260000000000001</v>
      </c>
      <c r="EJ101" s="229">
        <v>0.48909999999999998</v>
      </c>
      <c r="EK101" s="228">
        <v>456.25</v>
      </c>
      <c r="EL101" s="228">
        <v>156.77000000000001</v>
      </c>
      <c r="EM101" s="228">
        <v>99.09</v>
      </c>
      <c r="EN101" s="228">
        <v>14.49</v>
      </c>
      <c r="EO101" s="228">
        <v>712.11</v>
      </c>
      <c r="EP101" s="228">
        <v>706.55</v>
      </c>
      <c r="EQ101" s="228">
        <v>5.57</v>
      </c>
      <c r="ER101" s="229">
        <v>7.9000000000000008E-3</v>
      </c>
      <c r="ES101" s="228">
        <v>715.83</v>
      </c>
      <c r="ET101" s="228">
        <v>470.92</v>
      </c>
      <c r="EU101" s="231">
        <v>1397.2</v>
      </c>
      <c r="EV101" s="231">
        <v>30082783</v>
      </c>
      <c r="EW101" s="231">
        <v>2583.94</v>
      </c>
      <c r="EX101" s="231">
        <v>2616.4499999999998</v>
      </c>
      <c r="EY101" s="228">
        <v>-32.51</v>
      </c>
      <c r="EZ101" s="229">
        <v>-1.24E-2</v>
      </c>
      <c r="FA101" s="229">
        <v>1.2622</v>
      </c>
      <c r="FB101" s="227" t="s">
        <v>567</v>
      </c>
      <c r="FC101">
        <f t="shared" si="1"/>
        <v>177</v>
      </c>
    </row>
    <row r="102" spans="1:159" ht="17.25" thickBot="1" x14ac:dyDescent="0.3">
      <c r="A102" s="226">
        <v>46009</v>
      </c>
      <c r="B102" s="227" t="s">
        <v>175</v>
      </c>
      <c r="C102" s="227" t="s">
        <v>665</v>
      </c>
      <c r="D102" s="228">
        <v>3450</v>
      </c>
      <c r="E102" s="228">
        <v>12</v>
      </c>
      <c r="F102" s="228">
        <v>131.72</v>
      </c>
      <c r="G102" s="228">
        <v>131.16999999999999</v>
      </c>
      <c r="H102" s="228">
        <v>0.55000000000000004</v>
      </c>
      <c r="I102" s="229">
        <v>4.1999999999999997E-3</v>
      </c>
      <c r="J102" s="228">
        <v>131.41999999999999</v>
      </c>
      <c r="K102" s="228">
        <v>131.43</v>
      </c>
      <c r="L102" s="228">
        <v>-0.01</v>
      </c>
      <c r="M102" s="229">
        <v>-1E-4</v>
      </c>
      <c r="N102" s="228">
        <v>131.72</v>
      </c>
      <c r="O102" s="228">
        <v>131.16999999999999</v>
      </c>
      <c r="P102" s="228">
        <v>0.55000000000000004</v>
      </c>
      <c r="Q102" s="229">
        <v>4.1999999999999997E-3</v>
      </c>
      <c r="R102" s="228">
        <v>131.25</v>
      </c>
      <c r="S102" s="228">
        <v>130.66</v>
      </c>
      <c r="T102" s="228">
        <v>0.59</v>
      </c>
      <c r="U102" s="229">
        <v>4.4999999999999997E-3</v>
      </c>
      <c r="V102" s="228">
        <v>131.38999999999999</v>
      </c>
      <c r="W102" s="228">
        <v>130.34</v>
      </c>
      <c r="X102" s="228">
        <v>1.05</v>
      </c>
      <c r="Y102" s="229">
        <v>8.0999999999999996E-3</v>
      </c>
      <c r="Z102" s="228">
        <v>0.3</v>
      </c>
      <c r="AA102" s="228">
        <v>-0.26</v>
      </c>
      <c r="AB102" s="228">
        <v>0.56000000000000005</v>
      </c>
      <c r="AC102" s="229">
        <v>2.3E-3</v>
      </c>
      <c r="AD102" s="228">
        <v>0.3</v>
      </c>
      <c r="AE102" s="228">
        <v>-0.26</v>
      </c>
      <c r="AF102" s="228">
        <v>0.56000000000000005</v>
      </c>
      <c r="AG102" s="229">
        <v>2.3E-3</v>
      </c>
      <c r="AH102" s="228">
        <v>-0.17</v>
      </c>
      <c r="AI102" s="228">
        <v>-0.77</v>
      </c>
      <c r="AJ102" s="228">
        <v>0.6</v>
      </c>
      <c r="AK102" s="229">
        <v>-1.2999999999999999E-3</v>
      </c>
      <c r="AL102" s="228">
        <v>-0.03</v>
      </c>
      <c r="AM102" s="228">
        <v>-1.0900000000000001</v>
      </c>
      <c r="AN102" s="228">
        <v>1.06</v>
      </c>
      <c r="AO102" s="229">
        <v>-2.0000000000000001E-4</v>
      </c>
      <c r="AP102" s="228">
        <v>131.36000000000001</v>
      </c>
      <c r="AQ102" s="228">
        <v>130.94</v>
      </c>
      <c r="AR102" s="228">
        <v>0</v>
      </c>
      <c r="AS102" s="228">
        <v>137</v>
      </c>
      <c r="AT102" s="228">
        <v>139</v>
      </c>
      <c r="AU102" s="228">
        <v>-1</v>
      </c>
      <c r="AV102" s="229">
        <v>-8.2000000000000007E-3</v>
      </c>
      <c r="AW102" s="228">
        <v>86</v>
      </c>
      <c r="AX102" s="228">
        <v>90</v>
      </c>
      <c r="AY102" s="228">
        <v>-4</v>
      </c>
      <c r="AZ102" s="229">
        <v>-4.6699999999999998E-2</v>
      </c>
      <c r="BA102" s="228">
        <v>46</v>
      </c>
      <c r="BB102" s="228">
        <v>46</v>
      </c>
      <c r="BC102" s="228">
        <v>0</v>
      </c>
      <c r="BD102" s="229">
        <v>1E-3</v>
      </c>
      <c r="BE102" s="228">
        <v>5</v>
      </c>
      <c r="BF102" s="228">
        <v>2</v>
      </c>
      <c r="BG102" s="228">
        <v>3</v>
      </c>
      <c r="BH102" s="229">
        <v>1.2642</v>
      </c>
      <c r="BI102" s="228">
        <v>227</v>
      </c>
      <c r="BJ102" s="228">
        <v>187</v>
      </c>
      <c r="BK102" s="228">
        <v>40</v>
      </c>
      <c r="BL102" s="229">
        <v>0.216</v>
      </c>
      <c r="BM102" s="228">
        <v>90</v>
      </c>
      <c r="BN102" s="228">
        <v>60</v>
      </c>
      <c r="BO102" s="228">
        <v>29</v>
      </c>
      <c r="BP102" s="229">
        <v>0.48870000000000002</v>
      </c>
      <c r="BQ102" s="228">
        <v>454</v>
      </c>
      <c r="BR102" s="228">
        <v>385</v>
      </c>
      <c r="BS102" s="228">
        <v>69</v>
      </c>
      <c r="BT102" s="229">
        <v>0.17799999999999999</v>
      </c>
      <c r="BU102" s="230">
        <v>5071124</v>
      </c>
      <c r="BV102" s="230">
        <v>4219067</v>
      </c>
      <c r="BW102" s="230">
        <v>852057</v>
      </c>
      <c r="BX102" s="229">
        <v>0.20200000000000001</v>
      </c>
      <c r="BY102" s="228">
        <v>737</v>
      </c>
      <c r="BZ102" s="228">
        <v>724</v>
      </c>
      <c r="CA102" s="228">
        <v>13</v>
      </c>
      <c r="CB102" s="229">
        <v>1.7600000000000001E-2</v>
      </c>
      <c r="CC102" s="228">
        <v>542</v>
      </c>
      <c r="CD102" s="228">
        <v>548</v>
      </c>
      <c r="CE102" s="228">
        <v>-6</v>
      </c>
      <c r="CF102" s="229">
        <v>-1.11E-2</v>
      </c>
      <c r="CG102" s="228">
        <v>175</v>
      </c>
      <c r="CH102" s="228">
        <v>159</v>
      </c>
      <c r="CI102" s="228">
        <v>16</v>
      </c>
      <c r="CJ102" s="229">
        <v>0.1019</v>
      </c>
      <c r="CK102" s="228">
        <v>20</v>
      </c>
      <c r="CL102" s="228">
        <v>18</v>
      </c>
      <c r="CM102" s="228">
        <v>3</v>
      </c>
      <c r="CN102" s="229">
        <v>0.15279999999999999</v>
      </c>
      <c r="CO102" s="228">
        <v>519</v>
      </c>
      <c r="CP102" s="228">
        <v>507</v>
      </c>
      <c r="CQ102" s="228">
        <v>12</v>
      </c>
      <c r="CR102" s="229">
        <v>2.29E-2</v>
      </c>
      <c r="CS102" s="228">
        <v>264</v>
      </c>
      <c r="CT102" s="228">
        <v>254</v>
      </c>
      <c r="CU102" s="228">
        <v>10</v>
      </c>
      <c r="CV102" s="229">
        <v>3.8699999999999998E-2</v>
      </c>
      <c r="CW102" s="230">
        <v>1520</v>
      </c>
      <c r="CX102" s="230">
        <v>1486</v>
      </c>
      <c r="CY102" s="228">
        <v>34</v>
      </c>
      <c r="CZ102" s="229">
        <v>2.3E-2</v>
      </c>
      <c r="DA102" s="228">
        <v>30.21</v>
      </c>
      <c r="DB102" s="228">
        <v>32.090000000000003</v>
      </c>
      <c r="DC102" s="228">
        <v>-1.88</v>
      </c>
      <c r="DD102" s="228">
        <v>-1.88</v>
      </c>
      <c r="DE102" s="228">
        <v>48.6</v>
      </c>
      <c r="DF102" s="228">
        <v>48.72</v>
      </c>
      <c r="DG102" s="228">
        <v>-18.39</v>
      </c>
      <c r="DH102" s="228">
        <v>-0.12</v>
      </c>
      <c r="DI102" s="228">
        <v>30.07</v>
      </c>
      <c r="DJ102" s="228">
        <v>32.450000000000003</v>
      </c>
      <c r="DK102" s="228">
        <v>-2.38</v>
      </c>
      <c r="DL102" s="228">
        <v>-2.38</v>
      </c>
      <c r="DM102" s="228">
        <v>30.55</v>
      </c>
      <c r="DN102" s="228">
        <v>30.98</v>
      </c>
      <c r="DO102" s="228">
        <v>-0.43</v>
      </c>
      <c r="DP102" s="228">
        <v>-0.43</v>
      </c>
      <c r="DQ102" s="228">
        <v>0.51</v>
      </c>
      <c r="DR102" s="228">
        <v>0.5</v>
      </c>
      <c r="DS102" s="228">
        <v>0.01</v>
      </c>
      <c r="DT102" s="229">
        <v>0.02</v>
      </c>
      <c r="DU102" s="228">
        <v>145</v>
      </c>
      <c r="DV102" s="228">
        <v>125</v>
      </c>
      <c r="DW102" s="228">
        <v>0.4</v>
      </c>
      <c r="DX102" s="228">
        <v>0.32</v>
      </c>
      <c r="DY102" s="228">
        <v>0.08</v>
      </c>
      <c r="DZ102" s="229">
        <v>0.25</v>
      </c>
      <c r="EA102" s="229">
        <v>0.26469999999999999</v>
      </c>
      <c r="EB102" s="230">
        <v>13382550</v>
      </c>
      <c r="EC102" s="229">
        <v>-3.5999999999999999E-3</v>
      </c>
      <c r="ED102" s="229">
        <v>0.26469999999999999</v>
      </c>
      <c r="EE102" s="228">
        <v>-0.42</v>
      </c>
      <c r="EF102" s="229">
        <v>-3.2000000000000002E-3</v>
      </c>
      <c r="EG102" s="230">
        <v>1675976</v>
      </c>
      <c r="EH102" s="230">
        <v>1658638</v>
      </c>
      <c r="EI102" s="229">
        <v>1.0500000000000001E-2</v>
      </c>
      <c r="EJ102" s="229">
        <v>0.33050000000000002</v>
      </c>
      <c r="EK102" s="228">
        <v>241.25</v>
      </c>
      <c r="EL102" s="228">
        <v>89.77</v>
      </c>
      <c r="EM102" s="228">
        <v>136.93</v>
      </c>
      <c r="EN102" s="228">
        <v>19.89</v>
      </c>
      <c r="EO102" s="228">
        <v>467.94</v>
      </c>
      <c r="EP102" s="228">
        <v>403.09</v>
      </c>
      <c r="EQ102" s="228">
        <v>64.849999999999994</v>
      </c>
      <c r="ER102" s="229">
        <v>0.16089999999999999</v>
      </c>
      <c r="ES102" s="228">
        <v>571.53</v>
      </c>
      <c r="ET102" s="228">
        <v>272.87</v>
      </c>
      <c r="EU102" s="228">
        <v>736.42</v>
      </c>
      <c r="EV102" s="231">
        <v>119011160</v>
      </c>
      <c r="EW102" s="231">
        <v>1580.81</v>
      </c>
      <c r="EX102" s="231">
        <v>1545.69</v>
      </c>
      <c r="EY102" s="228">
        <v>35.119999999999997</v>
      </c>
      <c r="EZ102" s="229">
        <v>2.2700000000000001E-2</v>
      </c>
      <c r="FA102" s="229">
        <v>0.96950000000000003</v>
      </c>
      <c r="FB102" s="227" t="s">
        <v>555</v>
      </c>
      <c r="FC102">
        <f t="shared" si="1"/>
        <v>195</v>
      </c>
    </row>
    <row r="103" spans="1:159" ht="17.25" thickBot="1" x14ac:dyDescent="0.3">
      <c r="A103" s="226">
        <v>46009</v>
      </c>
      <c r="B103" s="227" t="s">
        <v>215</v>
      </c>
      <c r="C103" s="227" t="s">
        <v>592</v>
      </c>
      <c r="D103" s="228">
        <v>4250</v>
      </c>
      <c r="E103" s="228">
        <v>12</v>
      </c>
      <c r="F103" s="228">
        <v>111.19</v>
      </c>
      <c r="G103" s="228">
        <v>111.25</v>
      </c>
      <c r="H103" s="228">
        <v>-0.06</v>
      </c>
      <c r="I103" s="229">
        <v>-5.0000000000000001E-4</v>
      </c>
      <c r="J103" s="228">
        <v>110.81</v>
      </c>
      <c r="K103" s="228">
        <v>111.08</v>
      </c>
      <c r="L103" s="228">
        <v>-0.27</v>
      </c>
      <c r="M103" s="229">
        <v>-2.3999999999999998E-3</v>
      </c>
      <c r="N103" s="228">
        <v>111.19</v>
      </c>
      <c r="O103" s="228">
        <v>111.25</v>
      </c>
      <c r="P103" s="228">
        <v>-0.06</v>
      </c>
      <c r="Q103" s="229">
        <v>-5.0000000000000001E-4</v>
      </c>
      <c r="R103" s="228">
        <v>111.81</v>
      </c>
      <c r="S103" s="228">
        <v>111.96</v>
      </c>
      <c r="T103" s="228">
        <v>-0.15</v>
      </c>
      <c r="U103" s="229">
        <v>-1.2999999999999999E-3</v>
      </c>
      <c r="V103" s="228">
        <v>112.18</v>
      </c>
      <c r="W103" s="228">
        <v>112.63</v>
      </c>
      <c r="X103" s="228">
        <v>-0.45</v>
      </c>
      <c r="Y103" s="229">
        <v>-4.0000000000000001E-3</v>
      </c>
      <c r="Z103" s="228">
        <v>0.38</v>
      </c>
      <c r="AA103" s="228">
        <v>0.17</v>
      </c>
      <c r="AB103" s="228">
        <v>0.21</v>
      </c>
      <c r="AC103" s="229">
        <v>3.3999999999999998E-3</v>
      </c>
      <c r="AD103" s="228">
        <v>0.38</v>
      </c>
      <c r="AE103" s="228">
        <v>0.17</v>
      </c>
      <c r="AF103" s="228">
        <v>0.21</v>
      </c>
      <c r="AG103" s="229">
        <v>3.3999999999999998E-3</v>
      </c>
      <c r="AH103" s="228">
        <v>1</v>
      </c>
      <c r="AI103" s="228">
        <v>0.88</v>
      </c>
      <c r="AJ103" s="228">
        <v>0.12</v>
      </c>
      <c r="AK103" s="229">
        <v>8.9999999999999993E-3</v>
      </c>
      <c r="AL103" s="228">
        <v>1.37</v>
      </c>
      <c r="AM103" s="228">
        <v>1.55</v>
      </c>
      <c r="AN103" s="228">
        <v>-0.18</v>
      </c>
      <c r="AO103" s="229">
        <v>1.24E-2</v>
      </c>
      <c r="AP103" s="228">
        <v>111.02</v>
      </c>
      <c r="AQ103" s="228">
        <v>111.77</v>
      </c>
      <c r="AR103" s="228">
        <v>0</v>
      </c>
      <c r="AS103" s="228">
        <v>65</v>
      </c>
      <c r="AT103" s="228">
        <v>60</v>
      </c>
      <c r="AU103" s="228">
        <v>5</v>
      </c>
      <c r="AV103" s="229">
        <v>8.8300000000000003E-2</v>
      </c>
      <c r="AW103" s="228">
        <v>51</v>
      </c>
      <c r="AX103" s="228">
        <v>38</v>
      </c>
      <c r="AY103" s="228">
        <v>12</v>
      </c>
      <c r="AZ103" s="229">
        <v>0.32190000000000002</v>
      </c>
      <c r="BA103" s="228">
        <v>13</v>
      </c>
      <c r="BB103" s="228">
        <v>19</v>
      </c>
      <c r="BC103" s="228">
        <v>-7</v>
      </c>
      <c r="BD103" s="229">
        <v>-0.34239999999999998</v>
      </c>
      <c r="BE103" s="228">
        <v>2</v>
      </c>
      <c r="BF103" s="228">
        <v>2</v>
      </c>
      <c r="BG103" s="228">
        <v>-1</v>
      </c>
      <c r="BH103" s="229">
        <v>-0.22450000000000001</v>
      </c>
      <c r="BI103" s="228">
        <v>261</v>
      </c>
      <c r="BJ103" s="228">
        <v>243</v>
      </c>
      <c r="BK103" s="228">
        <v>18</v>
      </c>
      <c r="BL103" s="229">
        <v>7.3999999999999996E-2</v>
      </c>
      <c r="BM103" s="228">
        <v>121</v>
      </c>
      <c r="BN103" s="228">
        <v>102</v>
      </c>
      <c r="BO103" s="228">
        <v>19</v>
      </c>
      <c r="BP103" s="229">
        <v>0.18640000000000001</v>
      </c>
      <c r="BQ103" s="228">
        <v>447</v>
      </c>
      <c r="BR103" s="228">
        <v>405</v>
      </c>
      <c r="BS103" s="228">
        <v>42</v>
      </c>
      <c r="BT103" s="229">
        <v>0.10440000000000001</v>
      </c>
      <c r="BU103" s="230">
        <v>7131550</v>
      </c>
      <c r="BV103" s="230">
        <v>5360488</v>
      </c>
      <c r="BW103" s="230">
        <v>1771062</v>
      </c>
      <c r="BX103" s="229">
        <v>0.33040000000000003</v>
      </c>
      <c r="BY103" s="228">
        <v>532</v>
      </c>
      <c r="BZ103" s="228">
        <v>533</v>
      </c>
      <c r="CA103" s="228">
        <v>-1</v>
      </c>
      <c r="CB103" s="229">
        <v>-2.5999999999999999E-3</v>
      </c>
      <c r="CC103" s="228">
        <v>456</v>
      </c>
      <c r="CD103" s="228">
        <v>461</v>
      </c>
      <c r="CE103" s="228">
        <v>-5</v>
      </c>
      <c r="CF103" s="229">
        <v>-1.15E-2</v>
      </c>
      <c r="CG103" s="228">
        <v>67</v>
      </c>
      <c r="CH103" s="228">
        <v>63</v>
      </c>
      <c r="CI103" s="228">
        <v>4</v>
      </c>
      <c r="CJ103" s="229">
        <v>6.4799999999999996E-2</v>
      </c>
      <c r="CK103" s="228">
        <v>9</v>
      </c>
      <c r="CL103" s="228">
        <v>10</v>
      </c>
      <c r="CM103" s="228">
        <v>0</v>
      </c>
      <c r="CN103" s="229">
        <v>-1.47E-2</v>
      </c>
      <c r="CO103" s="228">
        <v>484</v>
      </c>
      <c r="CP103" s="228">
        <v>489</v>
      </c>
      <c r="CQ103" s="228">
        <v>-5</v>
      </c>
      <c r="CR103" s="229">
        <v>-1.01E-2</v>
      </c>
      <c r="CS103" s="228">
        <v>239</v>
      </c>
      <c r="CT103" s="228">
        <v>233</v>
      </c>
      <c r="CU103" s="228">
        <v>6</v>
      </c>
      <c r="CV103" s="229">
        <v>2.4500000000000001E-2</v>
      </c>
      <c r="CW103" s="230">
        <v>1255</v>
      </c>
      <c r="CX103" s="230">
        <v>1256</v>
      </c>
      <c r="CY103" s="228">
        <v>-1</v>
      </c>
      <c r="CZ103" s="229">
        <v>-5.0000000000000001E-4</v>
      </c>
      <c r="DA103" s="228">
        <v>24.46</v>
      </c>
      <c r="DB103" s="228">
        <v>25.13</v>
      </c>
      <c r="DC103" s="228">
        <v>-0.67</v>
      </c>
      <c r="DD103" s="228">
        <v>-0.67</v>
      </c>
      <c r="DE103" s="228">
        <v>43.78</v>
      </c>
      <c r="DF103" s="228">
        <v>43.89</v>
      </c>
      <c r="DG103" s="228">
        <v>-19.32</v>
      </c>
      <c r="DH103" s="228">
        <v>-0.11</v>
      </c>
      <c r="DI103" s="228">
        <v>25.13</v>
      </c>
      <c r="DJ103" s="228">
        <v>26.31</v>
      </c>
      <c r="DK103" s="228">
        <v>-1.18</v>
      </c>
      <c r="DL103" s="228">
        <v>-1.18</v>
      </c>
      <c r="DM103" s="228">
        <v>23.02</v>
      </c>
      <c r="DN103" s="228">
        <v>22.29</v>
      </c>
      <c r="DO103" s="228">
        <v>0.73</v>
      </c>
      <c r="DP103" s="228">
        <v>0.73</v>
      </c>
      <c r="DQ103" s="228">
        <v>0.49</v>
      </c>
      <c r="DR103" s="228">
        <v>0.48</v>
      </c>
      <c r="DS103" s="228">
        <v>0.01</v>
      </c>
      <c r="DT103" s="229">
        <v>2.0799999999999999E-2</v>
      </c>
      <c r="DU103" s="228">
        <v>120</v>
      </c>
      <c r="DV103" s="228">
        <v>120</v>
      </c>
      <c r="DW103" s="228">
        <v>0.46</v>
      </c>
      <c r="DX103" s="228">
        <v>0.42</v>
      </c>
      <c r="DY103" s="228">
        <v>0.04</v>
      </c>
      <c r="DZ103" s="229">
        <v>9.5200000000000007E-2</v>
      </c>
      <c r="EA103" s="229">
        <v>0.1434</v>
      </c>
      <c r="EB103" s="230">
        <v>6511000</v>
      </c>
      <c r="EC103" s="229">
        <v>5.5999999999999999E-3</v>
      </c>
      <c r="ED103" s="229">
        <v>0.1434</v>
      </c>
      <c r="EE103" s="228">
        <v>0.75</v>
      </c>
      <c r="EF103" s="229">
        <v>6.7999999999999996E-3</v>
      </c>
      <c r="EG103" s="230">
        <v>2854576</v>
      </c>
      <c r="EH103" s="230">
        <v>2180133</v>
      </c>
      <c r="EI103" s="229">
        <v>0.30940000000000001</v>
      </c>
      <c r="EJ103" s="229">
        <v>0.40029999999999999</v>
      </c>
      <c r="EK103" s="228">
        <v>275.87</v>
      </c>
      <c r="EL103" s="228">
        <v>120.14</v>
      </c>
      <c r="EM103" s="228">
        <v>65.27</v>
      </c>
      <c r="EN103" s="228">
        <v>10.9</v>
      </c>
      <c r="EO103" s="228">
        <v>461.28</v>
      </c>
      <c r="EP103" s="228">
        <v>422.08</v>
      </c>
      <c r="EQ103" s="228">
        <v>39.200000000000003</v>
      </c>
      <c r="ER103" s="229">
        <v>9.2899999999999996E-2</v>
      </c>
      <c r="ES103" s="228">
        <v>528.76</v>
      </c>
      <c r="ET103" s="228">
        <v>245.36</v>
      </c>
      <c r="EU103" s="228">
        <v>532.51</v>
      </c>
      <c r="EV103" s="231">
        <v>226853356</v>
      </c>
      <c r="EW103" s="231">
        <v>1306.6300000000001</v>
      </c>
      <c r="EX103" s="231">
        <v>1309.95</v>
      </c>
      <c r="EY103" s="228">
        <v>-3.32</v>
      </c>
      <c r="EZ103" s="229">
        <v>-2.5000000000000001E-3</v>
      </c>
      <c r="FA103" s="229">
        <v>0.49759999999999999</v>
      </c>
      <c r="FB103" s="227" t="s">
        <v>568</v>
      </c>
      <c r="FC103">
        <f t="shared" si="1"/>
        <v>76</v>
      </c>
    </row>
    <row r="104" spans="1:159" ht="17.25" thickBot="1" x14ac:dyDescent="0.3">
      <c r="A104" s="226">
        <v>46009</v>
      </c>
      <c r="B104" s="227" t="s">
        <v>168</v>
      </c>
      <c r="C104" s="227" t="s">
        <v>242</v>
      </c>
      <c r="D104" s="228">
        <v>1600</v>
      </c>
      <c r="E104" s="228">
        <v>12</v>
      </c>
      <c r="F104" s="228">
        <v>401.25</v>
      </c>
      <c r="G104" s="228">
        <v>401.05</v>
      </c>
      <c r="H104" s="228">
        <v>0.2</v>
      </c>
      <c r="I104" s="229">
        <v>5.0000000000000001E-4</v>
      </c>
      <c r="J104" s="228">
        <v>400.4</v>
      </c>
      <c r="K104" s="228">
        <v>399.8</v>
      </c>
      <c r="L104" s="228">
        <v>0.6</v>
      </c>
      <c r="M104" s="229">
        <v>1.5E-3</v>
      </c>
      <c r="N104" s="228">
        <v>401.25</v>
      </c>
      <c r="O104" s="228">
        <v>401.05</v>
      </c>
      <c r="P104" s="228">
        <v>0.2</v>
      </c>
      <c r="Q104" s="229">
        <v>5.0000000000000001E-4</v>
      </c>
      <c r="R104" s="228">
        <v>403.75</v>
      </c>
      <c r="S104" s="228">
        <v>403.55</v>
      </c>
      <c r="T104" s="228">
        <v>0.2</v>
      </c>
      <c r="U104" s="229">
        <v>5.0000000000000001E-4</v>
      </c>
      <c r="V104" s="228">
        <v>401.15</v>
      </c>
      <c r="W104" s="228">
        <v>400.95</v>
      </c>
      <c r="X104" s="228">
        <v>0.2</v>
      </c>
      <c r="Y104" s="229">
        <v>5.0000000000000001E-4</v>
      </c>
      <c r="Z104" s="228">
        <v>0.85</v>
      </c>
      <c r="AA104" s="228">
        <v>1.25</v>
      </c>
      <c r="AB104" s="228">
        <v>-0.4</v>
      </c>
      <c r="AC104" s="229">
        <v>2.0999999999999999E-3</v>
      </c>
      <c r="AD104" s="228">
        <v>0.85</v>
      </c>
      <c r="AE104" s="228">
        <v>1.25</v>
      </c>
      <c r="AF104" s="228">
        <v>-0.4</v>
      </c>
      <c r="AG104" s="229">
        <v>2.0999999999999999E-3</v>
      </c>
      <c r="AH104" s="228">
        <v>3.35</v>
      </c>
      <c r="AI104" s="228">
        <v>3.75</v>
      </c>
      <c r="AJ104" s="228">
        <v>-0.4</v>
      </c>
      <c r="AK104" s="229">
        <v>8.3999999999999995E-3</v>
      </c>
      <c r="AL104" s="228">
        <v>0.75</v>
      </c>
      <c r="AM104" s="228">
        <v>1.1499999999999999</v>
      </c>
      <c r="AN104" s="228">
        <v>-0.4</v>
      </c>
      <c r="AO104" s="229">
        <v>1.9E-3</v>
      </c>
      <c r="AP104" s="228">
        <v>401.76</v>
      </c>
      <c r="AQ104" s="228">
        <v>404.3</v>
      </c>
      <c r="AR104" s="228">
        <v>0</v>
      </c>
      <c r="AS104" s="228">
        <v>706</v>
      </c>
      <c r="AT104" s="228">
        <v>551</v>
      </c>
      <c r="AU104" s="228">
        <v>155</v>
      </c>
      <c r="AV104" s="229">
        <v>0.28060000000000002</v>
      </c>
      <c r="AW104" s="228">
        <v>417</v>
      </c>
      <c r="AX104" s="228">
        <v>396</v>
      </c>
      <c r="AY104" s="228">
        <v>21</v>
      </c>
      <c r="AZ104" s="229">
        <v>5.21E-2</v>
      </c>
      <c r="BA104" s="228">
        <v>276</v>
      </c>
      <c r="BB104" s="228">
        <v>143</v>
      </c>
      <c r="BC104" s="228">
        <v>134</v>
      </c>
      <c r="BD104" s="229">
        <v>0.93610000000000004</v>
      </c>
      <c r="BE104" s="228">
        <v>13</v>
      </c>
      <c r="BF104" s="228">
        <v>13</v>
      </c>
      <c r="BG104" s="228">
        <v>1</v>
      </c>
      <c r="BH104" s="229">
        <v>4.4999999999999998E-2</v>
      </c>
      <c r="BI104" s="230">
        <v>1197</v>
      </c>
      <c r="BJ104" s="230">
        <v>1597</v>
      </c>
      <c r="BK104" s="228">
        <v>-400</v>
      </c>
      <c r="BL104" s="229">
        <v>-0.25040000000000001</v>
      </c>
      <c r="BM104" s="228">
        <v>668</v>
      </c>
      <c r="BN104" s="228">
        <v>768</v>
      </c>
      <c r="BO104" s="228">
        <v>-100</v>
      </c>
      <c r="BP104" s="229">
        <v>-0.1305</v>
      </c>
      <c r="BQ104" s="230">
        <v>2571</v>
      </c>
      <c r="BR104" s="230">
        <v>2916</v>
      </c>
      <c r="BS104" s="228">
        <v>-345</v>
      </c>
      <c r="BT104" s="229">
        <v>-0.11840000000000001</v>
      </c>
      <c r="BU104" s="230">
        <v>8279543</v>
      </c>
      <c r="BV104" s="230">
        <v>12098504</v>
      </c>
      <c r="BW104" s="230">
        <v>-3818961</v>
      </c>
      <c r="BX104" s="229">
        <v>-0.31569999999999998</v>
      </c>
      <c r="BY104" s="230">
        <v>7006</v>
      </c>
      <c r="BZ104" s="230">
        <v>6979</v>
      </c>
      <c r="CA104" s="228">
        <v>27</v>
      </c>
      <c r="CB104" s="229">
        <v>3.8999999999999998E-3</v>
      </c>
      <c r="CC104" s="230">
        <v>5990</v>
      </c>
      <c r="CD104" s="230">
        <v>6226</v>
      </c>
      <c r="CE104" s="228">
        <v>-235</v>
      </c>
      <c r="CF104" s="229">
        <v>-3.78E-2</v>
      </c>
      <c r="CG104" s="228">
        <v>908</v>
      </c>
      <c r="CH104" s="228">
        <v>653</v>
      </c>
      <c r="CI104" s="228">
        <v>255</v>
      </c>
      <c r="CJ104" s="229">
        <v>0.38979999999999998</v>
      </c>
      <c r="CK104" s="228">
        <v>108</v>
      </c>
      <c r="CL104" s="228">
        <v>100</v>
      </c>
      <c r="CM104" s="228">
        <v>8</v>
      </c>
      <c r="CN104" s="229">
        <v>7.6799999999999993E-2</v>
      </c>
      <c r="CO104" s="230">
        <v>2534</v>
      </c>
      <c r="CP104" s="230">
        <v>2535</v>
      </c>
      <c r="CQ104" s="228">
        <v>-1</v>
      </c>
      <c r="CR104" s="229">
        <v>-4.0000000000000002E-4</v>
      </c>
      <c r="CS104" s="230">
        <v>1523</v>
      </c>
      <c r="CT104" s="230">
        <v>1568</v>
      </c>
      <c r="CU104" s="228">
        <v>-45</v>
      </c>
      <c r="CV104" s="229">
        <v>-2.8500000000000001E-2</v>
      </c>
      <c r="CW104" s="230">
        <v>11064</v>
      </c>
      <c r="CX104" s="230">
        <v>11083</v>
      </c>
      <c r="CY104" s="228">
        <v>-19</v>
      </c>
      <c r="CZ104" s="229">
        <v>-1.6999999999999999E-3</v>
      </c>
      <c r="DA104" s="228">
        <v>12.48</v>
      </c>
      <c r="DB104" s="228">
        <v>13.12</v>
      </c>
      <c r="DC104" s="228">
        <v>-0.64</v>
      </c>
      <c r="DD104" s="228">
        <v>-0.64</v>
      </c>
      <c r="DE104" s="228">
        <v>18.43</v>
      </c>
      <c r="DF104" s="228">
        <v>18.48</v>
      </c>
      <c r="DG104" s="228">
        <v>-5.95</v>
      </c>
      <c r="DH104" s="228">
        <v>-0.05</v>
      </c>
      <c r="DI104" s="228">
        <v>12.85</v>
      </c>
      <c r="DJ104" s="228">
        <v>13.35</v>
      </c>
      <c r="DK104" s="228">
        <v>-0.5</v>
      </c>
      <c r="DL104" s="228">
        <v>-0.5</v>
      </c>
      <c r="DM104" s="228">
        <v>11.83</v>
      </c>
      <c r="DN104" s="228">
        <v>12.62</v>
      </c>
      <c r="DO104" s="228">
        <v>-0.79</v>
      </c>
      <c r="DP104" s="228">
        <v>-0.79</v>
      </c>
      <c r="DQ104" s="228">
        <v>0.6</v>
      </c>
      <c r="DR104" s="228">
        <v>0.62</v>
      </c>
      <c r="DS104" s="228">
        <v>-0.02</v>
      </c>
      <c r="DT104" s="229">
        <v>-3.2300000000000002E-2</v>
      </c>
      <c r="DU104" s="228">
        <v>410</v>
      </c>
      <c r="DV104" s="228">
        <v>400</v>
      </c>
      <c r="DW104" s="228">
        <v>0.56000000000000005</v>
      </c>
      <c r="DX104" s="228">
        <v>0.48</v>
      </c>
      <c r="DY104" s="228">
        <v>0.08</v>
      </c>
      <c r="DZ104" s="229">
        <v>0.16669999999999999</v>
      </c>
      <c r="EA104" s="229">
        <v>0.14499999999999999</v>
      </c>
      <c r="EB104" s="230">
        <v>18782400</v>
      </c>
      <c r="EC104" s="229">
        <v>6.1999999999999998E-3</v>
      </c>
      <c r="ED104" s="229">
        <v>0.14499999999999999</v>
      </c>
      <c r="EE104" s="228">
        <v>2.54</v>
      </c>
      <c r="EF104" s="229">
        <v>6.3E-3</v>
      </c>
      <c r="EG104" s="230">
        <v>5484084</v>
      </c>
      <c r="EH104" s="230">
        <v>9400447</v>
      </c>
      <c r="EI104" s="229">
        <v>-0.41660000000000003</v>
      </c>
      <c r="EJ104" s="229">
        <v>0.66239999999999999</v>
      </c>
      <c r="EK104" s="231">
        <v>1223.1199999999999</v>
      </c>
      <c r="EL104" s="228">
        <v>663.05</v>
      </c>
      <c r="EM104" s="228">
        <v>708.78</v>
      </c>
      <c r="EN104" s="228">
        <v>70.75</v>
      </c>
      <c r="EO104" s="231">
        <v>2594.96</v>
      </c>
      <c r="EP104" s="231">
        <v>2956.95</v>
      </c>
      <c r="EQ104" s="228">
        <v>-361.99</v>
      </c>
      <c r="ER104" s="229">
        <v>-0.12239999999999999</v>
      </c>
      <c r="ES104" s="231">
        <v>2635.24</v>
      </c>
      <c r="ET104" s="231">
        <v>1511.21</v>
      </c>
      <c r="EU104" s="231">
        <v>7011.97</v>
      </c>
      <c r="EV104" s="231">
        <v>1251412841</v>
      </c>
      <c r="EW104" s="231">
        <v>11158.42</v>
      </c>
      <c r="EX104" s="231">
        <v>11172.81</v>
      </c>
      <c r="EY104" s="228">
        <v>-14.39</v>
      </c>
      <c r="EZ104" s="229">
        <v>-1.2999999999999999E-3</v>
      </c>
      <c r="FA104" s="229">
        <v>0.2203</v>
      </c>
      <c r="FB104" s="227" t="s">
        <v>555</v>
      </c>
      <c r="FC104">
        <f t="shared" si="1"/>
        <v>1016</v>
      </c>
    </row>
    <row r="105" spans="1:159" ht="17.25" thickBot="1" x14ac:dyDescent="0.3">
      <c r="A105" s="226">
        <v>46009</v>
      </c>
      <c r="B105" s="227" t="s">
        <v>227</v>
      </c>
      <c r="C105" s="227" t="s">
        <v>243</v>
      </c>
      <c r="D105" s="228">
        <v>625</v>
      </c>
      <c r="E105" s="228">
        <v>12</v>
      </c>
      <c r="F105" s="228">
        <v>988.9</v>
      </c>
      <c r="G105" s="231">
        <v>1003.9</v>
      </c>
      <c r="H105" s="228">
        <v>-15</v>
      </c>
      <c r="I105" s="229">
        <v>-1.49E-2</v>
      </c>
      <c r="J105" s="228">
        <v>986</v>
      </c>
      <c r="K105" s="231">
        <v>1001.5</v>
      </c>
      <c r="L105" s="228">
        <v>-15.5</v>
      </c>
      <c r="M105" s="229">
        <v>-1.55E-2</v>
      </c>
      <c r="N105" s="228">
        <v>988.9</v>
      </c>
      <c r="O105" s="231">
        <v>1003.9</v>
      </c>
      <c r="P105" s="228">
        <v>-15</v>
      </c>
      <c r="Q105" s="229">
        <v>-1.49E-2</v>
      </c>
      <c r="R105" s="228">
        <v>994.9</v>
      </c>
      <c r="S105" s="231">
        <v>1010.5</v>
      </c>
      <c r="T105" s="228">
        <v>-15.6</v>
      </c>
      <c r="U105" s="229">
        <v>-1.54E-2</v>
      </c>
      <c r="V105" s="228">
        <v>995</v>
      </c>
      <c r="W105" s="231">
        <v>1015.2</v>
      </c>
      <c r="X105" s="228">
        <v>-20.2</v>
      </c>
      <c r="Y105" s="229">
        <v>-1.9900000000000001E-2</v>
      </c>
      <c r="Z105" s="228">
        <v>2.9</v>
      </c>
      <c r="AA105" s="228">
        <v>2.4</v>
      </c>
      <c r="AB105" s="228">
        <v>0.5</v>
      </c>
      <c r="AC105" s="229">
        <v>2.8999999999999998E-3</v>
      </c>
      <c r="AD105" s="228">
        <v>2.9</v>
      </c>
      <c r="AE105" s="228">
        <v>2.4</v>
      </c>
      <c r="AF105" s="228">
        <v>0.5</v>
      </c>
      <c r="AG105" s="229">
        <v>2.8999999999999998E-3</v>
      </c>
      <c r="AH105" s="228">
        <v>8.9</v>
      </c>
      <c r="AI105" s="228">
        <v>9</v>
      </c>
      <c r="AJ105" s="228">
        <v>-0.1</v>
      </c>
      <c r="AK105" s="229">
        <v>8.9999999999999993E-3</v>
      </c>
      <c r="AL105" s="228">
        <v>9</v>
      </c>
      <c r="AM105" s="228">
        <v>13.7</v>
      </c>
      <c r="AN105" s="228">
        <v>-4.7</v>
      </c>
      <c r="AO105" s="229">
        <v>9.1000000000000004E-3</v>
      </c>
      <c r="AP105" s="228">
        <v>990.78</v>
      </c>
      <c r="AQ105" s="228">
        <v>994.91</v>
      </c>
      <c r="AR105" s="228">
        <v>0</v>
      </c>
      <c r="AS105" s="228">
        <v>365</v>
      </c>
      <c r="AT105" s="228">
        <v>172</v>
      </c>
      <c r="AU105" s="228">
        <v>193</v>
      </c>
      <c r="AV105" s="229">
        <v>1.1200000000000001</v>
      </c>
      <c r="AW105" s="228">
        <v>307</v>
      </c>
      <c r="AX105" s="228">
        <v>153</v>
      </c>
      <c r="AY105" s="228">
        <v>154</v>
      </c>
      <c r="AZ105" s="229">
        <v>1.0081</v>
      </c>
      <c r="BA105" s="228">
        <v>56</v>
      </c>
      <c r="BB105" s="228">
        <v>18</v>
      </c>
      <c r="BC105" s="228">
        <v>37</v>
      </c>
      <c r="BD105" s="229">
        <v>2.0301999999999998</v>
      </c>
      <c r="BE105" s="228">
        <v>2</v>
      </c>
      <c r="BF105" s="228">
        <v>1</v>
      </c>
      <c r="BG105" s="228">
        <v>1</v>
      </c>
      <c r="BH105" s="229">
        <v>1.7</v>
      </c>
      <c r="BI105" s="228">
        <v>847</v>
      </c>
      <c r="BJ105" s="228">
        <v>409</v>
      </c>
      <c r="BK105" s="228">
        <v>438</v>
      </c>
      <c r="BL105" s="229">
        <v>1.0685</v>
      </c>
      <c r="BM105" s="228">
        <v>554</v>
      </c>
      <c r="BN105" s="228">
        <v>224</v>
      </c>
      <c r="BO105" s="228">
        <v>330</v>
      </c>
      <c r="BP105" s="229">
        <v>1.4717</v>
      </c>
      <c r="BQ105" s="230">
        <v>1766</v>
      </c>
      <c r="BR105" s="228">
        <v>806</v>
      </c>
      <c r="BS105" s="228">
        <v>960</v>
      </c>
      <c r="BT105" s="229">
        <v>1.1917</v>
      </c>
      <c r="BU105" s="230">
        <v>2699270</v>
      </c>
      <c r="BV105" s="230">
        <v>660596</v>
      </c>
      <c r="BW105" s="230">
        <v>2038674</v>
      </c>
      <c r="BX105" s="229">
        <v>3.0861000000000001</v>
      </c>
      <c r="BY105" s="230">
        <v>1315</v>
      </c>
      <c r="BZ105" s="230">
        <v>1244</v>
      </c>
      <c r="CA105" s="228">
        <v>72</v>
      </c>
      <c r="CB105" s="229">
        <v>5.7500000000000002E-2</v>
      </c>
      <c r="CC105" s="230">
        <v>1256</v>
      </c>
      <c r="CD105" s="230">
        <v>1210</v>
      </c>
      <c r="CE105" s="228">
        <v>46</v>
      </c>
      <c r="CF105" s="229">
        <v>3.8100000000000002E-2</v>
      </c>
      <c r="CG105" s="228">
        <v>56</v>
      </c>
      <c r="CH105" s="228">
        <v>31</v>
      </c>
      <c r="CI105" s="228">
        <v>25</v>
      </c>
      <c r="CJ105" s="229">
        <v>0.80800000000000005</v>
      </c>
      <c r="CK105" s="228">
        <v>4</v>
      </c>
      <c r="CL105" s="228">
        <v>3</v>
      </c>
      <c r="CM105" s="228">
        <v>0</v>
      </c>
      <c r="CN105" s="229">
        <v>0.15690000000000001</v>
      </c>
      <c r="CO105" s="228">
        <v>601</v>
      </c>
      <c r="CP105" s="228">
        <v>583</v>
      </c>
      <c r="CQ105" s="228">
        <v>17</v>
      </c>
      <c r="CR105" s="229">
        <v>2.9700000000000001E-2</v>
      </c>
      <c r="CS105" s="228">
        <v>372</v>
      </c>
      <c r="CT105" s="228">
        <v>348</v>
      </c>
      <c r="CU105" s="228">
        <v>24</v>
      </c>
      <c r="CV105" s="229">
        <v>6.7799999999999999E-2</v>
      </c>
      <c r="CW105" s="230">
        <v>2288</v>
      </c>
      <c r="CX105" s="230">
        <v>2176</v>
      </c>
      <c r="CY105" s="228">
        <v>112</v>
      </c>
      <c r="CZ105" s="229">
        <v>5.1700000000000003E-2</v>
      </c>
      <c r="DA105" s="228">
        <v>23.16</v>
      </c>
      <c r="DB105" s="228">
        <v>24.35</v>
      </c>
      <c r="DC105" s="228">
        <v>-1.19</v>
      </c>
      <c r="DD105" s="228">
        <v>-1.19</v>
      </c>
      <c r="DE105" s="228">
        <v>34.380000000000003</v>
      </c>
      <c r="DF105" s="228">
        <v>34.409999999999997</v>
      </c>
      <c r="DG105" s="228">
        <v>-11.22</v>
      </c>
      <c r="DH105" s="228">
        <v>-0.03</v>
      </c>
      <c r="DI105" s="228">
        <v>23.63</v>
      </c>
      <c r="DJ105" s="228">
        <v>25</v>
      </c>
      <c r="DK105" s="228">
        <v>-1.37</v>
      </c>
      <c r="DL105" s="228">
        <v>-1.37</v>
      </c>
      <c r="DM105" s="228">
        <v>22.43</v>
      </c>
      <c r="DN105" s="228">
        <v>23.17</v>
      </c>
      <c r="DO105" s="228">
        <v>-0.74</v>
      </c>
      <c r="DP105" s="228">
        <v>-0.74</v>
      </c>
      <c r="DQ105" s="228">
        <v>0.62</v>
      </c>
      <c r="DR105" s="228">
        <v>0.6</v>
      </c>
      <c r="DS105" s="228">
        <v>0.02</v>
      </c>
      <c r="DT105" s="229">
        <v>3.3300000000000003E-2</v>
      </c>
      <c r="DU105" s="231">
        <v>1100</v>
      </c>
      <c r="DV105" s="231">
        <v>1000</v>
      </c>
      <c r="DW105" s="228">
        <v>0.65</v>
      </c>
      <c r="DX105" s="228">
        <v>0.55000000000000004</v>
      </c>
      <c r="DY105" s="228">
        <v>0.1</v>
      </c>
      <c r="DZ105" s="229">
        <v>0.18179999999999999</v>
      </c>
      <c r="EA105" s="229">
        <v>4.5199999999999997E-2</v>
      </c>
      <c r="EB105" s="230">
        <v>344375</v>
      </c>
      <c r="EC105" s="229">
        <v>6.1000000000000004E-3</v>
      </c>
      <c r="ED105" s="229">
        <v>4.5199999999999997E-2</v>
      </c>
      <c r="EE105" s="228">
        <v>4.13</v>
      </c>
      <c r="EF105" s="229">
        <v>4.1999999999999997E-3</v>
      </c>
      <c r="EG105" s="230">
        <v>1635855</v>
      </c>
      <c r="EH105" s="230">
        <v>255410</v>
      </c>
      <c r="EI105" s="229">
        <v>5.4047999999999998</v>
      </c>
      <c r="EJ105" s="229">
        <v>0.60599999999999998</v>
      </c>
      <c r="EK105" s="228">
        <v>887.63</v>
      </c>
      <c r="EL105" s="228">
        <v>554.36</v>
      </c>
      <c r="EM105" s="228">
        <v>365.72</v>
      </c>
      <c r="EN105" s="228">
        <v>28.96</v>
      </c>
      <c r="EO105" s="231">
        <v>1807.71</v>
      </c>
      <c r="EP105" s="228">
        <v>840.78</v>
      </c>
      <c r="EQ105" s="228">
        <v>966.93</v>
      </c>
      <c r="ER105" s="229">
        <v>1.1499999999999999</v>
      </c>
      <c r="ES105" s="228">
        <v>648.05999999999995</v>
      </c>
      <c r="ET105" s="228">
        <v>371.56</v>
      </c>
      <c r="EU105" s="231">
        <v>1315.85</v>
      </c>
      <c r="EV105" s="231">
        <v>54776702</v>
      </c>
      <c r="EW105" s="231">
        <v>2335.46</v>
      </c>
      <c r="EX105" s="231">
        <v>2245.04</v>
      </c>
      <c r="EY105" s="228">
        <v>90.42</v>
      </c>
      <c r="EZ105" s="229">
        <v>4.0300000000000002E-2</v>
      </c>
      <c r="FA105" s="229">
        <v>0.4224</v>
      </c>
      <c r="FB105" s="227" t="s">
        <v>567</v>
      </c>
      <c r="FC105">
        <f t="shared" si="1"/>
        <v>59</v>
      </c>
    </row>
    <row r="106" spans="1:159" ht="17.25" thickBot="1" x14ac:dyDescent="0.3">
      <c r="A106" s="226">
        <v>46009</v>
      </c>
      <c r="B106" s="227" t="s">
        <v>175</v>
      </c>
      <c r="C106" s="227" t="s">
        <v>570</v>
      </c>
      <c r="D106" s="228">
        <v>2350</v>
      </c>
      <c r="E106" s="228">
        <v>12</v>
      </c>
      <c r="F106" s="228">
        <v>292.89999999999998</v>
      </c>
      <c r="G106" s="228">
        <v>293.7</v>
      </c>
      <c r="H106" s="228">
        <v>-0.8</v>
      </c>
      <c r="I106" s="229">
        <v>-2.7000000000000001E-3</v>
      </c>
      <c r="J106" s="228">
        <v>292.3</v>
      </c>
      <c r="K106" s="228">
        <v>293.14999999999998</v>
      </c>
      <c r="L106" s="228">
        <v>-0.85</v>
      </c>
      <c r="M106" s="229">
        <v>-2.8999999999999998E-3</v>
      </c>
      <c r="N106" s="228">
        <v>292.89999999999998</v>
      </c>
      <c r="O106" s="228">
        <v>293.7</v>
      </c>
      <c r="P106" s="228">
        <v>-0.8</v>
      </c>
      <c r="Q106" s="229">
        <v>-2.7000000000000001E-3</v>
      </c>
      <c r="R106" s="228">
        <v>294.8</v>
      </c>
      <c r="S106" s="228">
        <v>295.60000000000002</v>
      </c>
      <c r="T106" s="228">
        <v>-0.8</v>
      </c>
      <c r="U106" s="229">
        <v>-2.7000000000000001E-3</v>
      </c>
      <c r="V106" s="228">
        <v>296.55</v>
      </c>
      <c r="W106" s="228">
        <v>297.25</v>
      </c>
      <c r="X106" s="228">
        <v>-0.7</v>
      </c>
      <c r="Y106" s="229">
        <v>-2.3999999999999998E-3</v>
      </c>
      <c r="Z106" s="228">
        <v>0.6</v>
      </c>
      <c r="AA106" s="228">
        <v>0.55000000000000004</v>
      </c>
      <c r="AB106" s="228">
        <v>0.05</v>
      </c>
      <c r="AC106" s="229">
        <v>2.0999999999999999E-3</v>
      </c>
      <c r="AD106" s="228">
        <v>0.6</v>
      </c>
      <c r="AE106" s="228">
        <v>0.55000000000000004</v>
      </c>
      <c r="AF106" s="228">
        <v>0.05</v>
      </c>
      <c r="AG106" s="229">
        <v>2.0999999999999999E-3</v>
      </c>
      <c r="AH106" s="228">
        <v>2.5</v>
      </c>
      <c r="AI106" s="228">
        <v>2.4500000000000002</v>
      </c>
      <c r="AJ106" s="228">
        <v>0.05</v>
      </c>
      <c r="AK106" s="229">
        <v>8.6E-3</v>
      </c>
      <c r="AL106" s="228">
        <v>4.25</v>
      </c>
      <c r="AM106" s="228">
        <v>4.0999999999999996</v>
      </c>
      <c r="AN106" s="228">
        <v>0.15</v>
      </c>
      <c r="AO106" s="229">
        <v>1.4500000000000001E-2</v>
      </c>
      <c r="AP106" s="228">
        <v>292.25</v>
      </c>
      <c r="AQ106" s="228">
        <v>294.01</v>
      </c>
      <c r="AR106" s="228">
        <v>0</v>
      </c>
      <c r="AS106" s="228">
        <v>489</v>
      </c>
      <c r="AT106" s="228">
        <v>271</v>
      </c>
      <c r="AU106" s="228">
        <v>218</v>
      </c>
      <c r="AV106" s="229">
        <v>0.80430000000000001</v>
      </c>
      <c r="AW106" s="228">
        <v>319</v>
      </c>
      <c r="AX106" s="228">
        <v>202</v>
      </c>
      <c r="AY106" s="228">
        <v>117</v>
      </c>
      <c r="AZ106" s="229">
        <v>0.58020000000000005</v>
      </c>
      <c r="BA106" s="228">
        <v>161</v>
      </c>
      <c r="BB106" s="228">
        <v>62</v>
      </c>
      <c r="BC106" s="228">
        <v>99</v>
      </c>
      <c r="BD106" s="229">
        <v>1.5960000000000001</v>
      </c>
      <c r="BE106" s="228">
        <v>8</v>
      </c>
      <c r="BF106" s="228">
        <v>7</v>
      </c>
      <c r="BG106" s="228">
        <v>2</v>
      </c>
      <c r="BH106" s="229">
        <v>0.22919999999999999</v>
      </c>
      <c r="BI106" s="230">
        <v>1256</v>
      </c>
      <c r="BJ106" s="230">
        <v>1088</v>
      </c>
      <c r="BK106" s="228">
        <v>167</v>
      </c>
      <c r="BL106" s="229">
        <v>0.15379999999999999</v>
      </c>
      <c r="BM106" s="228">
        <v>468</v>
      </c>
      <c r="BN106" s="228">
        <v>387</v>
      </c>
      <c r="BO106" s="228">
        <v>81</v>
      </c>
      <c r="BP106" s="229">
        <v>0.21060000000000001</v>
      </c>
      <c r="BQ106" s="230">
        <v>2213</v>
      </c>
      <c r="BR106" s="230">
        <v>1746</v>
      </c>
      <c r="BS106" s="228">
        <v>467</v>
      </c>
      <c r="BT106" s="229">
        <v>0.26729999999999998</v>
      </c>
      <c r="BU106" s="230">
        <v>7092906</v>
      </c>
      <c r="BV106" s="230">
        <v>6139430</v>
      </c>
      <c r="BW106" s="230">
        <v>953476</v>
      </c>
      <c r="BX106" s="229">
        <v>0.15529999999999999</v>
      </c>
      <c r="BY106" s="230">
        <v>4693</v>
      </c>
      <c r="BZ106" s="230">
        <v>4666</v>
      </c>
      <c r="CA106" s="228">
        <v>27</v>
      </c>
      <c r="CB106" s="229">
        <v>5.7999999999999996E-3</v>
      </c>
      <c r="CC106" s="230">
        <v>3875</v>
      </c>
      <c r="CD106" s="230">
        <v>3972</v>
      </c>
      <c r="CE106" s="228">
        <v>-97</v>
      </c>
      <c r="CF106" s="229">
        <v>-2.4400000000000002E-2</v>
      </c>
      <c r="CG106" s="228">
        <v>728</v>
      </c>
      <c r="CH106" s="228">
        <v>608</v>
      </c>
      <c r="CI106" s="228">
        <v>120</v>
      </c>
      <c r="CJ106" s="229">
        <v>0.19689999999999999</v>
      </c>
      <c r="CK106" s="228">
        <v>91</v>
      </c>
      <c r="CL106" s="228">
        <v>87</v>
      </c>
      <c r="CM106" s="228">
        <v>4</v>
      </c>
      <c r="CN106" s="229">
        <v>4.6899999999999997E-2</v>
      </c>
      <c r="CO106" s="230">
        <v>2050</v>
      </c>
      <c r="CP106" s="230">
        <v>2010</v>
      </c>
      <c r="CQ106" s="228">
        <v>40</v>
      </c>
      <c r="CR106" s="229">
        <v>0.02</v>
      </c>
      <c r="CS106" s="230">
        <v>1417</v>
      </c>
      <c r="CT106" s="230">
        <v>1367</v>
      </c>
      <c r="CU106" s="228">
        <v>50</v>
      </c>
      <c r="CV106" s="229">
        <v>3.6600000000000001E-2</v>
      </c>
      <c r="CW106" s="230">
        <v>8161</v>
      </c>
      <c r="CX106" s="230">
        <v>8044</v>
      </c>
      <c r="CY106" s="228">
        <v>117</v>
      </c>
      <c r="CZ106" s="229">
        <v>1.46E-2</v>
      </c>
      <c r="DA106" s="228">
        <v>23.12</v>
      </c>
      <c r="DB106" s="228">
        <v>23.08</v>
      </c>
      <c r="DC106" s="228">
        <v>0.04</v>
      </c>
      <c r="DD106" s="228">
        <v>0.04</v>
      </c>
      <c r="DE106" s="228">
        <v>33.97</v>
      </c>
      <c r="DF106" s="228">
        <v>34.049999999999997</v>
      </c>
      <c r="DG106" s="228">
        <v>-10.85</v>
      </c>
      <c r="DH106" s="228">
        <v>-0.08</v>
      </c>
      <c r="DI106" s="228">
        <v>23.79</v>
      </c>
      <c r="DJ106" s="228">
        <v>23.74</v>
      </c>
      <c r="DK106" s="228">
        <v>0.05</v>
      </c>
      <c r="DL106" s="228">
        <v>0.05</v>
      </c>
      <c r="DM106" s="228">
        <v>21.31</v>
      </c>
      <c r="DN106" s="228">
        <v>21.23</v>
      </c>
      <c r="DO106" s="228">
        <v>0.08</v>
      </c>
      <c r="DP106" s="228">
        <v>0.08</v>
      </c>
      <c r="DQ106" s="228">
        <v>0.69</v>
      </c>
      <c r="DR106" s="228">
        <v>0.68</v>
      </c>
      <c r="DS106" s="228">
        <v>0.01</v>
      </c>
      <c r="DT106" s="229">
        <v>1.47E-2</v>
      </c>
      <c r="DU106" s="228">
        <v>310</v>
      </c>
      <c r="DV106" s="228">
        <v>300</v>
      </c>
      <c r="DW106" s="228">
        <v>0.37</v>
      </c>
      <c r="DX106" s="228">
        <v>0.36</v>
      </c>
      <c r="DY106" s="228">
        <v>0.01</v>
      </c>
      <c r="DZ106" s="229">
        <v>2.7799999999999998E-2</v>
      </c>
      <c r="EA106" s="229">
        <v>0.1744</v>
      </c>
      <c r="EB106" s="230">
        <v>23716200</v>
      </c>
      <c r="EC106" s="229">
        <v>6.4999999999999997E-3</v>
      </c>
      <c r="ED106" s="229">
        <v>0.1744</v>
      </c>
      <c r="EE106" s="228">
        <v>1.76</v>
      </c>
      <c r="EF106" s="229">
        <v>6.0000000000000001E-3</v>
      </c>
      <c r="EG106" s="230">
        <v>3111724</v>
      </c>
      <c r="EH106" s="230">
        <v>3095553</v>
      </c>
      <c r="EI106" s="229">
        <v>5.1999999999999998E-3</v>
      </c>
      <c r="EJ106" s="229">
        <v>0.43869999999999998</v>
      </c>
      <c r="EK106" s="231">
        <v>1321.64</v>
      </c>
      <c r="EL106" s="228">
        <v>464.04</v>
      </c>
      <c r="EM106" s="228">
        <v>488.56</v>
      </c>
      <c r="EN106" s="228">
        <v>58.52</v>
      </c>
      <c r="EO106" s="231">
        <v>2274.2399999999998</v>
      </c>
      <c r="EP106" s="231">
        <v>1813.5</v>
      </c>
      <c r="EQ106" s="228">
        <v>460.74</v>
      </c>
      <c r="ER106" s="229">
        <v>0.25409999999999999</v>
      </c>
      <c r="ES106" s="231">
        <v>2197.29</v>
      </c>
      <c r="ET106" s="231">
        <v>1457.02</v>
      </c>
      <c r="EU106" s="231">
        <v>4699.13</v>
      </c>
      <c r="EV106" s="231">
        <v>446457456</v>
      </c>
      <c r="EW106" s="231">
        <v>8353.43</v>
      </c>
      <c r="EX106" s="231">
        <v>8252.34</v>
      </c>
      <c r="EY106" s="228">
        <v>101.09</v>
      </c>
      <c r="EZ106" s="229">
        <v>1.2200000000000001E-2</v>
      </c>
      <c r="FA106" s="229">
        <v>0.62409999999999999</v>
      </c>
      <c r="FB106" s="227" t="s">
        <v>567</v>
      </c>
      <c r="FC106">
        <f t="shared" si="1"/>
        <v>818</v>
      </c>
    </row>
    <row r="107" spans="1:159" ht="17.25" thickBot="1" x14ac:dyDescent="0.3">
      <c r="A107" s="226">
        <v>46009</v>
      </c>
      <c r="B107" s="227" t="s">
        <v>161</v>
      </c>
      <c r="C107" s="227" t="s">
        <v>580</v>
      </c>
      <c r="D107" s="228">
        <v>1000</v>
      </c>
      <c r="E107" s="228">
        <v>12</v>
      </c>
      <c r="F107" s="228">
        <v>472.35</v>
      </c>
      <c r="G107" s="228">
        <v>475.8</v>
      </c>
      <c r="H107" s="228">
        <v>-3.45</v>
      </c>
      <c r="I107" s="229">
        <v>-7.3000000000000001E-3</v>
      </c>
      <c r="J107" s="228">
        <v>472</v>
      </c>
      <c r="K107" s="228">
        <v>475.25</v>
      </c>
      <c r="L107" s="228">
        <v>-3.25</v>
      </c>
      <c r="M107" s="229">
        <v>-6.7999999999999996E-3</v>
      </c>
      <c r="N107" s="228">
        <v>472.35</v>
      </c>
      <c r="O107" s="228">
        <v>475.8</v>
      </c>
      <c r="P107" s="228">
        <v>-3.45</v>
      </c>
      <c r="Q107" s="229">
        <v>-7.3000000000000001E-3</v>
      </c>
      <c r="R107" s="228">
        <v>475.3</v>
      </c>
      <c r="S107" s="228">
        <v>478.35</v>
      </c>
      <c r="T107" s="228">
        <v>-3.05</v>
      </c>
      <c r="U107" s="229">
        <v>-6.4000000000000003E-3</v>
      </c>
      <c r="V107" s="228">
        <v>477.65</v>
      </c>
      <c r="W107" s="228">
        <v>480</v>
      </c>
      <c r="X107" s="228">
        <v>-2.35</v>
      </c>
      <c r="Y107" s="229">
        <v>-4.8999999999999998E-3</v>
      </c>
      <c r="Z107" s="228">
        <v>0.35</v>
      </c>
      <c r="AA107" s="228">
        <v>0.55000000000000004</v>
      </c>
      <c r="AB107" s="228">
        <v>-0.2</v>
      </c>
      <c r="AC107" s="229">
        <v>6.9999999999999999E-4</v>
      </c>
      <c r="AD107" s="228">
        <v>0.35</v>
      </c>
      <c r="AE107" s="228">
        <v>0.55000000000000004</v>
      </c>
      <c r="AF107" s="228">
        <v>-0.2</v>
      </c>
      <c r="AG107" s="229">
        <v>6.9999999999999999E-4</v>
      </c>
      <c r="AH107" s="228">
        <v>3.3</v>
      </c>
      <c r="AI107" s="228">
        <v>3.1</v>
      </c>
      <c r="AJ107" s="228">
        <v>0.2</v>
      </c>
      <c r="AK107" s="229">
        <v>7.0000000000000001E-3</v>
      </c>
      <c r="AL107" s="228">
        <v>5.65</v>
      </c>
      <c r="AM107" s="228">
        <v>4.75</v>
      </c>
      <c r="AN107" s="228">
        <v>0.9</v>
      </c>
      <c r="AO107" s="229">
        <v>1.2E-2</v>
      </c>
      <c r="AP107" s="228">
        <v>471.34</v>
      </c>
      <c r="AQ107" s="228">
        <v>474.4</v>
      </c>
      <c r="AR107" s="228">
        <v>0</v>
      </c>
      <c r="AS107" s="228">
        <v>162</v>
      </c>
      <c r="AT107" s="228">
        <v>162</v>
      </c>
      <c r="AU107" s="228">
        <v>-1</v>
      </c>
      <c r="AV107" s="229">
        <v>-4.4000000000000003E-3</v>
      </c>
      <c r="AW107" s="228">
        <v>142</v>
      </c>
      <c r="AX107" s="228">
        <v>137</v>
      </c>
      <c r="AY107" s="228">
        <v>5</v>
      </c>
      <c r="AZ107" s="229">
        <v>3.3399999999999999E-2</v>
      </c>
      <c r="BA107" s="228">
        <v>20</v>
      </c>
      <c r="BB107" s="228">
        <v>25</v>
      </c>
      <c r="BC107" s="228">
        <v>-5</v>
      </c>
      <c r="BD107" s="229">
        <v>-0.2155</v>
      </c>
      <c r="BE107" s="228">
        <v>1</v>
      </c>
      <c r="BF107" s="228">
        <v>0</v>
      </c>
      <c r="BG107" s="228">
        <v>0</v>
      </c>
      <c r="BH107" s="229">
        <v>0.22220000000000001</v>
      </c>
      <c r="BI107" s="228">
        <v>415</v>
      </c>
      <c r="BJ107" s="228">
        <v>460</v>
      </c>
      <c r="BK107" s="228">
        <v>-45</v>
      </c>
      <c r="BL107" s="229">
        <v>-9.7699999999999995E-2</v>
      </c>
      <c r="BM107" s="228">
        <v>272</v>
      </c>
      <c r="BN107" s="228">
        <v>277</v>
      </c>
      <c r="BO107" s="228">
        <v>-6</v>
      </c>
      <c r="BP107" s="229">
        <v>-2.1100000000000001E-2</v>
      </c>
      <c r="BQ107" s="228">
        <v>849</v>
      </c>
      <c r="BR107" s="228">
        <v>900</v>
      </c>
      <c r="BS107" s="228">
        <v>-52</v>
      </c>
      <c r="BT107" s="229">
        <v>-5.7200000000000001E-2</v>
      </c>
      <c r="BU107" s="230">
        <v>2086209</v>
      </c>
      <c r="BV107" s="230">
        <v>1917031</v>
      </c>
      <c r="BW107" s="230">
        <v>169178</v>
      </c>
      <c r="BX107" s="229">
        <v>8.8300000000000003E-2</v>
      </c>
      <c r="BY107" s="230">
        <v>2175</v>
      </c>
      <c r="BZ107" s="230">
        <v>2210</v>
      </c>
      <c r="CA107" s="228">
        <v>-35</v>
      </c>
      <c r="CB107" s="229">
        <v>-1.5800000000000002E-2</v>
      </c>
      <c r="CC107" s="230">
        <v>2062</v>
      </c>
      <c r="CD107" s="230">
        <v>2106</v>
      </c>
      <c r="CE107" s="228">
        <v>-44</v>
      </c>
      <c r="CF107" s="229">
        <v>-2.1100000000000001E-2</v>
      </c>
      <c r="CG107" s="228">
        <v>104</v>
      </c>
      <c r="CH107" s="228">
        <v>95</v>
      </c>
      <c r="CI107" s="228">
        <v>10</v>
      </c>
      <c r="CJ107" s="229">
        <v>0.1009</v>
      </c>
      <c r="CK107" s="228">
        <v>9</v>
      </c>
      <c r="CL107" s="228">
        <v>9</v>
      </c>
      <c r="CM107" s="228">
        <v>0</v>
      </c>
      <c r="CN107" s="229">
        <v>1.11E-2</v>
      </c>
      <c r="CO107" s="228">
        <v>745</v>
      </c>
      <c r="CP107" s="228">
        <v>742</v>
      </c>
      <c r="CQ107" s="228">
        <v>3</v>
      </c>
      <c r="CR107" s="229">
        <v>4.3E-3</v>
      </c>
      <c r="CS107" s="228">
        <v>485</v>
      </c>
      <c r="CT107" s="228">
        <v>506</v>
      </c>
      <c r="CU107" s="228">
        <v>-21</v>
      </c>
      <c r="CV107" s="229">
        <v>-4.2099999999999999E-2</v>
      </c>
      <c r="CW107" s="230">
        <v>3405</v>
      </c>
      <c r="CX107" s="230">
        <v>3458</v>
      </c>
      <c r="CY107" s="228">
        <v>-53</v>
      </c>
      <c r="CZ107" s="229">
        <v>-1.5299999999999999E-2</v>
      </c>
      <c r="DA107" s="228">
        <v>27.18</v>
      </c>
      <c r="DB107" s="228">
        <v>28.17</v>
      </c>
      <c r="DC107" s="228">
        <v>-0.99</v>
      </c>
      <c r="DD107" s="228">
        <v>-0.99</v>
      </c>
      <c r="DE107" s="228">
        <v>43</v>
      </c>
      <c r="DF107" s="228">
        <v>43.09</v>
      </c>
      <c r="DG107" s="228">
        <v>-15.82</v>
      </c>
      <c r="DH107" s="228">
        <v>-0.09</v>
      </c>
      <c r="DI107" s="228">
        <v>27.67</v>
      </c>
      <c r="DJ107" s="228">
        <v>28.84</v>
      </c>
      <c r="DK107" s="228">
        <v>-1.17</v>
      </c>
      <c r="DL107" s="228">
        <v>-1.17</v>
      </c>
      <c r="DM107" s="228">
        <v>26.44</v>
      </c>
      <c r="DN107" s="228">
        <v>27.05</v>
      </c>
      <c r="DO107" s="228">
        <v>-0.61</v>
      </c>
      <c r="DP107" s="228">
        <v>-0.61</v>
      </c>
      <c r="DQ107" s="228">
        <v>0.65</v>
      </c>
      <c r="DR107" s="228">
        <v>0.68</v>
      </c>
      <c r="DS107" s="228">
        <v>-0.03</v>
      </c>
      <c r="DT107" s="229">
        <v>-4.41E-2</v>
      </c>
      <c r="DU107" s="228">
        <v>500</v>
      </c>
      <c r="DV107" s="228">
        <v>450</v>
      </c>
      <c r="DW107" s="228">
        <v>0.65</v>
      </c>
      <c r="DX107" s="228">
        <v>0.6</v>
      </c>
      <c r="DY107" s="228">
        <v>0.05</v>
      </c>
      <c r="DZ107" s="229">
        <v>8.3299999999999999E-2</v>
      </c>
      <c r="EA107" s="229">
        <v>5.1799999999999999E-2</v>
      </c>
      <c r="EB107" s="230">
        <v>2182000</v>
      </c>
      <c r="EC107" s="229">
        <v>6.1999999999999998E-3</v>
      </c>
      <c r="ED107" s="229">
        <v>5.1799999999999999E-2</v>
      </c>
      <c r="EE107" s="228">
        <v>3.06</v>
      </c>
      <c r="EF107" s="229">
        <v>6.4999999999999997E-3</v>
      </c>
      <c r="EG107" s="230">
        <v>1169591</v>
      </c>
      <c r="EH107" s="230">
        <v>871885</v>
      </c>
      <c r="EI107" s="229">
        <v>0.34150000000000003</v>
      </c>
      <c r="EJ107" s="229">
        <v>0.56059999999999999</v>
      </c>
      <c r="EK107" s="228">
        <v>436.38</v>
      </c>
      <c r="EL107" s="228">
        <v>265.52999999999997</v>
      </c>
      <c r="EM107" s="228">
        <v>161.52000000000001</v>
      </c>
      <c r="EN107" s="228">
        <v>74.55</v>
      </c>
      <c r="EO107" s="228">
        <v>863.43</v>
      </c>
      <c r="EP107" s="228">
        <v>930.36</v>
      </c>
      <c r="EQ107" s="228">
        <v>-66.930000000000007</v>
      </c>
      <c r="ER107" s="229">
        <v>-7.1900000000000006E-2</v>
      </c>
      <c r="ES107" s="228">
        <v>796.51</v>
      </c>
      <c r="ET107" s="228">
        <v>491.82</v>
      </c>
      <c r="EU107" s="231">
        <v>2175.4899999999998</v>
      </c>
      <c r="EV107" s="231">
        <v>80203755</v>
      </c>
      <c r="EW107" s="231">
        <v>3463.83</v>
      </c>
      <c r="EX107" s="231">
        <v>3534.21</v>
      </c>
      <c r="EY107" s="228">
        <v>-70.38</v>
      </c>
      <c r="EZ107" s="229">
        <v>-1.9900000000000001E-2</v>
      </c>
      <c r="FA107" s="229">
        <v>0.89890000000000003</v>
      </c>
      <c r="FB107" s="227" t="s">
        <v>568</v>
      </c>
      <c r="FC107">
        <f t="shared" si="1"/>
        <v>113</v>
      </c>
    </row>
    <row r="108" spans="1:159" ht="17.25" thickBot="1" x14ac:dyDescent="0.3">
      <c r="A108" s="226">
        <v>46009</v>
      </c>
      <c r="B108" s="227" t="s">
        <v>227</v>
      </c>
      <c r="C108" s="227" t="s">
        <v>244</v>
      </c>
      <c r="D108" s="228">
        <v>675</v>
      </c>
      <c r="E108" s="228">
        <v>12</v>
      </c>
      <c r="F108" s="231">
        <v>1084</v>
      </c>
      <c r="G108" s="231">
        <v>1083.2</v>
      </c>
      <c r="H108" s="228">
        <v>0.8</v>
      </c>
      <c r="I108" s="229">
        <v>6.9999999999999999E-4</v>
      </c>
      <c r="J108" s="231">
        <v>1082.2</v>
      </c>
      <c r="K108" s="231">
        <v>1079.3</v>
      </c>
      <c r="L108" s="228">
        <v>2.9</v>
      </c>
      <c r="M108" s="229">
        <v>2.7000000000000001E-3</v>
      </c>
      <c r="N108" s="231">
        <v>1084</v>
      </c>
      <c r="O108" s="231">
        <v>1083.2</v>
      </c>
      <c r="P108" s="228">
        <v>0.8</v>
      </c>
      <c r="Q108" s="229">
        <v>6.9999999999999999E-4</v>
      </c>
      <c r="R108" s="231">
        <v>1091.3</v>
      </c>
      <c r="S108" s="231">
        <v>1089.0999999999999</v>
      </c>
      <c r="T108" s="228">
        <v>2.2000000000000002</v>
      </c>
      <c r="U108" s="229">
        <v>2E-3</v>
      </c>
      <c r="V108" s="231">
        <v>1096.5</v>
      </c>
      <c r="W108" s="231">
        <v>1095.7</v>
      </c>
      <c r="X108" s="228">
        <v>0.8</v>
      </c>
      <c r="Y108" s="229">
        <v>6.9999999999999999E-4</v>
      </c>
      <c r="Z108" s="228">
        <v>1.8</v>
      </c>
      <c r="AA108" s="228">
        <v>3.9</v>
      </c>
      <c r="AB108" s="228">
        <v>-2.1</v>
      </c>
      <c r="AC108" s="229">
        <v>1.6999999999999999E-3</v>
      </c>
      <c r="AD108" s="228">
        <v>1.8</v>
      </c>
      <c r="AE108" s="228">
        <v>3.9</v>
      </c>
      <c r="AF108" s="228">
        <v>-2.1</v>
      </c>
      <c r="AG108" s="229">
        <v>1.6999999999999999E-3</v>
      </c>
      <c r="AH108" s="228">
        <v>9.1</v>
      </c>
      <c r="AI108" s="228">
        <v>9.8000000000000007</v>
      </c>
      <c r="AJ108" s="228">
        <v>-0.7</v>
      </c>
      <c r="AK108" s="229">
        <v>8.3999999999999995E-3</v>
      </c>
      <c r="AL108" s="228">
        <v>14.3</v>
      </c>
      <c r="AM108" s="228">
        <v>16.399999999999999</v>
      </c>
      <c r="AN108" s="228">
        <v>-2.1</v>
      </c>
      <c r="AO108" s="229">
        <v>1.32E-2</v>
      </c>
      <c r="AP108" s="231">
        <v>1084.8599999999999</v>
      </c>
      <c r="AQ108" s="231">
        <v>1091.8499999999999</v>
      </c>
      <c r="AR108" s="228">
        <v>0</v>
      </c>
      <c r="AS108" s="228">
        <v>547</v>
      </c>
      <c r="AT108" s="228">
        <v>367</v>
      </c>
      <c r="AU108" s="228">
        <v>180</v>
      </c>
      <c r="AV108" s="229">
        <v>0.49149999999999999</v>
      </c>
      <c r="AW108" s="228">
        <v>403</v>
      </c>
      <c r="AX108" s="228">
        <v>305</v>
      </c>
      <c r="AY108" s="228">
        <v>98</v>
      </c>
      <c r="AZ108" s="229">
        <v>0.32</v>
      </c>
      <c r="BA108" s="228">
        <v>142</v>
      </c>
      <c r="BB108" s="228">
        <v>61</v>
      </c>
      <c r="BC108" s="228">
        <v>82</v>
      </c>
      <c r="BD108" s="229">
        <v>1.3458000000000001</v>
      </c>
      <c r="BE108" s="228">
        <v>2</v>
      </c>
      <c r="BF108" s="228">
        <v>1</v>
      </c>
      <c r="BG108" s="228">
        <v>1</v>
      </c>
      <c r="BH108" s="229">
        <v>0.875</v>
      </c>
      <c r="BI108" s="230">
        <v>1807</v>
      </c>
      <c r="BJ108" s="230">
        <v>1497</v>
      </c>
      <c r="BK108" s="228">
        <v>310</v>
      </c>
      <c r="BL108" s="229">
        <v>0.2074</v>
      </c>
      <c r="BM108" s="228">
        <v>729</v>
      </c>
      <c r="BN108" s="228">
        <v>557</v>
      </c>
      <c r="BO108" s="228">
        <v>172</v>
      </c>
      <c r="BP108" s="229">
        <v>0.30809999999999998</v>
      </c>
      <c r="BQ108" s="230">
        <v>3083</v>
      </c>
      <c r="BR108" s="230">
        <v>2421</v>
      </c>
      <c r="BS108" s="228">
        <v>662</v>
      </c>
      <c r="BT108" s="229">
        <v>0.27360000000000001</v>
      </c>
      <c r="BU108" s="230">
        <v>1372660</v>
      </c>
      <c r="BV108" s="230">
        <v>1804059</v>
      </c>
      <c r="BW108" s="230">
        <v>-431399</v>
      </c>
      <c r="BX108" s="229">
        <v>-0.23910000000000001</v>
      </c>
      <c r="BY108" s="230">
        <v>5391</v>
      </c>
      <c r="BZ108" s="230">
        <v>5364</v>
      </c>
      <c r="CA108" s="228">
        <v>26</v>
      </c>
      <c r="CB108" s="229">
        <v>4.8999999999999998E-3</v>
      </c>
      <c r="CC108" s="230">
        <v>5020</v>
      </c>
      <c r="CD108" s="230">
        <v>5092</v>
      </c>
      <c r="CE108" s="228">
        <v>-72</v>
      </c>
      <c r="CF108" s="229">
        <v>-1.4200000000000001E-2</v>
      </c>
      <c r="CG108" s="228">
        <v>350</v>
      </c>
      <c r="CH108" s="228">
        <v>253</v>
      </c>
      <c r="CI108" s="228">
        <v>97</v>
      </c>
      <c r="CJ108" s="229">
        <v>0.3836</v>
      </c>
      <c r="CK108" s="228">
        <v>21</v>
      </c>
      <c r="CL108" s="228">
        <v>19</v>
      </c>
      <c r="CM108" s="228">
        <v>1</v>
      </c>
      <c r="CN108" s="229">
        <v>7.22E-2</v>
      </c>
      <c r="CO108" s="230">
        <v>2177</v>
      </c>
      <c r="CP108" s="230">
        <v>2215</v>
      </c>
      <c r="CQ108" s="228">
        <v>-38</v>
      </c>
      <c r="CR108" s="229">
        <v>-1.7100000000000001E-2</v>
      </c>
      <c r="CS108" s="230">
        <v>1142</v>
      </c>
      <c r="CT108" s="230">
        <v>1122</v>
      </c>
      <c r="CU108" s="228">
        <v>20</v>
      </c>
      <c r="CV108" s="229">
        <v>1.7899999999999999E-2</v>
      </c>
      <c r="CW108" s="230">
        <v>8710</v>
      </c>
      <c r="CX108" s="230">
        <v>8702</v>
      </c>
      <c r="CY108" s="228">
        <v>9</v>
      </c>
      <c r="CZ108" s="229">
        <v>1E-3</v>
      </c>
      <c r="DA108" s="228">
        <v>22.03</v>
      </c>
      <c r="DB108" s="228">
        <v>23.24</v>
      </c>
      <c r="DC108" s="228">
        <v>-1.21</v>
      </c>
      <c r="DD108" s="228">
        <v>-1.21</v>
      </c>
      <c r="DE108" s="228">
        <v>29.29</v>
      </c>
      <c r="DF108" s="228">
        <v>29.36</v>
      </c>
      <c r="DG108" s="228">
        <v>-7.26</v>
      </c>
      <c r="DH108" s="228">
        <v>-7.0000000000000007E-2</v>
      </c>
      <c r="DI108" s="228">
        <v>22.51</v>
      </c>
      <c r="DJ108" s="228">
        <v>23.88</v>
      </c>
      <c r="DK108" s="228">
        <v>-1.37</v>
      </c>
      <c r="DL108" s="228">
        <v>-1.37</v>
      </c>
      <c r="DM108" s="228">
        <v>20.83</v>
      </c>
      <c r="DN108" s="228">
        <v>21.54</v>
      </c>
      <c r="DO108" s="228">
        <v>-0.71</v>
      </c>
      <c r="DP108" s="228">
        <v>-0.71</v>
      </c>
      <c r="DQ108" s="228">
        <v>0.52</v>
      </c>
      <c r="DR108" s="228">
        <v>0.51</v>
      </c>
      <c r="DS108" s="228">
        <v>0.01</v>
      </c>
      <c r="DT108" s="229">
        <v>1.9599999999999999E-2</v>
      </c>
      <c r="DU108" s="231">
        <v>1200</v>
      </c>
      <c r="DV108" s="231">
        <v>1000</v>
      </c>
      <c r="DW108" s="228">
        <v>0.4</v>
      </c>
      <c r="DX108" s="228">
        <v>0.37</v>
      </c>
      <c r="DY108" s="228">
        <v>0.03</v>
      </c>
      <c r="DZ108" s="229">
        <v>8.1100000000000005E-2</v>
      </c>
      <c r="EA108" s="229">
        <v>6.8699999999999997E-2</v>
      </c>
      <c r="EB108" s="230">
        <v>2511000</v>
      </c>
      <c r="EC108" s="229">
        <v>6.7000000000000002E-3</v>
      </c>
      <c r="ED108" s="229">
        <v>6.8699999999999997E-2</v>
      </c>
      <c r="EE108" s="228">
        <v>6.99</v>
      </c>
      <c r="EF108" s="229">
        <v>6.4000000000000003E-3</v>
      </c>
      <c r="EG108" s="230">
        <v>720128</v>
      </c>
      <c r="EH108" s="230">
        <v>1052171</v>
      </c>
      <c r="EI108" s="229">
        <v>-0.31559999999999999</v>
      </c>
      <c r="EJ108" s="229">
        <v>0.52459999999999996</v>
      </c>
      <c r="EK108" s="231">
        <v>1897.17</v>
      </c>
      <c r="EL108" s="228">
        <v>727.07</v>
      </c>
      <c r="EM108" s="228">
        <v>548.69000000000005</v>
      </c>
      <c r="EN108" s="228">
        <v>56.39</v>
      </c>
      <c r="EO108" s="231">
        <v>3172.93</v>
      </c>
      <c r="EP108" s="231">
        <v>2504.58</v>
      </c>
      <c r="EQ108" s="228">
        <v>668.35</v>
      </c>
      <c r="ER108" s="229">
        <v>0.26690000000000003</v>
      </c>
      <c r="ES108" s="231">
        <v>2360</v>
      </c>
      <c r="ET108" s="231">
        <v>1142.1099999999999</v>
      </c>
      <c r="EU108" s="231">
        <v>5393.32</v>
      </c>
      <c r="EV108" s="231">
        <v>133166619</v>
      </c>
      <c r="EW108" s="231">
        <v>8895.44</v>
      </c>
      <c r="EX108" s="231">
        <v>8893.24</v>
      </c>
      <c r="EY108" s="228">
        <v>2.2000000000000002</v>
      </c>
      <c r="EZ108" s="229">
        <v>2.0000000000000001E-4</v>
      </c>
      <c r="FA108" s="229">
        <v>0.60340000000000005</v>
      </c>
      <c r="FB108" s="227" t="s">
        <v>555</v>
      </c>
      <c r="FC108">
        <f t="shared" si="1"/>
        <v>371</v>
      </c>
    </row>
    <row r="109" spans="1:159" ht="17.25" thickBot="1" x14ac:dyDescent="0.3">
      <c r="A109" s="226">
        <v>46009</v>
      </c>
      <c r="B109" s="227" t="s">
        <v>168</v>
      </c>
      <c r="C109" s="227" t="s">
        <v>245</v>
      </c>
      <c r="D109" s="228">
        <v>1250</v>
      </c>
      <c r="E109" s="228">
        <v>12</v>
      </c>
      <c r="F109" s="228">
        <v>559</v>
      </c>
      <c r="G109" s="228">
        <v>554.70000000000005</v>
      </c>
      <c r="H109" s="228">
        <v>4.3</v>
      </c>
      <c r="I109" s="229">
        <v>7.7999999999999996E-3</v>
      </c>
      <c r="J109" s="228">
        <v>558.70000000000005</v>
      </c>
      <c r="K109" s="228">
        <v>554.04999999999995</v>
      </c>
      <c r="L109" s="228">
        <v>4.6500000000000004</v>
      </c>
      <c r="M109" s="229">
        <v>8.3999999999999995E-3</v>
      </c>
      <c r="N109" s="228">
        <v>559</v>
      </c>
      <c r="O109" s="228">
        <v>554.70000000000005</v>
      </c>
      <c r="P109" s="228">
        <v>4.3</v>
      </c>
      <c r="Q109" s="229">
        <v>7.7999999999999996E-3</v>
      </c>
      <c r="R109" s="228">
        <v>562.35</v>
      </c>
      <c r="S109" s="228">
        <v>557.79999999999995</v>
      </c>
      <c r="T109" s="228">
        <v>4.55</v>
      </c>
      <c r="U109" s="229">
        <v>8.2000000000000007E-3</v>
      </c>
      <c r="V109" s="228">
        <v>562</v>
      </c>
      <c r="W109" s="228">
        <v>561.15</v>
      </c>
      <c r="X109" s="228">
        <v>0.85</v>
      </c>
      <c r="Y109" s="229">
        <v>1.5E-3</v>
      </c>
      <c r="Z109" s="228">
        <v>0.3</v>
      </c>
      <c r="AA109" s="228">
        <v>0.65</v>
      </c>
      <c r="AB109" s="228">
        <v>-0.35</v>
      </c>
      <c r="AC109" s="229">
        <v>5.0000000000000001E-4</v>
      </c>
      <c r="AD109" s="228">
        <v>0.3</v>
      </c>
      <c r="AE109" s="228">
        <v>0.65</v>
      </c>
      <c r="AF109" s="228">
        <v>-0.35</v>
      </c>
      <c r="AG109" s="229">
        <v>5.0000000000000001E-4</v>
      </c>
      <c r="AH109" s="228">
        <v>3.65</v>
      </c>
      <c r="AI109" s="228">
        <v>3.75</v>
      </c>
      <c r="AJ109" s="228">
        <v>-0.1</v>
      </c>
      <c r="AK109" s="229">
        <v>6.4999999999999997E-3</v>
      </c>
      <c r="AL109" s="228">
        <v>3.3</v>
      </c>
      <c r="AM109" s="228">
        <v>7.1</v>
      </c>
      <c r="AN109" s="228">
        <v>-3.8</v>
      </c>
      <c r="AO109" s="229">
        <v>5.8999999999999999E-3</v>
      </c>
      <c r="AP109" s="228">
        <v>558.22</v>
      </c>
      <c r="AQ109" s="228">
        <v>561.45000000000005</v>
      </c>
      <c r="AR109" s="228">
        <v>0</v>
      </c>
      <c r="AS109" s="228">
        <v>205</v>
      </c>
      <c r="AT109" s="228">
        <v>276</v>
      </c>
      <c r="AU109" s="228">
        <v>-71</v>
      </c>
      <c r="AV109" s="229">
        <v>-0.25769999999999998</v>
      </c>
      <c r="AW109" s="228">
        <v>168</v>
      </c>
      <c r="AX109" s="228">
        <v>214</v>
      </c>
      <c r="AY109" s="228">
        <v>-47</v>
      </c>
      <c r="AZ109" s="229">
        <v>-0.2177</v>
      </c>
      <c r="BA109" s="228">
        <v>35</v>
      </c>
      <c r="BB109" s="228">
        <v>55</v>
      </c>
      <c r="BC109" s="228">
        <v>-20</v>
      </c>
      <c r="BD109" s="229">
        <v>-0.36720000000000003</v>
      </c>
      <c r="BE109" s="228">
        <v>2</v>
      </c>
      <c r="BF109" s="228">
        <v>6</v>
      </c>
      <c r="BG109" s="228">
        <v>-4</v>
      </c>
      <c r="BH109" s="229">
        <v>-0.67820000000000003</v>
      </c>
      <c r="BI109" s="228">
        <v>557</v>
      </c>
      <c r="BJ109" s="228">
        <v>758</v>
      </c>
      <c r="BK109" s="228">
        <v>-202</v>
      </c>
      <c r="BL109" s="229">
        <v>-0.26579999999999998</v>
      </c>
      <c r="BM109" s="228">
        <v>304</v>
      </c>
      <c r="BN109" s="228">
        <v>479</v>
      </c>
      <c r="BO109" s="228">
        <v>-175</v>
      </c>
      <c r="BP109" s="229">
        <v>-0.3659</v>
      </c>
      <c r="BQ109" s="230">
        <v>1065</v>
      </c>
      <c r="BR109" s="230">
        <v>1513</v>
      </c>
      <c r="BS109" s="228">
        <v>-448</v>
      </c>
      <c r="BT109" s="229">
        <v>-0.29599999999999999</v>
      </c>
      <c r="BU109" s="230">
        <v>1273717</v>
      </c>
      <c r="BV109" s="230">
        <v>1592150</v>
      </c>
      <c r="BW109" s="230">
        <v>-318433</v>
      </c>
      <c r="BX109" s="229">
        <v>-0.2</v>
      </c>
      <c r="BY109" s="230">
        <v>1240</v>
      </c>
      <c r="BZ109" s="230">
        <v>1242</v>
      </c>
      <c r="CA109" s="228">
        <v>-2</v>
      </c>
      <c r="CB109" s="229">
        <v>-1.9E-3</v>
      </c>
      <c r="CC109" s="230">
        <v>1092</v>
      </c>
      <c r="CD109" s="230">
        <v>1103</v>
      </c>
      <c r="CE109" s="228">
        <v>-11</v>
      </c>
      <c r="CF109" s="229">
        <v>-1.01E-2</v>
      </c>
      <c r="CG109" s="228">
        <v>134</v>
      </c>
      <c r="CH109" s="228">
        <v>126</v>
      </c>
      <c r="CI109" s="228">
        <v>8</v>
      </c>
      <c r="CJ109" s="229">
        <v>6.4899999999999999E-2</v>
      </c>
      <c r="CK109" s="228">
        <v>14</v>
      </c>
      <c r="CL109" s="228">
        <v>13</v>
      </c>
      <c r="CM109" s="228">
        <v>1</v>
      </c>
      <c r="CN109" s="229">
        <v>4.8099999999999997E-2</v>
      </c>
      <c r="CO109" s="228">
        <v>776</v>
      </c>
      <c r="CP109" s="228">
        <v>812</v>
      </c>
      <c r="CQ109" s="228">
        <v>-36</v>
      </c>
      <c r="CR109" s="229">
        <v>-4.4299999999999999E-2</v>
      </c>
      <c r="CS109" s="228">
        <v>465</v>
      </c>
      <c r="CT109" s="228">
        <v>456</v>
      </c>
      <c r="CU109" s="228">
        <v>10</v>
      </c>
      <c r="CV109" s="229">
        <v>2.1299999999999999E-2</v>
      </c>
      <c r="CW109" s="230">
        <v>2481</v>
      </c>
      <c r="CX109" s="230">
        <v>2510</v>
      </c>
      <c r="CY109" s="228">
        <v>-29</v>
      </c>
      <c r="CZ109" s="229">
        <v>-1.14E-2</v>
      </c>
      <c r="DA109" s="228">
        <v>24.78</v>
      </c>
      <c r="DB109" s="228">
        <v>26.83</v>
      </c>
      <c r="DC109" s="228">
        <v>-2.0499999999999998</v>
      </c>
      <c r="DD109" s="228">
        <v>-2.0499999999999998</v>
      </c>
      <c r="DE109" s="228">
        <v>33.76</v>
      </c>
      <c r="DF109" s="228">
        <v>33.82</v>
      </c>
      <c r="DG109" s="228">
        <v>-8.98</v>
      </c>
      <c r="DH109" s="228">
        <v>-0.06</v>
      </c>
      <c r="DI109" s="228">
        <v>25.13</v>
      </c>
      <c r="DJ109" s="228">
        <v>27.24</v>
      </c>
      <c r="DK109" s="228">
        <v>-2.11</v>
      </c>
      <c r="DL109" s="228">
        <v>-2.11</v>
      </c>
      <c r="DM109" s="228">
        <v>24.14</v>
      </c>
      <c r="DN109" s="228">
        <v>26.18</v>
      </c>
      <c r="DO109" s="228">
        <v>-2.04</v>
      </c>
      <c r="DP109" s="228">
        <v>-2.04</v>
      </c>
      <c r="DQ109" s="228">
        <v>0.6</v>
      </c>
      <c r="DR109" s="228">
        <v>0.56000000000000005</v>
      </c>
      <c r="DS109" s="228">
        <v>0.04</v>
      </c>
      <c r="DT109" s="229">
        <v>7.1400000000000005E-2</v>
      </c>
      <c r="DU109" s="228">
        <v>600</v>
      </c>
      <c r="DV109" s="228">
        <v>550</v>
      </c>
      <c r="DW109" s="228">
        <v>0.55000000000000004</v>
      </c>
      <c r="DX109" s="228">
        <v>0.63</v>
      </c>
      <c r="DY109" s="228">
        <v>-0.08</v>
      </c>
      <c r="DZ109" s="229">
        <v>-0.127</v>
      </c>
      <c r="EA109" s="229">
        <v>0.1192</v>
      </c>
      <c r="EB109" s="230">
        <v>2487500</v>
      </c>
      <c r="EC109" s="229">
        <v>6.0000000000000001E-3</v>
      </c>
      <c r="ED109" s="229">
        <v>0.1192</v>
      </c>
      <c r="EE109" s="228">
        <v>3.23</v>
      </c>
      <c r="EF109" s="229">
        <v>5.7999999999999996E-3</v>
      </c>
      <c r="EG109" s="230">
        <v>604747</v>
      </c>
      <c r="EH109" s="230">
        <v>688380</v>
      </c>
      <c r="EI109" s="229">
        <v>-0.1215</v>
      </c>
      <c r="EJ109" s="229">
        <v>0.4748</v>
      </c>
      <c r="EK109" s="228">
        <v>583.86</v>
      </c>
      <c r="EL109" s="228">
        <v>303.69</v>
      </c>
      <c r="EM109" s="228">
        <v>204.46</v>
      </c>
      <c r="EN109" s="228">
        <v>50.08</v>
      </c>
      <c r="EO109" s="231">
        <v>1092.01</v>
      </c>
      <c r="EP109" s="231">
        <v>1549.19</v>
      </c>
      <c r="EQ109" s="228">
        <v>-457.18</v>
      </c>
      <c r="ER109" s="229">
        <v>-0.29509999999999997</v>
      </c>
      <c r="ES109" s="228">
        <v>841.16</v>
      </c>
      <c r="ET109" s="228">
        <v>467.06</v>
      </c>
      <c r="EU109" s="231">
        <v>1240.95</v>
      </c>
      <c r="EV109" s="231">
        <v>48884739</v>
      </c>
      <c r="EW109" s="231">
        <v>2549.1799999999998</v>
      </c>
      <c r="EX109" s="231">
        <v>2570.35</v>
      </c>
      <c r="EY109" s="228">
        <v>-21.17</v>
      </c>
      <c r="EZ109" s="229">
        <v>-8.2000000000000007E-3</v>
      </c>
      <c r="FA109" s="229">
        <v>0.90800000000000003</v>
      </c>
      <c r="FB109" s="227" t="s">
        <v>556</v>
      </c>
      <c r="FC109">
        <f t="shared" si="1"/>
        <v>148</v>
      </c>
    </row>
    <row r="110" spans="1:159" ht="17.25" thickBot="1" x14ac:dyDescent="0.3">
      <c r="A110" s="226">
        <v>46009</v>
      </c>
      <c r="B110" s="227" t="s">
        <v>168</v>
      </c>
      <c r="C110" s="227" t="s">
        <v>582</v>
      </c>
      <c r="D110" s="228">
        <v>1175</v>
      </c>
      <c r="E110" s="228">
        <v>12</v>
      </c>
      <c r="F110" s="228">
        <v>471.9</v>
      </c>
      <c r="G110" s="228">
        <v>475.3</v>
      </c>
      <c r="H110" s="228">
        <v>-3.4</v>
      </c>
      <c r="I110" s="229">
        <v>-7.1999999999999998E-3</v>
      </c>
      <c r="J110" s="228">
        <v>470.85</v>
      </c>
      <c r="K110" s="228">
        <v>474.85</v>
      </c>
      <c r="L110" s="228">
        <v>-4</v>
      </c>
      <c r="M110" s="229">
        <v>-8.3999999999999995E-3</v>
      </c>
      <c r="N110" s="228">
        <v>471.9</v>
      </c>
      <c r="O110" s="228">
        <v>475.3</v>
      </c>
      <c r="P110" s="228">
        <v>-3.4</v>
      </c>
      <c r="Q110" s="229">
        <v>-7.1999999999999998E-3</v>
      </c>
      <c r="R110" s="228">
        <v>474.95</v>
      </c>
      <c r="S110" s="228">
        <v>478.65</v>
      </c>
      <c r="T110" s="228">
        <v>-3.7</v>
      </c>
      <c r="U110" s="229">
        <v>-7.7000000000000002E-3</v>
      </c>
      <c r="V110" s="228">
        <v>477.35</v>
      </c>
      <c r="W110" s="228">
        <v>481.05</v>
      </c>
      <c r="X110" s="228">
        <v>-3.7</v>
      </c>
      <c r="Y110" s="229">
        <v>-7.7000000000000002E-3</v>
      </c>
      <c r="Z110" s="228">
        <v>1.05</v>
      </c>
      <c r="AA110" s="228">
        <v>0.45</v>
      </c>
      <c r="AB110" s="228">
        <v>0.6</v>
      </c>
      <c r="AC110" s="229">
        <v>2.2000000000000001E-3</v>
      </c>
      <c r="AD110" s="228">
        <v>1.05</v>
      </c>
      <c r="AE110" s="228">
        <v>0.45</v>
      </c>
      <c r="AF110" s="228">
        <v>0.6</v>
      </c>
      <c r="AG110" s="229">
        <v>2.2000000000000001E-3</v>
      </c>
      <c r="AH110" s="228">
        <v>4.0999999999999996</v>
      </c>
      <c r="AI110" s="228">
        <v>3.8</v>
      </c>
      <c r="AJ110" s="228">
        <v>0.3</v>
      </c>
      <c r="AK110" s="229">
        <v>8.6999999999999994E-3</v>
      </c>
      <c r="AL110" s="228">
        <v>6.5</v>
      </c>
      <c r="AM110" s="228">
        <v>6.2</v>
      </c>
      <c r="AN110" s="228">
        <v>0.3</v>
      </c>
      <c r="AO110" s="229">
        <v>1.38E-2</v>
      </c>
      <c r="AP110" s="228">
        <v>471.47</v>
      </c>
      <c r="AQ110" s="228">
        <v>474.19</v>
      </c>
      <c r="AR110" s="228">
        <v>0</v>
      </c>
      <c r="AS110" s="228">
        <v>83</v>
      </c>
      <c r="AT110" s="228">
        <v>188</v>
      </c>
      <c r="AU110" s="228">
        <v>-105</v>
      </c>
      <c r="AV110" s="229">
        <v>-0.56079999999999997</v>
      </c>
      <c r="AW110" s="228">
        <v>68</v>
      </c>
      <c r="AX110" s="228">
        <v>161</v>
      </c>
      <c r="AY110" s="228">
        <v>-93</v>
      </c>
      <c r="AZ110" s="229">
        <v>-0.57650000000000001</v>
      </c>
      <c r="BA110" s="228">
        <v>13</v>
      </c>
      <c r="BB110" s="228">
        <v>24</v>
      </c>
      <c r="BC110" s="228">
        <v>-11</v>
      </c>
      <c r="BD110" s="229">
        <v>-0.45979999999999999</v>
      </c>
      <c r="BE110" s="228">
        <v>1</v>
      </c>
      <c r="BF110" s="228">
        <v>3</v>
      </c>
      <c r="BG110" s="228">
        <v>-1</v>
      </c>
      <c r="BH110" s="229">
        <v>-0.52080000000000004</v>
      </c>
      <c r="BI110" s="228">
        <v>411</v>
      </c>
      <c r="BJ110" s="228">
        <v>472</v>
      </c>
      <c r="BK110" s="228">
        <v>-60</v>
      </c>
      <c r="BL110" s="229">
        <v>-0.1278</v>
      </c>
      <c r="BM110" s="228">
        <v>125</v>
      </c>
      <c r="BN110" s="228">
        <v>258</v>
      </c>
      <c r="BO110" s="228">
        <v>-133</v>
      </c>
      <c r="BP110" s="229">
        <v>-0.5151</v>
      </c>
      <c r="BQ110" s="228">
        <v>619</v>
      </c>
      <c r="BR110" s="228">
        <v>918</v>
      </c>
      <c r="BS110" s="228">
        <v>-299</v>
      </c>
      <c r="BT110" s="229">
        <v>-0.32540000000000002</v>
      </c>
      <c r="BU110" s="230">
        <v>2491153</v>
      </c>
      <c r="BV110" s="230">
        <v>2786083</v>
      </c>
      <c r="BW110" s="230">
        <v>-294930</v>
      </c>
      <c r="BX110" s="229">
        <v>-0.10589999999999999</v>
      </c>
      <c r="BY110" s="230">
        <v>1608</v>
      </c>
      <c r="BZ110" s="230">
        <v>1604</v>
      </c>
      <c r="CA110" s="228">
        <v>4</v>
      </c>
      <c r="CB110" s="229">
        <v>2.7000000000000001E-3</v>
      </c>
      <c r="CC110" s="230">
        <v>1539</v>
      </c>
      <c r="CD110" s="230">
        <v>1537</v>
      </c>
      <c r="CE110" s="228">
        <v>2</v>
      </c>
      <c r="CF110" s="229">
        <v>1.1000000000000001E-3</v>
      </c>
      <c r="CG110" s="228">
        <v>61</v>
      </c>
      <c r="CH110" s="228">
        <v>59</v>
      </c>
      <c r="CI110" s="228">
        <v>2</v>
      </c>
      <c r="CJ110" s="229">
        <v>3.6700000000000003E-2</v>
      </c>
      <c r="CK110" s="228">
        <v>8</v>
      </c>
      <c r="CL110" s="228">
        <v>8</v>
      </c>
      <c r="CM110" s="228">
        <v>0</v>
      </c>
      <c r="CN110" s="229">
        <v>6.5199999999999994E-2</v>
      </c>
      <c r="CO110" s="228">
        <v>556</v>
      </c>
      <c r="CP110" s="228">
        <v>542</v>
      </c>
      <c r="CQ110" s="228">
        <v>15</v>
      </c>
      <c r="CR110" s="229">
        <v>2.7E-2</v>
      </c>
      <c r="CS110" s="228">
        <v>304</v>
      </c>
      <c r="CT110" s="228">
        <v>298</v>
      </c>
      <c r="CU110" s="228">
        <v>6</v>
      </c>
      <c r="CV110" s="229">
        <v>2.0799999999999999E-2</v>
      </c>
      <c r="CW110" s="230">
        <v>2469</v>
      </c>
      <c r="CX110" s="230">
        <v>2443</v>
      </c>
      <c r="CY110" s="228">
        <v>25</v>
      </c>
      <c r="CZ110" s="229">
        <v>1.03E-2</v>
      </c>
      <c r="DA110" s="228">
        <v>28.04</v>
      </c>
      <c r="DB110" s="228">
        <v>30.15</v>
      </c>
      <c r="DC110" s="228">
        <v>-2.11</v>
      </c>
      <c r="DD110" s="228">
        <v>-2.11</v>
      </c>
      <c r="DE110" s="228">
        <v>48.02</v>
      </c>
      <c r="DF110" s="228">
        <v>48.12</v>
      </c>
      <c r="DG110" s="228">
        <v>-19.98</v>
      </c>
      <c r="DH110" s="228">
        <v>-0.1</v>
      </c>
      <c r="DI110" s="228">
        <v>28.42</v>
      </c>
      <c r="DJ110" s="228">
        <v>30.81</v>
      </c>
      <c r="DK110" s="228">
        <v>-2.39</v>
      </c>
      <c r="DL110" s="228">
        <v>-2.39</v>
      </c>
      <c r="DM110" s="228">
        <v>26.8</v>
      </c>
      <c r="DN110" s="228">
        <v>28.94</v>
      </c>
      <c r="DO110" s="228">
        <v>-2.14</v>
      </c>
      <c r="DP110" s="228">
        <v>-2.14</v>
      </c>
      <c r="DQ110" s="228">
        <v>0.55000000000000004</v>
      </c>
      <c r="DR110" s="228">
        <v>0.55000000000000004</v>
      </c>
      <c r="DS110" s="228">
        <v>0</v>
      </c>
      <c r="DT110" s="229">
        <v>0</v>
      </c>
      <c r="DU110" s="228">
        <v>500</v>
      </c>
      <c r="DV110" s="228">
        <v>470</v>
      </c>
      <c r="DW110" s="228">
        <v>0.3</v>
      </c>
      <c r="DX110" s="228">
        <v>0.55000000000000004</v>
      </c>
      <c r="DY110" s="228">
        <v>-0.25</v>
      </c>
      <c r="DZ110" s="229">
        <v>-0.45450000000000002</v>
      </c>
      <c r="EA110" s="229">
        <v>4.3099999999999999E-2</v>
      </c>
      <c r="EB110" s="230">
        <v>1412350</v>
      </c>
      <c r="EC110" s="229">
        <v>6.4999999999999997E-3</v>
      </c>
      <c r="ED110" s="229">
        <v>4.3099999999999999E-2</v>
      </c>
      <c r="EE110" s="228">
        <v>2.72</v>
      </c>
      <c r="EF110" s="229">
        <v>5.7999999999999996E-3</v>
      </c>
      <c r="EG110" s="230">
        <v>1210633</v>
      </c>
      <c r="EH110" s="230">
        <v>1216852</v>
      </c>
      <c r="EI110" s="229">
        <v>-5.1000000000000004E-3</v>
      </c>
      <c r="EJ110" s="229">
        <v>0.48599999999999999</v>
      </c>
      <c r="EK110" s="228">
        <v>432.02</v>
      </c>
      <c r="EL110" s="228">
        <v>124.84</v>
      </c>
      <c r="EM110" s="228">
        <v>82.58</v>
      </c>
      <c r="EN110" s="228">
        <v>25.63</v>
      </c>
      <c r="EO110" s="228">
        <v>639.42999999999995</v>
      </c>
      <c r="EP110" s="228">
        <v>945.43</v>
      </c>
      <c r="EQ110" s="228">
        <v>-306</v>
      </c>
      <c r="ER110" s="229">
        <v>-0.32369999999999999</v>
      </c>
      <c r="ES110" s="228">
        <v>600.39</v>
      </c>
      <c r="ET110" s="228">
        <v>301.05</v>
      </c>
      <c r="EU110" s="231">
        <v>1608.54</v>
      </c>
      <c r="EV110" s="231">
        <v>57552009</v>
      </c>
      <c r="EW110" s="231">
        <v>2509.98</v>
      </c>
      <c r="EX110" s="231">
        <v>2496.96</v>
      </c>
      <c r="EY110" s="228">
        <v>13.02</v>
      </c>
      <c r="EZ110" s="229">
        <v>5.1999999999999998E-3</v>
      </c>
      <c r="FA110" s="229">
        <v>0.90900000000000003</v>
      </c>
      <c r="FB110" s="227" t="s">
        <v>567</v>
      </c>
      <c r="FC110">
        <f t="shared" si="1"/>
        <v>69</v>
      </c>
    </row>
    <row r="111" spans="1:159" ht="17.25" thickBot="1" x14ac:dyDescent="0.3">
      <c r="A111" s="226">
        <v>46009</v>
      </c>
      <c r="B111" s="227" t="s">
        <v>184</v>
      </c>
      <c r="C111" s="227" t="s">
        <v>677</v>
      </c>
      <c r="D111" s="228">
        <v>100</v>
      </c>
      <c r="E111" s="228">
        <v>12</v>
      </c>
      <c r="F111" s="231">
        <v>4048</v>
      </c>
      <c r="G111" s="231">
        <v>4098.5</v>
      </c>
      <c r="H111" s="228">
        <v>-50.5</v>
      </c>
      <c r="I111" s="229">
        <v>-1.23E-2</v>
      </c>
      <c r="J111" s="231">
        <v>4046.5</v>
      </c>
      <c r="K111" s="231">
        <v>4093.5</v>
      </c>
      <c r="L111" s="228">
        <v>-47</v>
      </c>
      <c r="M111" s="229">
        <v>-1.15E-2</v>
      </c>
      <c r="N111" s="231">
        <v>4048</v>
      </c>
      <c r="O111" s="231">
        <v>4098.5</v>
      </c>
      <c r="P111" s="228">
        <v>-50.5</v>
      </c>
      <c r="Q111" s="229">
        <v>-1.23E-2</v>
      </c>
      <c r="R111" s="231">
        <v>4071</v>
      </c>
      <c r="S111" s="231">
        <v>4114.5</v>
      </c>
      <c r="T111" s="228">
        <v>-43.5</v>
      </c>
      <c r="U111" s="229">
        <v>-1.06E-2</v>
      </c>
      <c r="V111" s="231">
        <v>4092.5</v>
      </c>
      <c r="W111" s="231">
        <v>4145</v>
      </c>
      <c r="X111" s="228">
        <v>-52.5</v>
      </c>
      <c r="Y111" s="229">
        <v>-1.2699999999999999E-2</v>
      </c>
      <c r="Z111" s="228">
        <v>1.5</v>
      </c>
      <c r="AA111" s="228">
        <v>5</v>
      </c>
      <c r="AB111" s="228">
        <v>-3.5</v>
      </c>
      <c r="AC111" s="229">
        <v>4.0000000000000002E-4</v>
      </c>
      <c r="AD111" s="228">
        <v>1.5</v>
      </c>
      <c r="AE111" s="228">
        <v>5</v>
      </c>
      <c r="AF111" s="228">
        <v>-3.5</v>
      </c>
      <c r="AG111" s="229">
        <v>4.0000000000000002E-4</v>
      </c>
      <c r="AH111" s="228">
        <v>24.5</v>
      </c>
      <c r="AI111" s="228">
        <v>21</v>
      </c>
      <c r="AJ111" s="228">
        <v>3.5</v>
      </c>
      <c r="AK111" s="229">
        <v>6.1000000000000004E-3</v>
      </c>
      <c r="AL111" s="228">
        <v>46</v>
      </c>
      <c r="AM111" s="228">
        <v>51.5</v>
      </c>
      <c r="AN111" s="228">
        <v>-5.5</v>
      </c>
      <c r="AO111" s="229">
        <v>1.14E-2</v>
      </c>
      <c r="AP111" s="231">
        <v>4065.59</v>
      </c>
      <c r="AQ111" s="231">
        <v>4085.55</v>
      </c>
      <c r="AR111" s="228">
        <v>0</v>
      </c>
      <c r="AS111" s="228">
        <v>483</v>
      </c>
      <c r="AT111" s="228">
        <v>527</v>
      </c>
      <c r="AU111" s="228">
        <v>-44</v>
      </c>
      <c r="AV111" s="229">
        <v>-8.3799999999999999E-2</v>
      </c>
      <c r="AW111" s="228">
        <v>404</v>
      </c>
      <c r="AX111" s="228">
        <v>451</v>
      </c>
      <c r="AY111" s="228">
        <v>-47</v>
      </c>
      <c r="AZ111" s="229">
        <v>-0.105</v>
      </c>
      <c r="BA111" s="228">
        <v>74</v>
      </c>
      <c r="BB111" s="228">
        <v>71</v>
      </c>
      <c r="BC111" s="228">
        <v>3</v>
      </c>
      <c r="BD111" s="229">
        <v>3.7999999999999999E-2</v>
      </c>
      <c r="BE111" s="228">
        <v>5</v>
      </c>
      <c r="BF111" s="228">
        <v>5</v>
      </c>
      <c r="BG111" s="228">
        <v>0</v>
      </c>
      <c r="BH111" s="229">
        <v>0.1</v>
      </c>
      <c r="BI111" s="230">
        <v>4378</v>
      </c>
      <c r="BJ111" s="230">
        <v>4150</v>
      </c>
      <c r="BK111" s="228">
        <v>228</v>
      </c>
      <c r="BL111" s="229">
        <v>5.4899999999999997E-2</v>
      </c>
      <c r="BM111" s="230">
        <v>2213</v>
      </c>
      <c r="BN111" s="230">
        <v>2060</v>
      </c>
      <c r="BO111" s="228">
        <v>153</v>
      </c>
      <c r="BP111" s="229">
        <v>7.4399999999999994E-2</v>
      </c>
      <c r="BQ111" s="230">
        <v>7075</v>
      </c>
      <c r="BR111" s="230">
        <v>6738</v>
      </c>
      <c r="BS111" s="228">
        <v>337</v>
      </c>
      <c r="BT111" s="229">
        <v>0.05</v>
      </c>
      <c r="BU111" s="230">
        <v>2489012</v>
      </c>
      <c r="BV111" s="230">
        <v>2863234</v>
      </c>
      <c r="BW111" s="230">
        <v>-374222</v>
      </c>
      <c r="BX111" s="229">
        <v>-0.13070000000000001</v>
      </c>
      <c r="BY111" s="230">
        <v>1494</v>
      </c>
      <c r="BZ111" s="230">
        <v>1545</v>
      </c>
      <c r="CA111" s="228">
        <v>-51</v>
      </c>
      <c r="CB111" s="229">
        <v>-3.3099999999999997E-2</v>
      </c>
      <c r="CC111" s="230">
        <v>1258</v>
      </c>
      <c r="CD111" s="230">
        <v>1325</v>
      </c>
      <c r="CE111" s="228">
        <v>-67</v>
      </c>
      <c r="CF111" s="229">
        <v>-5.0700000000000002E-2</v>
      </c>
      <c r="CG111" s="228">
        <v>195</v>
      </c>
      <c r="CH111" s="228">
        <v>181</v>
      </c>
      <c r="CI111" s="228">
        <v>14</v>
      </c>
      <c r="CJ111" s="229">
        <v>7.9399999999999998E-2</v>
      </c>
      <c r="CK111" s="228">
        <v>41</v>
      </c>
      <c r="CL111" s="228">
        <v>40</v>
      </c>
      <c r="CM111" s="228">
        <v>2</v>
      </c>
      <c r="CN111" s="229">
        <v>4.1799999999999997E-2</v>
      </c>
      <c r="CO111" s="230">
        <v>3331</v>
      </c>
      <c r="CP111" s="230">
        <v>3381</v>
      </c>
      <c r="CQ111" s="228">
        <v>-50</v>
      </c>
      <c r="CR111" s="229">
        <v>-1.47E-2</v>
      </c>
      <c r="CS111" s="230">
        <v>1303</v>
      </c>
      <c r="CT111" s="230">
        <v>1349</v>
      </c>
      <c r="CU111" s="228">
        <v>-47</v>
      </c>
      <c r="CV111" s="229">
        <v>-3.4500000000000003E-2</v>
      </c>
      <c r="CW111" s="230">
        <v>6128</v>
      </c>
      <c r="CX111" s="230">
        <v>6276</v>
      </c>
      <c r="CY111" s="228">
        <v>-147</v>
      </c>
      <c r="CZ111" s="229">
        <v>-2.35E-2</v>
      </c>
      <c r="DA111" s="228">
        <v>55.01</v>
      </c>
      <c r="DB111" s="228">
        <v>56.54</v>
      </c>
      <c r="DC111" s="228">
        <v>-1.53</v>
      </c>
      <c r="DD111" s="228">
        <v>-1.53</v>
      </c>
      <c r="DE111" s="228">
        <v>63.04</v>
      </c>
      <c r="DF111" s="228">
        <v>63.17</v>
      </c>
      <c r="DG111" s="228">
        <v>-8.0299999999999994</v>
      </c>
      <c r="DH111" s="228">
        <v>-0.13</v>
      </c>
      <c r="DI111" s="228">
        <v>53.66</v>
      </c>
      <c r="DJ111" s="228">
        <v>54.62</v>
      </c>
      <c r="DK111" s="228">
        <v>-0.96</v>
      </c>
      <c r="DL111" s="228">
        <v>-0.96</v>
      </c>
      <c r="DM111" s="228">
        <v>57.68</v>
      </c>
      <c r="DN111" s="228">
        <v>60.43</v>
      </c>
      <c r="DO111" s="228">
        <v>-2.75</v>
      </c>
      <c r="DP111" s="228">
        <v>-2.75</v>
      </c>
      <c r="DQ111" s="228">
        <v>0.39</v>
      </c>
      <c r="DR111" s="228">
        <v>0.4</v>
      </c>
      <c r="DS111" s="228">
        <v>-0.01</v>
      </c>
      <c r="DT111" s="229">
        <v>-2.5000000000000001E-2</v>
      </c>
      <c r="DU111" s="231">
        <v>5000</v>
      </c>
      <c r="DV111" s="231">
        <v>4000</v>
      </c>
      <c r="DW111" s="228">
        <v>0.51</v>
      </c>
      <c r="DX111" s="228">
        <v>0.5</v>
      </c>
      <c r="DY111" s="228">
        <v>0.01</v>
      </c>
      <c r="DZ111" s="229">
        <v>0.02</v>
      </c>
      <c r="EA111" s="229">
        <v>0.1583</v>
      </c>
      <c r="EB111" s="230">
        <v>544900</v>
      </c>
      <c r="EC111" s="229">
        <v>5.7000000000000002E-3</v>
      </c>
      <c r="ED111" s="229">
        <v>0.1583</v>
      </c>
      <c r="EE111" s="228">
        <v>19.96</v>
      </c>
      <c r="EF111" s="229">
        <v>4.8999999999999998E-3</v>
      </c>
      <c r="EG111" s="230">
        <v>405444</v>
      </c>
      <c r="EH111" s="230">
        <v>520699</v>
      </c>
      <c r="EI111" s="229">
        <v>-0.2213</v>
      </c>
      <c r="EJ111" s="229">
        <v>0.16289999999999999</v>
      </c>
      <c r="EK111" s="231">
        <v>4943.3900000000003</v>
      </c>
      <c r="EL111" s="231">
        <v>2154.4299999999998</v>
      </c>
      <c r="EM111" s="228">
        <v>485.82</v>
      </c>
      <c r="EN111" s="228">
        <v>193.59</v>
      </c>
      <c r="EO111" s="231">
        <v>7583.64</v>
      </c>
      <c r="EP111" s="231">
        <v>7333.15</v>
      </c>
      <c r="EQ111" s="228">
        <v>250.49</v>
      </c>
      <c r="ER111" s="229">
        <v>3.4200000000000001E-2</v>
      </c>
      <c r="ES111" s="231">
        <v>4182.42</v>
      </c>
      <c r="ET111" s="231">
        <v>1406.13</v>
      </c>
      <c r="EU111" s="231">
        <v>1495.76</v>
      </c>
      <c r="EV111" s="231">
        <v>4667784</v>
      </c>
      <c r="EW111" s="231">
        <v>7084.32</v>
      </c>
      <c r="EX111" s="231">
        <v>7296.69</v>
      </c>
      <c r="EY111" s="228">
        <v>-212.37</v>
      </c>
      <c r="EZ111" s="229">
        <v>-2.9100000000000001E-2</v>
      </c>
      <c r="FA111" s="229">
        <v>3.2431999999999999</v>
      </c>
      <c r="FB111" s="227" t="s">
        <v>568</v>
      </c>
      <c r="FC111">
        <f t="shared" si="1"/>
        <v>236</v>
      </c>
    </row>
    <row r="112" spans="1:159" ht="17.25" thickBot="1" x14ac:dyDescent="0.3">
      <c r="A112" s="226">
        <v>46009</v>
      </c>
      <c r="B112" s="227" t="s">
        <v>161</v>
      </c>
      <c r="C112" s="227" t="s">
        <v>610</v>
      </c>
      <c r="D112" s="228">
        <v>175</v>
      </c>
      <c r="E112" s="228">
        <v>12</v>
      </c>
      <c r="F112" s="231">
        <v>4103.5</v>
      </c>
      <c r="G112" s="231">
        <v>4119.8999999999996</v>
      </c>
      <c r="H112" s="228">
        <v>-16.399999999999999</v>
      </c>
      <c r="I112" s="229">
        <v>-4.0000000000000001E-3</v>
      </c>
      <c r="J112" s="231">
        <v>4086.8</v>
      </c>
      <c r="K112" s="231">
        <v>4106.6000000000004</v>
      </c>
      <c r="L112" s="228">
        <v>-19.8</v>
      </c>
      <c r="M112" s="229">
        <v>-4.7999999999999996E-3</v>
      </c>
      <c r="N112" s="231">
        <v>4103.5</v>
      </c>
      <c r="O112" s="231">
        <v>4119.8999999999996</v>
      </c>
      <c r="P112" s="228">
        <v>-16.399999999999999</v>
      </c>
      <c r="Q112" s="229">
        <v>-4.0000000000000001E-3</v>
      </c>
      <c r="R112" s="231">
        <v>4116.6000000000004</v>
      </c>
      <c r="S112" s="231">
        <v>4124</v>
      </c>
      <c r="T112" s="228">
        <v>-7.4</v>
      </c>
      <c r="U112" s="229">
        <v>-1.8E-3</v>
      </c>
      <c r="V112" s="231">
        <v>4181.6000000000004</v>
      </c>
      <c r="W112" s="231">
        <v>4181.6000000000004</v>
      </c>
      <c r="X112" s="228">
        <v>0</v>
      </c>
      <c r="Y112" s="229">
        <v>0</v>
      </c>
      <c r="Z112" s="228">
        <v>16.7</v>
      </c>
      <c r="AA112" s="228">
        <v>13.3</v>
      </c>
      <c r="AB112" s="228">
        <v>3.4</v>
      </c>
      <c r="AC112" s="229">
        <v>4.1000000000000003E-3</v>
      </c>
      <c r="AD112" s="228">
        <v>16.7</v>
      </c>
      <c r="AE112" s="228">
        <v>13.3</v>
      </c>
      <c r="AF112" s="228">
        <v>3.4</v>
      </c>
      <c r="AG112" s="229">
        <v>4.1000000000000003E-3</v>
      </c>
      <c r="AH112" s="228">
        <v>29.8</v>
      </c>
      <c r="AI112" s="228">
        <v>17.399999999999999</v>
      </c>
      <c r="AJ112" s="228">
        <v>12.4</v>
      </c>
      <c r="AK112" s="229">
        <v>7.3000000000000001E-3</v>
      </c>
      <c r="AL112" s="228">
        <v>94.8</v>
      </c>
      <c r="AM112" s="228">
        <v>75</v>
      </c>
      <c r="AN112" s="228">
        <v>19.8</v>
      </c>
      <c r="AO112" s="229">
        <v>2.3199999999999998E-2</v>
      </c>
      <c r="AP112" s="231">
        <v>4085.87</v>
      </c>
      <c r="AQ112" s="231">
        <v>4103.01</v>
      </c>
      <c r="AR112" s="228">
        <v>0</v>
      </c>
      <c r="AS112" s="228">
        <v>119</v>
      </c>
      <c r="AT112" s="228">
        <v>151</v>
      </c>
      <c r="AU112" s="228">
        <v>-32</v>
      </c>
      <c r="AV112" s="229">
        <v>-0.21249999999999999</v>
      </c>
      <c r="AW112" s="228">
        <v>103</v>
      </c>
      <c r="AX112" s="228">
        <v>131</v>
      </c>
      <c r="AY112" s="228">
        <v>-28</v>
      </c>
      <c r="AZ112" s="229">
        <v>-0.21229999999999999</v>
      </c>
      <c r="BA112" s="228">
        <v>16</v>
      </c>
      <c r="BB112" s="228">
        <v>20</v>
      </c>
      <c r="BC112" s="228">
        <v>-4</v>
      </c>
      <c r="BD112" s="229">
        <v>-0.2135</v>
      </c>
      <c r="BE112" s="228">
        <v>0</v>
      </c>
      <c r="BF112" s="228">
        <v>0</v>
      </c>
      <c r="BG112" s="228">
        <v>0</v>
      </c>
      <c r="BH112" s="229">
        <v>0</v>
      </c>
      <c r="BI112" s="228">
        <v>229</v>
      </c>
      <c r="BJ112" s="228">
        <v>289</v>
      </c>
      <c r="BK112" s="228">
        <v>-60</v>
      </c>
      <c r="BL112" s="229">
        <v>-0.20749999999999999</v>
      </c>
      <c r="BM112" s="228">
        <v>207</v>
      </c>
      <c r="BN112" s="228">
        <v>482</v>
      </c>
      <c r="BO112" s="228">
        <v>-275</v>
      </c>
      <c r="BP112" s="229">
        <v>-0.57069999999999999</v>
      </c>
      <c r="BQ112" s="228">
        <v>555</v>
      </c>
      <c r="BR112" s="228">
        <v>922</v>
      </c>
      <c r="BS112" s="228">
        <v>-367</v>
      </c>
      <c r="BT112" s="229">
        <v>-0.39829999999999999</v>
      </c>
      <c r="BU112" s="230">
        <v>139100</v>
      </c>
      <c r="BV112" s="230">
        <v>278857</v>
      </c>
      <c r="BW112" s="230">
        <v>-139757</v>
      </c>
      <c r="BX112" s="229">
        <v>-0.50119999999999998</v>
      </c>
      <c r="BY112" s="228">
        <v>486</v>
      </c>
      <c r="BZ112" s="228">
        <v>475</v>
      </c>
      <c r="CA112" s="228">
        <v>12</v>
      </c>
      <c r="CB112" s="229">
        <v>2.4500000000000001E-2</v>
      </c>
      <c r="CC112" s="228">
        <v>440</v>
      </c>
      <c r="CD112" s="228">
        <v>433</v>
      </c>
      <c r="CE112" s="228">
        <v>7</v>
      </c>
      <c r="CF112" s="229">
        <v>1.66E-2</v>
      </c>
      <c r="CG112" s="228">
        <v>45</v>
      </c>
      <c r="CH112" s="228">
        <v>41</v>
      </c>
      <c r="CI112" s="228">
        <v>4</v>
      </c>
      <c r="CJ112" s="229">
        <v>0.1095</v>
      </c>
      <c r="CK112" s="228">
        <v>1</v>
      </c>
      <c r="CL112" s="228">
        <v>1</v>
      </c>
      <c r="CM112" s="228">
        <v>0</v>
      </c>
      <c r="CN112" s="229">
        <v>0</v>
      </c>
      <c r="CO112" s="228">
        <v>272</v>
      </c>
      <c r="CP112" s="228">
        <v>281</v>
      </c>
      <c r="CQ112" s="228">
        <v>-9</v>
      </c>
      <c r="CR112" s="229">
        <v>-3.2199999999999999E-2</v>
      </c>
      <c r="CS112" s="228">
        <v>189</v>
      </c>
      <c r="CT112" s="228">
        <v>189</v>
      </c>
      <c r="CU112" s="228">
        <v>0</v>
      </c>
      <c r="CV112" s="229">
        <v>8.0000000000000004E-4</v>
      </c>
      <c r="CW112" s="228">
        <v>947</v>
      </c>
      <c r="CX112" s="228">
        <v>944</v>
      </c>
      <c r="CY112" s="228">
        <v>3</v>
      </c>
      <c r="CZ112" s="229">
        <v>2.8999999999999998E-3</v>
      </c>
      <c r="DA112" s="228">
        <v>23.78</v>
      </c>
      <c r="DB112" s="228">
        <v>25.08</v>
      </c>
      <c r="DC112" s="228">
        <v>-1.3</v>
      </c>
      <c r="DD112" s="228">
        <v>-1.3</v>
      </c>
      <c r="DE112" s="228">
        <v>45.59</v>
      </c>
      <c r="DF112" s="228">
        <v>45.7</v>
      </c>
      <c r="DG112" s="228">
        <v>-21.81</v>
      </c>
      <c r="DH112" s="228">
        <v>-0.11</v>
      </c>
      <c r="DI112" s="228">
        <v>23.44</v>
      </c>
      <c r="DJ112" s="228">
        <v>24.68</v>
      </c>
      <c r="DK112" s="228">
        <v>-1.24</v>
      </c>
      <c r="DL112" s="228">
        <v>-1.24</v>
      </c>
      <c r="DM112" s="228">
        <v>24.17</v>
      </c>
      <c r="DN112" s="228">
        <v>25.32</v>
      </c>
      <c r="DO112" s="228">
        <v>-1.1499999999999999</v>
      </c>
      <c r="DP112" s="228">
        <v>-1.1499999999999999</v>
      </c>
      <c r="DQ112" s="228">
        <v>0.7</v>
      </c>
      <c r="DR112" s="228">
        <v>0.67</v>
      </c>
      <c r="DS112" s="228">
        <v>0.03</v>
      </c>
      <c r="DT112" s="229">
        <v>4.48E-2</v>
      </c>
      <c r="DU112" s="231">
        <v>4250</v>
      </c>
      <c r="DV112" s="231">
        <v>3900</v>
      </c>
      <c r="DW112" s="228">
        <v>0.9</v>
      </c>
      <c r="DX112" s="228">
        <v>1.67</v>
      </c>
      <c r="DY112" s="228">
        <v>-0.77</v>
      </c>
      <c r="DZ112" s="229">
        <v>-0.46110000000000001</v>
      </c>
      <c r="EA112" s="229">
        <v>9.4899999999999998E-2</v>
      </c>
      <c r="EB112" s="230">
        <v>101675</v>
      </c>
      <c r="EC112" s="229">
        <v>3.2000000000000002E-3</v>
      </c>
      <c r="ED112" s="229">
        <v>9.4899999999999998E-2</v>
      </c>
      <c r="EE112" s="228">
        <v>17.14</v>
      </c>
      <c r="EF112" s="229">
        <v>4.1999999999999997E-3</v>
      </c>
      <c r="EG112" s="230">
        <v>63872</v>
      </c>
      <c r="EH112" s="230">
        <v>172147</v>
      </c>
      <c r="EI112" s="229">
        <v>-0.629</v>
      </c>
      <c r="EJ112" s="229">
        <v>0.4592</v>
      </c>
      <c r="EK112" s="228">
        <v>238.01</v>
      </c>
      <c r="EL112" s="228">
        <v>204.88</v>
      </c>
      <c r="EM112" s="228">
        <v>118.26</v>
      </c>
      <c r="EN112" s="228">
        <v>19.14</v>
      </c>
      <c r="EO112" s="228">
        <v>561.15</v>
      </c>
      <c r="EP112" s="228">
        <v>928.02</v>
      </c>
      <c r="EQ112" s="228">
        <v>-366.87</v>
      </c>
      <c r="ER112" s="229">
        <v>-0.39529999999999998</v>
      </c>
      <c r="ES112" s="228">
        <v>280.67</v>
      </c>
      <c r="ET112" s="228">
        <v>181.57</v>
      </c>
      <c r="EU112" s="228">
        <v>486.47</v>
      </c>
      <c r="EV112" s="231">
        <v>9313740</v>
      </c>
      <c r="EW112" s="228">
        <v>948.71</v>
      </c>
      <c r="EX112" s="228">
        <v>949.14</v>
      </c>
      <c r="EY112" s="228">
        <v>-0.43</v>
      </c>
      <c r="EZ112" s="229">
        <v>-5.0000000000000001E-4</v>
      </c>
      <c r="FA112" s="229">
        <v>0.24779999999999999</v>
      </c>
      <c r="FB112" s="227" t="s">
        <v>567</v>
      </c>
      <c r="FC112">
        <f t="shared" si="1"/>
        <v>46</v>
      </c>
    </row>
    <row r="113" spans="1:159" ht="17.25" thickBot="1" x14ac:dyDescent="0.3">
      <c r="A113" s="226">
        <v>46009</v>
      </c>
      <c r="B113" s="227" t="s">
        <v>175</v>
      </c>
      <c r="C113" s="227" t="s">
        <v>684</v>
      </c>
      <c r="D113" s="228">
        <v>450</v>
      </c>
      <c r="E113" s="228">
        <v>12</v>
      </c>
      <c r="F113" s="231">
        <v>1073.0999999999999</v>
      </c>
      <c r="G113" s="231">
        <v>1031.4000000000001</v>
      </c>
      <c r="H113" s="228">
        <v>41.7</v>
      </c>
      <c r="I113" s="229">
        <v>4.0399999999999998E-2</v>
      </c>
      <c r="J113" s="231">
        <v>1069</v>
      </c>
      <c r="K113" s="231">
        <v>1031.3</v>
      </c>
      <c r="L113" s="228">
        <v>37.700000000000003</v>
      </c>
      <c r="M113" s="229">
        <v>3.6600000000000001E-2</v>
      </c>
      <c r="N113" s="231">
        <v>1073.0999999999999</v>
      </c>
      <c r="O113" s="231">
        <v>1031.4000000000001</v>
      </c>
      <c r="P113" s="228">
        <v>41.7</v>
      </c>
      <c r="Q113" s="229">
        <v>4.0399999999999998E-2</v>
      </c>
      <c r="R113" s="231">
        <v>1069.5</v>
      </c>
      <c r="S113" s="231">
        <v>1028.3</v>
      </c>
      <c r="T113" s="228">
        <v>41.2</v>
      </c>
      <c r="U113" s="229">
        <v>4.0099999999999997E-2</v>
      </c>
      <c r="V113" s="231">
        <v>1068.5999999999999</v>
      </c>
      <c r="W113" s="231">
        <v>1033.3</v>
      </c>
      <c r="X113" s="228">
        <v>35.299999999999997</v>
      </c>
      <c r="Y113" s="229">
        <v>3.4200000000000001E-2</v>
      </c>
      <c r="Z113" s="228">
        <v>4.0999999999999996</v>
      </c>
      <c r="AA113" s="228">
        <v>0.1</v>
      </c>
      <c r="AB113" s="228">
        <v>4</v>
      </c>
      <c r="AC113" s="229">
        <v>3.8E-3</v>
      </c>
      <c r="AD113" s="228">
        <v>4.0999999999999996</v>
      </c>
      <c r="AE113" s="228">
        <v>0.1</v>
      </c>
      <c r="AF113" s="228">
        <v>4</v>
      </c>
      <c r="AG113" s="229">
        <v>3.8E-3</v>
      </c>
      <c r="AH113" s="228">
        <v>0.5</v>
      </c>
      <c r="AI113" s="228">
        <v>-3</v>
      </c>
      <c r="AJ113" s="228">
        <v>3.5</v>
      </c>
      <c r="AK113" s="229">
        <v>5.0000000000000001E-4</v>
      </c>
      <c r="AL113" s="228">
        <v>-0.4</v>
      </c>
      <c r="AM113" s="228">
        <v>2</v>
      </c>
      <c r="AN113" s="228">
        <v>-2.4</v>
      </c>
      <c r="AO113" s="229">
        <v>-4.0000000000000002E-4</v>
      </c>
      <c r="AP113" s="231">
        <v>1057.72</v>
      </c>
      <c r="AQ113" s="231">
        <v>1054.45</v>
      </c>
      <c r="AR113" s="228">
        <v>0</v>
      </c>
      <c r="AS113" s="228">
        <v>221</v>
      </c>
      <c r="AT113" s="228">
        <v>66</v>
      </c>
      <c r="AU113" s="228">
        <v>155</v>
      </c>
      <c r="AV113" s="229">
        <v>2.3450000000000002</v>
      </c>
      <c r="AW113" s="228">
        <v>192</v>
      </c>
      <c r="AX113" s="228">
        <v>52</v>
      </c>
      <c r="AY113" s="228">
        <v>140</v>
      </c>
      <c r="AZ113" s="229">
        <v>2.6772</v>
      </c>
      <c r="BA113" s="228">
        <v>29</v>
      </c>
      <c r="BB113" s="228">
        <v>14</v>
      </c>
      <c r="BC113" s="228">
        <v>15</v>
      </c>
      <c r="BD113" s="229">
        <v>1.1236999999999999</v>
      </c>
      <c r="BE113" s="228">
        <v>0</v>
      </c>
      <c r="BF113" s="228">
        <v>0</v>
      </c>
      <c r="BG113" s="228">
        <v>0</v>
      </c>
      <c r="BH113" s="229">
        <v>0.42859999999999998</v>
      </c>
      <c r="BI113" s="228">
        <v>586</v>
      </c>
      <c r="BJ113" s="228">
        <v>132</v>
      </c>
      <c r="BK113" s="228">
        <v>454</v>
      </c>
      <c r="BL113" s="229">
        <v>3.4519000000000002</v>
      </c>
      <c r="BM113" s="228">
        <v>216</v>
      </c>
      <c r="BN113" s="228">
        <v>62</v>
      </c>
      <c r="BO113" s="228">
        <v>154</v>
      </c>
      <c r="BP113" s="229">
        <v>2.4754999999999998</v>
      </c>
      <c r="BQ113" s="230">
        <v>1023</v>
      </c>
      <c r="BR113" s="228">
        <v>260</v>
      </c>
      <c r="BS113" s="228">
        <v>764</v>
      </c>
      <c r="BT113" s="229">
        <v>2.9367000000000001</v>
      </c>
      <c r="BU113" s="230">
        <v>1529657</v>
      </c>
      <c r="BV113" s="230">
        <v>460051</v>
      </c>
      <c r="BW113" s="230">
        <v>1069606</v>
      </c>
      <c r="BX113" s="229">
        <v>2.3250000000000002</v>
      </c>
      <c r="BY113" s="228">
        <v>377</v>
      </c>
      <c r="BZ113" s="228">
        <v>395</v>
      </c>
      <c r="CA113" s="228">
        <v>-18</v>
      </c>
      <c r="CB113" s="229">
        <v>-4.53E-2</v>
      </c>
      <c r="CC113" s="228">
        <v>342</v>
      </c>
      <c r="CD113" s="228">
        <v>356</v>
      </c>
      <c r="CE113" s="228">
        <v>-14</v>
      </c>
      <c r="CF113" s="229">
        <v>-4.0500000000000001E-2</v>
      </c>
      <c r="CG113" s="228">
        <v>33</v>
      </c>
      <c r="CH113" s="228">
        <v>37</v>
      </c>
      <c r="CI113" s="228">
        <v>-3</v>
      </c>
      <c r="CJ113" s="229">
        <v>-8.6499999999999994E-2</v>
      </c>
      <c r="CK113" s="228">
        <v>2</v>
      </c>
      <c r="CL113" s="228">
        <v>2</v>
      </c>
      <c r="CM113" s="228">
        <v>0</v>
      </c>
      <c r="CN113" s="229">
        <v>-0.1389</v>
      </c>
      <c r="CO113" s="228">
        <v>269</v>
      </c>
      <c r="CP113" s="228">
        <v>322</v>
      </c>
      <c r="CQ113" s="228">
        <v>-53</v>
      </c>
      <c r="CR113" s="229">
        <v>-0.16350000000000001</v>
      </c>
      <c r="CS113" s="228">
        <v>208</v>
      </c>
      <c r="CT113" s="228">
        <v>206</v>
      </c>
      <c r="CU113" s="228">
        <v>2</v>
      </c>
      <c r="CV113" s="229">
        <v>1.11E-2</v>
      </c>
      <c r="CW113" s="228">
        <v>854</v>
      </c>
      <c r="CX113" s="228">
        <v>922</v>
      </c>
      <c r="CY113" s="228">
        <v>-68</v>
      </c>
      <c r="CZ113" s="229">
        <v>-7.3899999999999993E-2</v>
      </c>
      <c r="DA113" s="228">
        <v>28.29</v>
      </c>
      <c r="DB113" s="228">
        <v>30</v>
      </c>
      <c r="DC113" s="228">
        <v>-1.71</v>
      </c>
      <c r="DD113" s="228">
        <v>-1.71</v>
      </c>
      <c r="DE113" s="228">
        <v>52.94</v>
      </c>
      <c r="DF113" s="228">
        <v>52.8</v>
      </c>
      <c r="DG113" s="228">
        <v>-24.65</v>
      </c>
      <c r="DH113" s="228">
        <v>0.14000000000000001</v>
      </c>
      <c r="DI113" s="228">
        <v>27.76</v>
      </c>
      <c r="DJ113" s="228">
        <v>30.71</v>
      </c>
      <c r="DK113" s="228">
        <v>-2.95</v>
      </c>
      <c r="DL113" s="228">
        <v>-2.95</v>
      </c>
      <c r="DM113" s="228">
        <v>29.73</v>
      </c>
      <c r="DN113" s="228">
        <v>28.49</v>
      </c>
      <c r="DO113" s="228">
        <v>1.24</v>
      </c>
      <c r="DP113" s="228">
        <v>1.24</v>
      </c>
      <c r="DQ113" s="228">
        <v>0.77</v>
      </c>
      <c r="DR113" s="228">
        <v>0.64</v>
      </c>
      <c r="DS113" s="228">
        <v>0.13</v>
      </c>
      <c r="DT113" s="229">
        <v>0.2031</v>
      </c>
      <c r="DU113" s="231">
        <v>1100</v>
      </c>
      <c r="DV113" s="231">
        <v>1000</v>
      </c>
      <c r="DW113" s="228">
        <v>0.37</v>
      </c>
      <c r="DX113" s="228">
        <v>0.47</v>
      </c>
      <c r="DY113" s="228">
        <v>-0.1</v>
      </c>
      <c r="DZ113" s="229">
        <v>-0.21279999999999999</v>
      </c>
      <c r="EA113" s="229">
        <v>9.3100000000000002E-2</v>
      </c>
      <c r="EB113" s="230">
        <v>359000</v>
      </c>
      <c r="EC113" s="229">
        <v>-3.3999999999999998E-3</v>
      </c>
      <c r="ED113" s="229">
        <v>9.3100000000000002E-2</v>
      </c>
      <c r="EE113" s="228">
        <v>-3.27</v>
      </c>
      <c r="EF113" s="229">
        <v>-3.0999999999999999E-3</v>
      </c>
      <c r="EG113" s="230">
        <v>504009</v>
      </c>
      <c r="EH113" s="230">
        <v>189298</v>
      </c>
      <c r="EI113" s="229">
        <v>1.6625000000000001</v>
      </c>
      <c r="EJ113" s="229">
        <v>0.32950000000000002</v>
      </c>
      <c r="EK113" s="228">
        <v>601.37</v>
      </c>
      <c r="EL113" s="228">
        <v>206.43</v>
      </c>
      <c r="EM113" s="228">
        <v>221.42</v>
      </c>
      <c r="EN113" s="228">
        <v>19.64</v>
      </c>
      <c r="EO113" s="231">
        <v>1029.21</v>
      </c>
      <c r="EP113" s="228">
        <v>258.89</v>
      </c>
      <c r="EQ113" s="228">
        <v>770.32</v>
      </c>
      <c r="ER113" s="229">
        <v>2.9754999999999998</v>
      </c>
      <c r="ES113" s="228">
        <v>279.26</v>
      </c>
      <c r="ET113" s="228">
        <v>198.84</v>
      </c>
      <c r="EU113" s="228">
        <v>376.96</v>
      </c>
      <c r="EV113" s="231">
        <v>19911179</v>
      </c>
      <c r="EW113" s="228">
        <v>855.06</v>
      </c>
      <c r="EX113" s="228">
        <v>908.73</v>
      </c>
      <c r="EY113" s="228">
        <v>-53.67</v>
      </c>
      <c r="EZ113" s="229">
        <v>-5.91E-2</v>
      </c>
      <c r="FA113" s="229">
        <v>0.39979999999999999</v>
      </c>
      <c r="FB113" s="227" t="s">
        <v>556</v>
      </c>
      <c r="FC113">
        <f t="shared" si="1"/>
        <v>35</v>
      </c>
    </row>
    <row r="114" spans="1:159" ht="17.25" thickBot="1" x14ac:dyDescent="0.3">
      <c r="A114" s="226">
        <v>46009</v>
      </c>
      <c r="B114" s="227" t="s">
        <v>172</v>
      </c>
      <c r="C114" s="227" t="s">
        <v>246</v>
      </c>
      <c r="D114" s="228">
        <v>400</v>
      </c>
      <c r="E114" s="228">
        <v>12</v>
      </c>
      <c r="F114" s="231">
        <v>2170.6</v>
      </c>
      <c r="G114" s="231">
        <v>2176.6</v>
      </c>
      <c r="H114" s="228">
        <v>-6</v>
      </c>
      <c r="I114" s="229">
        <v>-2.8E-3</v>
      </c>
      <c r="J114" s="231">
        <v>2164.6</v>
      </c>
      <c r="K114" s="231">
        <v>2173.1999999999998</v>
      </c>
      <c r="L114" s="228">
        <v>-8.6</v>
      </c>
      <c r="M114" s="229">
        <v>-4.0000000000000001E-3</v>
      </c>
      <c r="N114" s="231">
        <v>2170.6</v>
      </c>
      <c r="O114" s="231">
        <v>2176.6</v>
      </c>
      <c r="P114" s="228">
        <v>-6</v>
      </c>
      <c r="Q114" s="229">
        <v>-2.8E-3</v>
      </c>
      <c r="R114" s="231">
        <v>2184.4</v>
      </c>
      <c r="S114" s="231">
        <v>2190</v>
      </c>
      <c r="T114" s="228">
        <v>-5.6</v>
      </c>
      <c r="U114" s="229">
        <v>-2.5999999999999999E-3</v>
      </c>
      <c r="V114" s="231">
        <v>2197.1999999999998</v>
      </c>
      <c r="W114" s="231">
        <v>2202.3000000000002</v>
      </c>
      <c r="X114" s="228">
        <v>-5.0999999999999996</v>
      </c>
      <c r="Y114" s="229">
        <v>-2.3E-3</v>
      </c>
      <c r="Z114" s="228">
        <v>6</v>
      </c>
      <c r="AA114" s="228">
        <v>3.4</v>
      </c>
      <c r="AB114" s="228">
        <v>2.6</v>
      </c>
      <c r="AC114" s="229">
        <v>2.8E-3</v>
      </c>
      <c r="AD114" s="228">
        <v>6</v>
      </c>
      <c r="AE114" s="228">
        <v>3.4</v>
      </c>
      <c r="AF114" s="228">
        <v>2.6</v>
      </c>
      <c r="AG114" s="229">
        <v>2.8E-3</v>
      </c>
      <c r="AH114" s="228">
        <v>19.8</v>
      </c>
      <c r="AI114" s="228">
        <v>16.8</v>
      </c>
      <c r="AJ114" s="228">
        <v>3</v>
      </c>
      <c r="AK114" s="229">
        <v>9.1000000000000004E-3</v>
      </c>
      <c r="AL114" s="228">
        <v>32.6</v>
      </c>
      <c r="AM114" s="228">
        <v>29.1</v>
      </c>
      <c r="AN114" s="228">
        <v>3.5</v>
      </c>
      <c r="AO114" s="229">
        <v>1.5100000000000001E-2</v>
      </c>
      <c r="AP114" s="231">
        <v>2174.91</v>
      </c>
      <c r="AQ114" s="231">
        <v>2188.7800000000002</v>
      </c>
      <c r="AR114" s="228">
        <v>0</v>
      </c>
      <c r="AS114" s="230">
        <v>1122</v>
      </c>
      <c r="AT114" s="228">
        <v>965</v>
      </c>
      <c r="AU114" s="228">
        <v>156</v>
      </c>
      <c r="AV114" s="229">
        <v>0.16189999999999999</v>
      </c>
      <c r="AW114" s="228">
        <v>697</v>
      </c>
      <c r="AX114" s="228">
        <v>614</v>
      </c>
      <c r="AY114" s="228">
        <v>83</v>
      </c>
      <c r="AZ114" s="229">
        <v>0.1346</v>
      </c>
      <c r="BA114" s="228">
        <v>418</v>
      </c>
      <c r="BB114" s="228">
        <v>349</v>
      </c>
      <c r="BC114" s="228">
        <v>69</v>
      </c>
      <c r="BD114" s="229">
        <v>0.1973</v>
      </c>
      <c r="BE114" s="228">
        <v>7</v>
      </c>
      <c r="BF114" s="228">
        <v>2</v>
      </c>
      <c r="BG114" s="228">
        <v>5</v>
      </c>
      <c r="BH114" s="229">
        <v>2.4544999999999999</v>
      </c>
      <c r="BI114" s="230">
        <v>1765</v>
      </c>
      <c r="BJ114" s="230">
        <v>1600</v>
      </c>
      <c r="BK114" s="228">
        <v>166</v>
      </c>
      <c r="BL114" s="229">
        <v>0.10349999999999999</v>
      </c>
      <c r="BM114" s="228">
        <v>878</v>
      </c>
      <c r="BN114" s="230">
        <v>1048</v>
      </c>
      <c r="BO114" s="228">
        <v>-170</v>
      </c>
      <c r="BP114" s="229">
        <v>-0.16239999999999999</v>
      </c>
      <c r="BQ114" s="230">
        <v>3765</v>
      </c>
      <c r="BR114" s="230">
        <v>3613</v>
      </c>
      <c r="BS114" s="228">
        <v>152</v>
      </c>
      <c r="BT114" s="229">
        <v>4.2000000000000003E-2</v>
      </c>
      <c r="BU114" s="230">
        <v>1289828</v>
      </c>
      <c r="BV114" s="230">
        <v>1650483</v>
      </c>
      <c r="BW114" s="230">
        <v>-360655</v>
      </c>
      <c r="BX114" s="229">
        <v>-0.2185</v>
      </c>
      <c r="BY114" s="230">
        <v>8847</v>
      </c>
      <c r="BZ114" s="230">
        <v>8776</v>
      </c>
      <c r="CA114" s="228">
        <v>71</v>
      </c>
      <c r="CB114" s="229">
        <v>8.0999999999999996E-3</v>
      </c>
      <c r="CC114" s="230">
        <v>7230</v>
      </c>
      <c r="CD114" s="230">
        <v>7545</v>
      </c>
      <c r="CE114" s="228">
        <v>-315</v>
      </c>
      <c r="CF114" s="229">
        <v>-4.1700000000000001E-2</v>
      </c>
      <c r="CG114" s="230">
        <v>1590</v>
      </c>
      <c r="CH114" s="230">
        <v>1207</v>
      </c>
      <c r="CI114" s="228">
        <v>383</v>
      </c>
      <c r="CJ114" s="229">
        <v>0.31719999999999998</v>
      </c>
      <c r="CK114" s="228">
        <v>27</v>
      </c>
      <c r="CL114" s="228">
        <v>24</v>
      </c>
      <c r="CM114" s="228">
        <v>3</v>
      </c>
      <c r="CN114" s="229">
        <v>0.13139999999999999</v>
      </c>
      <c r="CO114" s="230">
        <v>1946</v>
      </c>
      <c r="CP114" s="230">
        <v>1951</v>
      </c>
      <c r="CQ114" s="228">
        <v>-5</v>
      </c>
      <c r="CR114" s="229">
        <v>-2.5000000000000001E-3</v>
      </c>
      <c r="CS114" s="230">
        <v>1633</v>
      </c>
      <c r="CT114" s="230">
        <v>1651</v>
      </c>
      <c r="CU114" s="228">
        <v>-18</v>
      </c>
      <c r="CV114" s="229">
        <v>-1.09E-2</v>
      </c>
      <c r="CW114" s="230">
        <v>12426</v>
      </c>
      <c r="CX114" s="230">
        <v>12378</v>
      </c>
      <c r="CY114" s="228">
        <v>48</v>
      </c>
      <c r="CZ114" s="229">
        <v>3.8999999999999998E-3</v>
      </c>
      <c r="DA114" s="228">
        <v>15.67</v>
      </c>
      <c r="DB114" s="228">
        <v>16.190000000000001</v>
      </c>
      <c r="DC114" s="228">
        <v>-0.52</v>
      </c>
      <c r="DD114" s="228">
        <v>-0.52</v>
      </c>
      <c r="DE114" s="228">
        <v>25.75</v>
      </c>
      <c r="DF114" s="228">
        <v>25.81</v>
      </c>
      <c r="DG114" s="228">
        <v>-10.08</v>
      </c>
      <c r="DH114" s="228">
        <v>-0.06</v>
      </c>
      <c r="DI114" s="228">
        <v>15.71</v>
      </c>
      <c r="DJ114" s="228">
        <v>16.350000000000001</v>
      </c>
      <c r="DK114" s="228">
        <v>-0.64</v>
      </c>
      <c r="DL114" s="228">
        <v>-0.64</v>
      </c>
      <c r="DM114" s="228">
        <v>15.58</v>
      </c>
      <c r="DN114" s="228">
        <v>15.93</v>
      </c>
      <c r="DO114" s="228">
        <v>-0.35</v>
      </c>
      <c r="DP114" s="228">
        <v>-0.35</v>
      </c>
      <c r="DQ114" s="228">
        <v>0.84</v>
      </c>
      <c r="DR114" s="228">
        <v>0.85</v>
      </c>
      <c r="DS114" s="228">
        <v>-0.01</v>
      </c>
      <c r="DT114" s="229">
        <v>-1.18E-2</v>
      </c>
      <c r="DU114" s="231">
        <v>2200</v>
      </c>
      <c r="DV114" s="231">
        <v>2100</v>
      </c>
      <c r="DW114" s="228">
        <v>0.5</v>
      </c>
      <c r="DX114" s="228">
        <v>0.66</v>
      </c>
      <c r="DY114" s="228">
        <v>-0.16</v>
      </c>
      <c r="DZ114" s="229">
        <v>-0.2424</v>
      </c>
      <c r="EA114" s="229">
        <v>0.18279999999999999</v>
      </c>
      <c r="EB114" s="230">
        <v>5671200</v>
      </c>
      <c r="EC114" s="229">
        <v>6.4000000000000003E-3</v>
      </c>
      <c r="ED114" s="229">
        <v>0.18279999999999999</v>
      </c>
      <c r="EE114" s="228">
        <v>13.87</v>
      </c>
      <c r="EF114" s="229">
        <v>6.4000000000000003E-3</v>
      </c>
      <c r="EG114" s="230">
        <v>681908</v>
      </c>
      <c r="EH114" s="230">
        <v>1086258</v>
      </c>
      <c r="EI114" s="229">
        <v>-0.37219999999999998</v>
      </c>
      <c r="EJ114" s="229">
        <v>0.52869999999999995</v>
      </c>
      <c r="EK114" s="231">
        <v>1809.4</v>
      </c>
      <c r="EL114" s="228">
        <v>870.22</v>
      </c>
      <c r="EM114" s="231">
        <v>1126.6600000000001</v>
      </c>
      <c r="EN114" s="228">
        <v>114.09</v>
      </c>
      <c r="EO114" s="231">
        <v>3806.28</v>
      </c>
      <c r="EP114" s="231">
        <v>3663.12</v>
      </c>
      <c r="EQ114" s="228">
        <v>143.16</v>
      </c>
      <c r="ER114" s="229">
        <v>3.9100000000000003E-2</v>
      </c>
      <c r="ES114" s="231">
        <v>1990.71</v>
      </c>
      <c r="ET114" s="231">
        <v>1567.9</v>
      </c>
      <c r="EU114" s="231">
        <v>8857.7199999999993</v>
      </c>
      <c r="EV114" s="231">
        <v>215751979</v>
      </c>
      <c r="EW114" s="231">
        <v>12416.33</v>
      </c>
      <c r="EX114" s="231">
        <v>12389.6</v>
      </c>
      <c r="EY114" s="228">
        <v>26.73</v>
      </c>
      <c r="EZ114" s="229">
        <v>2.2000000000000001E-3</v>
      </c>
      <c r="FA114" s="229">
        <v>0.26529999999999998</v>
      </c>
      <c r="FB114" s="227" t="s">
        <v>567</v>
      </c>
      <c r="FC114">
        <f t="shared" si="1"/>
        <v>1617</v>
      </c>
    </row>
    <row r="115" spans="1:159" ht="17.25" thickBot="1" x14ac:dyDescent="0.3">
      <c r="A115" s="226">
        <v>46009</v>
      </c>
      <c r="B115" s="227" t="s">
        <v>221</v>
      </c>
      <c r="C115" s="227" t="s">
        <v>577</v>
      </c>
      <c r="D115" s="228">
        <v>400</v>
      </c>
      <c r="E115" s="228">
        <v>12</v>
      </c>
      <c r="F115" s="231">
        <v>1164.5999999999999</v>
      </c>
      <c r="G115" s="231">
        <v>1173.4000000000001</v>
      </c>
      <c r="H115" s="228">
        <v>-8.8000000000000007</v>
      </c>
      <c r="I115" s="229">
        <v>-7.4999999999999997E-3</v>
      </c>
      <c r="J115" s="231">
        <v>1160.8</v>
      </c>
      <c r="K115" s="231">
        <v>1168.9000000000001</v>
      </c>
      <c r="L115" s="228">
        <v>-8.1</v>
      </c>
      <c r="M115" s="229">
        <v>-6.8999999999999999E-3</v>
      </c>
      <c r="N115" s="231">
        <v>1164.5999999999999</v>
      </c>
      <c r="O115" s="231">
        <v>1173.4000000000001</v>
      </c>
      <c r="P115" s="228">
        <v>-8.8000000000000007</v>
      </c>
      <c r="Q115" s="229">
        <v>-7.4999999999999997E-3</v>
      </c>
      <c r="R115" s="231">
        <v>1166.9000000000001</v>
      </c>
      <c r="S115" s="231">
        <v>1177.5</v>
      </c>
      <c r="T115" s="228">
        <v>-10.6</v>
      </c>
      <c r="U115" s="229">
        <v>-8.9999999999999993E-3</v>
      </c>
      <c r="V115" s="231">
        <v>1168.0999999999999</v>
      </c>
      <c r="W115" s="231">
        <v>1180</v>
      </c>
      <c r="X115" s="228">
        <v>-11.9</v>
      </c>
      <c r="Y115" s="229">
        <v>-1.01E-2</v>
      </c>
      <c r="Z115" s="228">
        <v>3.8</v>
      </c>
      <c r="AA115" s="228">
        <v>4.5</v>
      </c>
      <c r="AB115" s="228">
        <v>-0.7</v>
      </c>
      <c r="AC115" s="229">
        <v>3.3E-3</v>
      </c>
      <c r="AD115" s="228">
        <v>3.8</v>
      </c>
      <c r="AE115" s="228">
        <v>4.5</v>
      </c>
      <c r="AF115" s="228">
        <v>-0.7</v>
      </c>
      <c r="AG115" s="229">
        <v>3.3E-3</v>
      </c>
      <c r="AH115" s="228">
        <v>6.1</v>
      </c>
      <c r="AI115" s="228">
        <v>8.6</v>
      </c>
      <c r="AJ115" s="228">
        <v>-2.5</v>
      </c>
      <c r="AK115" s="229">
        <v>5.3E-3</v>
      </c>
      <c r="AL115" s="228">
        <v>7.3</v>
      </c>
      <c r="AM115" s="228">
        <v>11.1</v>
      </c>
      <c r="AN115" s="228">
        <v>-3.8</v>
      </c>
      <c r="AO115" s="229">
        <v>6.3E-3</v>
      </c>
      <c r="AP115" s="231">
        <v>1166.1099999999999</v>
      </c>
      <c r="AQ115" s="231">
        <v>1168.2</v>
      </c>
      <c r="AR115" s="228">
        <v>0</v>
      </c>
      <c r="AS115" s="228">
        <v>66</v>
      </c>
      <c r="AT115" s="228">
        <v>58</v>
      </c>
      <c r="AU115" s="228">
        <v>8</v>
      </c>
      <c r="AV115" s="229">
        <v>0.14460000000000001</v>
      </c>
      <c r="AW115" s="228">
        <v>55</v>
      </c>
      <c r="AX115" s="228">
        <v>50</v>
      </c>
      <c r="AY115" s="228">
        <v>6</v>
      </c>
      <c r="AZ115" s="229">
        <v>0.1134</v>
      </c>
      <c r="BA115" s="228">
        <v>10</v>
      </c>
      <c r="BB115" s="228">
        <v>8</v>
      </c>
      <c r="BC115" s="228">
        <v>3</v>
      </c>
      <c r="BD115" s="229">
        <v>0.39750000000000002</v>
      </c>
      <c r="BE115" s="228">
        <v>1</v>
      </c>
      <c r="BF115" s="228">
        <v>1</v>
      </c>
      <c r="BG115" s="228">
        <v>0</v>
      </c>
      <c r="BH115" s="229">
        <v>-0.29409999999999997</v>
      </c>
      <c r="BI115" s="228">
        <v>291</v>
      </c>
      <c r="BJ115" s="228">
        <v>174</v>
      </c>
      <c r="BK115" s="228">
        <v>117</v>
      </c>
      <c r="BL115" s="229">
        <v>0.67510000000000003</v>
      </c>
      <c r="BM115" s="228">
        <v>97</v>
      </c>
      <c r="BN115" s="228">
        <v>114</v>
      </c>
      <c r="BO115" s="228">
        <v>-17</v>
      </c>
      <c r="BP115" s="229">
        <v>-0.1487</v>
      </c>
      <c r="BQ115" s="228">
        <v>455</v>
      </c>
      <c r="BR115" s="228">
        <v>346</v>
      </c>
      <c r="BS115" s="228">
        <v>109</v>
      </c>
      <c r="BT115" s="229">
        <v>0.31440000000000001</v>
      </c>
      <c r="BU115" s="230">
        <v>456222</v>
      </c>
      <c r="BV115" s="230">
        <v>533275</v>
      </c>
      <c r="BW115" s="230">
        <v>-77053</v>
      </c>
      <c r="BX115" s="229">
        <v>-0.14449999999999999</v>
      </c>
      <c r="BY115" s="228">
        <v>448</v>
      </c>
      <c r="BZ115" s="228">
        <v>447</v>
      </c>
      <c r="CA115" s="228">
        <v>1</v>
      </c>
      <c r="CB115" s="229">
        <v>1.2999999999999999E-3</v>
      </c>
      <c r="CC115" s="228">
        <v>405</v>
      </c>
      <c r="CD115" s="228">
        <v>408</v>
      </c>
      <c r="CE115" s="228">
        <v>-2</v>
      </c>
      <c r="CF115" s="229">
        <v>-5.8999999999999999E-3</v>
      </c>
      <c r="CG115" s="228">
        <v>38</v>
      </c>
      <c r="CH115" s="228">
        <v>35</v>
      </c>
      <c r="CI115" s="228">
        <v>3</v>
      </c>
      <c r="CJ115" s="229">
        <v>7.5200000000000003E-2</v>
      </c>
      <c r="CK115" s="228">
        <v>5</v>
      </c>
      <c r="CL115" s="228">
        <v>5</v>
      </c>
      <c r="CM115" s="228">
        <v>0</v>
      </c>
      <c r="CN115" s="229">
        <v>8.2500000000000004E-2</v>
      </c>
      <c r="CO115" s="228">
        <v>324</v>
      </c>
      <c r="CP115" s="228">
        <v>312</v>
      </c>
      <c r="CQ115" s="228">
        <v>12</v>
      </c>
      <c r="CR115" s="229">
        <v>3.7600000000000001E-2</v>
      </c>
      <c r="CS115" s="228">
        <v>185</v>
      </c>
      <c r="CT115" s="228">
        <v>183</v>
      </c>
      <c r="CU115" s="228">
        <v>2</v>
      </c>
      <c r="CV115" s="229">
        <v>0.01</v>
      </c>
      <c r="CW115" s="228">
        <v>957</v>
      </c>
      <c r="CX115" s="228">
        <v>943</v>
      </c>
      <c r="CY115" s="228">
        <v>14</v>
      </c>
      <c r="CZ115" s="229">
        <v>1.4999999999999999E-2</v>
      </c>
      <c r="DA115" s="228">
        <v>28.55</v>
      </c>
      <c r="DB115" s="228">
        <v>29.17</v>
      </c>
      <c r="DC115" s="228">
        <v>-0.62</v>
      </c>
      <c r="DD115" s="228">
        <v>-0.62</v>
      </c>
      <c r="DE115" s="228">
        <v>42.64</v>
      </c>
      <c r="DF115" s="228">
        <v>42.73</v>
      </c>
      <c r="DG115" s="228">
        <v>-14.09</v>
      </c>
      <c r="DH115" s="228">
        <v>-0.09</v>
      </c>
      <c r="DI115" s="228">
        <v>28.91</v>
      </c>
      <c r="DJ115" s="228">
        <v>30.04</v>
      </c>
      <c r="DK115" s="228">
        <v>-1.1299999999999999</v>
      </c>
      <c r="DL115" s="228">
        <v>-1.1299999999999999</v>
      </c>
      <c r="DM115" s="228">
        <v>27.45</v>
      </c>
      <c r="DN115" s="228">
        <v>27.85</v>
      </c>
      <c r="DO115" s="228">
        <v>-0.4</v>
      </c>
      <c r="DP115" s="228">
        <v>-0.4</v>
      </c>
      <c r="DQ115" s="228">
        <v>0.56999999999999995</v>
      </c>
      <c r="DR115" s="228">
        <v>0.59</v>
      </c>
      <c r="DS115" s="228">
        <v>-0.02</v>
      </c>
      <c r="DT115" s="229">
        <v>-3.39E-2</v>
      </c>
      <c r="DU115" s="231">
        <v>1300</v>
      </c>
      <c r="DV115" s="231">
        <v>1120</v>
      </c>
      <c r="DW115" s="228">
        <v>0.33</v>
      </c>
      <c r="DX115" s="228">
        <v>0.66</v>
      </c>
      <c r="DY115" s="228">
        <v>-0.33</v>
      </c>
      <c r="DZ115" s="229">
        <v>-0.5</v>
      </c>
      <c r="EA115" s="229">
        <v>9.5299999999999996E-2</v>
      </c>
      <c r="EB115" s="230">
        <v>340850</v>
      </c>
      <c r="EC115" s="229">
        <v>2E-3</v>
      </c>
      <c r="ED115" s="229">
        <v>9.5299999999999996E-2</v>
      </c>
      <c r="EE115" s="228">
        <v>2.09</v>
      </c>
      <c r="EF115" s="229">
        <v>1.8E-3</v>
      </c>
      <c r="EG115" s="230">
        <v>195898</v>
      </c>
      <c r="EH115" s="230">
        <v>306975</v>
      </c>
      <c r="EI115" s="229">
        <v>-0.36180000000000001</v>
      </c>
      <c r="EJ115" s="229">
        <v>0.4294</v>
      </c>
      <c r="EK115" s="228">
        <v>309.02</v>
      </c>
      <c r="EL115" s="228">
        <v>95.69</v>
      </c>
      <c r="EM115" s="228">
        <v>67.180000000000007</v>
      </c>
      <c r="EN115" s="228">
        <v>20.63</v>
      </c>
      <c r="EO115" s="228">
        <v>471.9</v>
      </c>
      <c r="EP115" s="228">
        <v>359.26</v>
      </c>
      <c r="EQ115" s="228">
        <v>112.64</v>
      </c>
      <c r="ER115" s="229">
        <v>0.3135</v>
      </c>
      <c r="ES115" s="228">
        <v>348.69</v>
      </c>
      <c r="ET115" s="228">
        <v>184.32</v>
      </c>
      <c r="EU115" s="228">
        <v>448.18</v>
      </c>
      <c r="EV115" s="231">
        <v>24568295</v>
      </c>
      <c r="EW115" s="228">
        <v>981.19</v>
      </c>
      <c r="EX115" s="228">
        <v>970.88</v>
      </c>
      <c r="EY115" s="228">
        <v>10.31</v>
      </c>
      <c r="EZ115" s="229">
        <v>1.06E-2</v>
      </c>
      <c r="FA115" s="229">
        <v>0.33439999999999998</v>
      </c>
      <c r="FB115" s="227" t="s">
        <v>567</v>
      </c>
      <c r="FC115">
        <f t="shared" si="1"/>
        <v>43</v>
      </c>
    </row>
    <row r="116" spans="1:159" ht="17.25" thickBot="1" x14ac:dyDescent="0.3">
      <c r="A116" s="226">
        <v>46009</v>
      </c>
      <c r="B116" s="227" t="s">
        <v>170</v>
      </c>
      <c r="C116" s="227" t="s">
        <v>535</v>
      </c>
      <c r="D116" s="228">
        <v>850</v>
      </c>
      <c r="E116" s="228">
        <v>12</v>
      </c>
      <c r="F116" s="231">
        <v>1018.9</v>
      </c>
      <c r="G116" s="231">
        <v>1010.6</v>
      </c>
      <c r="H116" s="228">
        <v>8.3000000000000007</v>
      </c>
      <c r="I116" s="229">
        <v>8.2000000000000007E-3</v>
      </c>
      <c r="J116" s="231">
        <v>1015.5</v>
      </c>
      <c r="K116" s="231">
        <v>1010</v>
      </c>
      <c r="L116" s="228">
        <v>5.5</v>
      </c>
      <c r="M116" s="229">
        <v>5.4000000000000003E-3</v>
      </c>
      <c r="N116" s="231">
        <v>1018.9</v>
      </c>
      <c r="O116" s="231">
        <v>1010.6</v>
      </c>
      <c r="P116" s="228">
        <v>8.3000000000000007</v>
      </c>
      <c r="Q116" s="229">
        <v>8.2000000000000007E-3</v>
      </c>
      <c r="R116" s="231">
        <v>1025.2</v>
      </c>
      <c r="S116" s="231">
        <v>1017.4</v>
      </c>
      <c r="T116" s="228">
        <v>7.8</v>
      </c>
      <c r="U116" s="229">
        <v>7.7000000000000002E-3</v>
      </c>
      <c r="V116" s="231">
        <v>1030.4000000000001</v>
      </c>
      <c r="W116" s="231">
        <v>1020.7</v>
      </c>
      <c r="X116" s="228">
        <v>9.6999999999999993</v>
      </c>
      <c r="Y116" s="229">
        <v>9.4999999999999998E-3</v>
      </c>
      <c r="Z116" s="228">
        <v>3.4</v>
      </c>
      <c r="AA116" s="228">
        <v>0.6</v>
      </c>
      <c r="AB116" s="228">
        <v>2.8</v>
      </c>
      <c r="AC116" s="229">
        <v>3.3E-3</v>
      </c>
      <c r="AD116" s="228">
        <v>3.4</v>
      </c>
      <c r="AE116" s="228">
        <v>0.6</v>
      </c>
      <c r="AF116" s="228">
        <v>2.8</v>
      </c>
      <c r="AG116" s="229">
        <v>3.3E-3</v>
      </c>
      <c r="AH116" s="228">
        <v>9.6999999999999993</v>
      </c>
      <c r="AI116" s="228">
        <v>7.4</v>
      </c>
      <c r="AJ116" s="228">
        <v>2.2999999999999998</v>
      </c>
      <c r="AK116" s="229">
        <v>9.5999999999999992E-3</v>
      </c>
      <c r="AL116" s="228">
        <v>14.9</v>
      </c>
      <c r="AM116" s="228">
        <v>10.7</v>
      </c>
      <c r="AN116" s="228">
        <v>4.2</v>
      </c>
      <c r="AO116" s="229">
        <v>1.47E-2</v>
      </c>
      <c r="AP116" s="231">
        <v>1014.99</v>
      </c>
      <c r="AQ116" s="231">
        <v>1020.04</v>
      </c>
      <c r="AR116" s="228">
        <v>0</v>
      </c>
      <c r="AS116" s="228">
        <v>308</v>
      </c>
      <c r="AT116" s="228">
        <v>258</v>
      </c>
      <c r="AU116" s="228">
        <v>50</v>
      </c>
      <c r="AV116" s="229">
        <v>0.19489999999999999</v>
      </c>
      <c r="AW116" s="228">
        <v>240</v>
      </c>
      <c r="AX116" s="228">
        <v>209</v>
      </c>
      <c r="AY116" s="228">
        <v>32</v>
      </c>
      <c r="AZ116" s="229">
        <v>0.151</v>
      </c>
      <c r="BA116" s="228">
        <v>63</v>
      </c>
      <c r="BB116" s="228">
        <v>47</v>
      </c>
      <c r="BC116" s="228">
        <v>16</v>
      </c>
      <c r="BD116" s="229">
        <v>0.33389999999999997</v>
      </c>
      <c r="BE116" s="228">
        <v>5</v>
      </c>
      <c r="BF116" s="228">
        <v>2</v>
      </c>
      <c r="BG116" s="228">
        <v>3</v>
      </c>
      <c r="BH116" s="229">
        <v>1.4</v>
      </c>
      <c r="BI116" s="228">
        <v>885</v>
      </c>
      <c r="BJ116" s="228">
        <v>818</v>
      </c>
      <c r="BK116" s="228">
        <v>67</v>
      </c>
      <c r="BL116" s="229">
        <v>8.2299999999999998E-2</v>
      </c>
      <c r="BM116" s="228">
        <v>415</v>
      </c>
      <c r="BN116" s="228">
        <v>313</v>
      </c>
      <c r="BO116" s="228">
        <v>101</v>
      </c>
      <c r="BP116" s="229">
        <v>0.32350000000000001</v>
      </c>
      <c r="BQ116" s="230">
        <v>1608</v>
      </c>
      <c r="BR116" s="230">
        <v>1389</v>
      </c>
      <c r="BS116" s="228">
        <v>219</v>
      </c>
      <c r="BT116" s="229">
        <v>0.15759999999999999</v>
      </c>
      <c r="BU116" s="230">
        <v>889160</v>
      </c>
      <c r="BV116" s="230">
        <v>1312238</v>
      </c>
      <c r="BW116" s="230">
        <v>-423078</v>
      </c>
      <c r="BX116" s="229">
        <v>-0.32240000000000002</v>
      </c>
      <c r="BY116" s="230">
        <v>1645</v>
      </c>
      <c r="BZ116" s="230">
        <v>1660</v>
      </c>
      <c r="CA116" s="228">
        <v>-16</v>
      </c>
      <c r="CB116" s="229">
        <v>-9.2999999999999992E-3</v>
      </c>
      <c r="CC116" s="230">
        <v>1468</v>
      </c>
      <c r="CD116" s="230">
        <v>1512</v>
      </c>
      <c r="CE116" s="228">
        <v>-44</v>
      </c>
      <c r="CF116" s="229">
        <v>-2.92E-2</v>
      </c>
      <c r="CG116" s="228">
        <v>155</v>
      </c>
      <c r="CH116" s="228">
        <v>127</v>
      </c>
      <c r="CI116" s="228">
        <v>28</v>
      </c>
      <c r="CJ116" s="229">
        <v>0.22339999999999999</v>
      </c>
      <c r="CK116" s="228">
        <v>22</v>
      </c>
      <c r="CL116" s="228">
        <v>22</v>
      </c>
      <c r="CM116" s="228">
        <v>0</v>
      </c>
      <c r="CN116" s="229">
        <v>1.2E-2</v>
      </c>
      <c r="CO116" s="228">
        <v>876</v>
      </c>
      <c r="CP116" s="228">
        <v>902</v>
      </c>
      <c r="CQ116" s="228">
        <v>-25</v>
      </c>
      <c r="CR116" s="229">
        <v>-2.8000000000000001E-2</v>
      </c>
      <c r="CS116" s="228">
        <v>502</v>
      </c>
      <c r="CT116" s="228">
        <v>495</v>
      </c>
      <c r="CU116" s="228">
        <v>7</v>
      </c>
      <c r="CV116" s="229">
        <v>1.4200000000000001E-2</v>
      </c>
      <c r="CW116" s="230">
        <v>3023</v>
      </c>
      <c r="CX116" s="230">
        <v>3057</v>
      </c>
      <c r="CY116" s="228">
        <v>-34</v>
      </c>
      <c r="CZ116" s="229">
        <v>-1.0999999999999999E-2</v>
      </c>
      <c r="DA116" s="228">
        <v>24.76</v>
      </c>
      <c r="DB116" s="228">
        <v>25.41</v>
      </c>
      <c r="DC116" s="228">
        <v>-0.65</v>
      </c>
      <c r="DD116" s="228">
        <v>-0.65</v>
      </c>
      <c r="DE116" s="228">
        <v>38.25</v>
      </c>
      <c r="DF116" s="228">
        <v>38.340000000000003</v>
      </c>
      <c r="DG116" s="228">
        <v>-13.49</v>
      </c>
      <c r="DH116" s="228">
        <v>-0.09</v>
      </c>
      <c r="DI116" s="228">
        <v>24.45</v>
      </c>
      <c r="DJ116" s="228">
        <v>25.45</v>
      </c>
      <c r="DK116" s="228">
        <v>-1</v>
      </c>
      <c r="DL116" s="228">
        <v>-1</v>
      </c>
      <c r="DM116" s="228">
        <v>25.42</v>
      </c>
      <c r="DN116" s="228">
        <v>25.28</v>
      </c>
      <c r="DO116" s="228">
        <v>0.14000000000000001</v>
      </c>
      <c r="DP116" s="228">
        <v>0.14000000000000001</v>
      </c>
      <c r="DQ116" s="228">
        <v>0.56999999999999995</v>
      </c>
      <c r="DR116" s="228">
        <v>0.55000000000000004</v>
      </c>
      <c r="DS116" s="228">
        <v>0.02</v>
      </c>
      <c r="DT116" s="229">
        <v>3.6400000000000002E-2</v>
      </c>
      <c r="DU116" s="231">
        <v>1100</v>
      </c>
      <c r="DV116" s="231">
        <v>1000</v>
      </c>
      <c r="DW116" s="228">
        <v>0.47</v>
      </c>
      <c r="DX116" s="228">
        <v>0.38</v>
      </c>
      <c r="DY116" s="228">
        <v>0.09</v>
      </c>
      <c r="DZ116" s="229">
        <v>0.23680000000000001</v>
      </c>
      <c r="EA116" s="229">
        <v>0.1076</v>
      </c>
      <c r="EB116" s="230">
        <v>1456900</v>
      </c>
      <c r="EC116" s="229">
        <v>6.1999999999999998E-3</v>
      </c>
      <c r="ED116" s="229">
        <v>0.1076</v>
      </c>
      <c r="EE116" s="228">
        <v>5.05</v>
      </c>
      <c r="EF116" s="229">
        <v>5.0000000000000001E-3</v>
      </c>
      <c r="EG116" s="230">
        <v>487422</v>
      </c>
      <c r="EH116" s="230">
        <v>766405</v>
      </c>
      <c r="EI116" s="229">
        <v>-0.36399999999999999</v>
      </c>
      <c r="EJ116" s="229">
        <v>0.54820000000000002</v>
      </c>
      <c r="EK116" s="228">
        <v>906.93</v>
      </c>
      <c r="EL116" s="228">
        <v>406.96</v>
      </c>
      <c r="EM116" s="228">
        <v>307.68</v>
      </c>
      <c r="EN116" s="228">
        <v>32.58</v>
      </c>
      <c r="EO116" s="231">
        <v>1621.57</v>
      </c>
      <c r="EP116" s="231">
        <v>1404.8</v>
      </c>
      <c r="EQ116" s="228">
        <v>216.77</v>
      </c>
      <c r="ER116" s="229">
        <v>0.15429999999999999</v>
      </c>
      <c r="ES116" s="228">
        <v>893.66</v>
      </c>
      <c r="ET116" s="228">
        <v>479.65</v>
      </c>
      <c r="EU116" s="231">
        <v>1646.12</v>
      </c>
      <c r="EV116" s="231">
        <v>58629477</v>
      </c>
      <c r="EW116" s="231">
        <v>3019.44</v>
      </c>
      <c r="EX116" s="231">
        <v>3038.28</v>
      </c>
      <c r="EY116" s="228">
        <v>-18.84</v>
      </c>
      <c r="EZ116" s="229">
        <v>-6.1999999999999998E-3</v>
      </c>
      <c r="FA116" s="229">
        <v>0.50609999999999999</v>
      </c>
      <c r="FB116" s="227" t="s">
        <v>556</v>
      </c>
      <c r="FC116">
        <f t="shared" si="1"/>
        <v>177</v>
      </c>
    </row>
    <row r="117" spans="1:159" ht="17.25" thickBot="1" x14ac:dyDescent="0.3">
      <c r="A117" s="226">
        <v>46009</v>
      </c>
      <c r="B117" s="227" t="s">
        <v>175</v>
      </c>
      <c r="C117" s="227" t="s">
        <v>248</v>
      </c>
      <c r="D117" s="228">
        <v>1000</v>
      </c>
      <c r="E117" s="228">
        <v>12</v>
      </c>
      <c r="F117" s="228">
        <v>528.35</v>
      </c>
      <c r="G117" s="228">
        <v>524.75</v>
      </c>
      <c r="H117" s="228">
        <v>3.6</v>
      </c>
      <c r="I117" s="229">
        <v>6.8999999999999999E-3</v>
      </c>
      <c r="J117" s="228">
        <v>528.1</v>
      </c>
      <c r="K117" s="228">
        <v>524.79999999999995</v>
      </c>
      <c r="L117" s="228">
        <v>3.3</v>
      </c>
      <c r="M117" s="229">
        <v>6.3E-3</v>
      </c>
      <c r="N117" s="228">
        <v>528.35</v>
      </c>
      <c r="O117" s="228">
        <v>524.75</v>
      </c>
      <c r="P117" s="228">
        <v>3.6</v>
      </c>
      <c r="Q117" s="229">
        <v>6.8999999999999999E-3</v>
      </c>
      <c r="R117" s="228">
        <v>531.4</v>
      </c>
      <c r="S117" s="228">
        <v>528.25</v>
      </c>
      <c r="T117" s="228">
        <v>3.15</v>
      </c>
      <c r="U117" s="229">
        <v>6.0000000000000001E-3</v>
      </c>
      <c r="V117" s="228">
        <v>535.1</v>
      </c>
      <c r="W117" s="228">
        <v>530.54999999999995</v>
      </c>
      <c r="X117" s="228">
        <v>4.55</v>
      </c>
      <c r="Y117" s="229">
        <v>8.6E-3</v>
      </c>
      <c r="Z117" s="228">
        <v>0.25</v>
      </c>
      <c r="AA117" s="228">
        <v>-0.05</v>
      </c>
      <c r="AB117" s="228">
        <v>0.3</v>
      </c>
      <c r="AC117" s="229">
        <v>5.0000000000000001E-4</v>
      </c>
      <c r="AD117" s="228">
        <v>0.25</v>
      </c>
      <c r="AE117" s="228">
        <v>-0.05</v>
      </c>
      <c r="AF117" s="228">
        <v>0.3</v>
      </c>
      <c r="AG117" s="229">
        <v>5.0000000000000001E-4</v>
      </c>
      <c r="AH117" s="228">
        <v>3.3</v>
      </c>
      <c r="AI117" s="228">
        <v>3.45</v>
      </c>
      <c r="AJ117" s="228">
        <v>-0.15</v>
      </c>
      <c r="AK117" s="229">
        <v>6.1999999999999998E-3</v>
      </c>
      <c r="AL117" s="228">
        <v>7</v>
      </c>
      <c r="AM117" s="228">
        <v>5.75</v>
      </c>
      <c r="AN117" s="228">
        <v>1.25</v>
      </c>
      <c r="AO117" s="229">
        <v>1.3299999999999999E-2</v>
      </c>
      <c r="AP117" s="228">
        <v>526.79999999999995</v>
      </c>
      <c r="AQ117" s="228">
        <v>529.33000000000004</v>
      </c>
      <c r="AR117" s="228">
        <v>0</v>
      </c>
      <c r="AS117" s="228">
        <v>179</v>
      </c>
      <c r="AT117" s="228">
        <v>103</v>
      </c>
      <c r="AU117" s="228">
        <v>76</v>
      </c>
      <c r="AV117" s="229">
        <v>0.7429</v>
      </c>
      <c r="AW117" s="228">
        <v>131</v>
      </c>
      <c r="AX117" s="228">
        <v>83</v>
      </c>
      <c r="AY117" s="228">
        <v>48</v>
      </c>
      <c r="AZ117" s="229">
        <v>0.58289999999999997</v>
      </c>
      <c r="BA117" s="228">
        <v>46</v>
      </c>
      <c r="BB117" s="228">
        <v>18</v>
      </c>
      <c r="BC117" s="228">
        <v>27</v>
      </c>
      <c r="BD117" s="229">
        <v>1.4829000000000001</v>
      </c>
      <c r="BE117" s="228">
        <v>2</v>
      </c>
      <c r="BF117" s="228">
        <v>1</v>
      </c>
      <c r="BG117" s="228">
        <v>0</v>
      </c>
      <c r="BH117" s="229">
        <v>0.39129999999999998</v>
      </c>
      <c r="BI117" s="228">
        <v>305</v>
      </c>
      <c r="BJ117" s="228">
        <v>288</v>
      </c>
      <c r="BK117" s="228">
        <v>17</v>
      </c>
      <c r="BL117" s="229">
        <v>5.8700000000000002E-2</v>
      </c>
      <c r="BM117" s="228">
        <v>105</v>
      </c>
      <c r="BN117" s="228">
        <v>93</v>
      </c>
      <c r="BO117" s="228">
        <v>12</v>
      </c>
      <c r="BP117" s="229">
        <v>0.12809999999999999</v>
      </c>
      <c r="BQ117" s="228">
        <v>589</v>
      </c>
      <c r="BR117" s="228">
        <v>484</v>
      </c>
      <c r="BS117" s="228">
        <v>105</v>
      </c>
      <c r="BT117" s="229">
        <v>0.21709999999999999</v>
      </c>
      <c r="BU117" s="230">
        <v>876929</v>
      </c>
      <c r="BV117" s="230">
        <v>717998</v>
      </c>
      <c r="BW117" s="230">
        <v>158931</v>
      </c>
      <c r="BX117" s="229">
        <v>0.22140000000000001</v>
      </c>
      <c r="BY117" s="230">
        <v>1918</v>
      </c>
      <c r="BZ117" s="230">
        <v>1890</v>
      </c>
      <c r="CA117" s="228">
        <v>27</v>
      </c>
      <c r="CB117" s="229">
        <v>1.4500000000000001E-2</v>
      </c>
      <c r="CC117" s="230">
        <v>1734</v>
      </c>
      <c r="CD117" s="230">
        <v>1733</v>
      </c>
      <c r="CE117" s="228">
        <v>0</v>
      </c>
      <c r="CF117" s="229">
        <v>2.0000000000000001E-4</v>
      </c>
      <c r="CG117" s="228">
        <v>171</v>
      </c>
      <c r="CH117" s="228">
        <v>144</v>
      </c>
      <c r="CI117" s="228">
        <v>27</v>
      </c>
      <c r="CJ117" s="229">
        <v>0.18529999999999999</v>
      </c>
      <c r="CK117" s="228">
        <v>13</v>
      </c>
      <c r="CL117" s="228">
        <v>13</v>
      </c>
      <c r="CM117" s="228">
        <v>0</v>
      </c>
      <c r="CN117" s="229">
        <v>3.3799999999999997E-2</v>
      </c>
      <c r="CO117" s="228">
        <v>553</v>
      </c>
      <c r="CP117" s="228">
        <v>567</v>
      </c>
      <c r="CQ117" s="228">
        <v>-14</v>
      </c>
      <c r="CR117" s="229">
        <v>-2.53E-2</v>
      </c>
      <c r="CS117" s="228">
        <v>427</v>
      </c>
      <c r="CT117" s="228">
        <v>423</v>
      </c>
      <c r="CU117" s="228">
        <v>4</v>
      </c>
      <c r="CV117" s="229">
        <v>8.8999999999999999E-3</v>
      </c>
      <c r="CW117" s="230">
        <v>2897</v>
      </c>
      <c r="CX117" s="230">
        <v>2880</v>
      </c>
      <c r="CY117" s="228">
        <v>17</v>
      </c>
      <c r="CZ117" s="229">
        <v>5.8999999999999999E-3</v>
      </c>
      <c r="DA117" s="228">
        <v>17.75</v>
      </c>
      <c r="DB117" s="228">
        <v>19.36</v>
      </c>
      <c r="DC117" s="228">
        <v>-1.61</v>
      </c>
      <c r="DD117" s="228">
        <v>-1.61</v>
      </c>
      <c r="DE117" s="228">
        <v>32.65</v>
      </c>
      <c r="DF117" s="228">
        <v>32.72</v>
      </c>
      <c r="DG117" s="228">
        <v>-14.9</v>
      </c>
      <c r="DH117" s="228">
        <v>-7.0000000000000007E-2</v>
      </c>
      <c r="DI117" s="228">
        <v>17.5</v>
      </c>
      <c r="DJ117" s="228">
        <v>19.420000000000002</v>
      </c>
      <c r="DK117" s="228">
        <v>-1.92</v>
      </c>
      <c r="DL117" s="228">
        <v>-1.92</v>
      </c>
      <c r="DM117" s="228">
        <v>18.47</v>
      </c>
      <c r="DN117" s="228">
        <v>19.18</v>
      </c>
      <c r="DO117" s="228">
        <v>-0.71</v>
      </c>
      <c r="DP117" s="228">
        <v>-0.71</v>
      </c>
      <c r="DQ117" s="228">
        <v>0.77</v>
      </c>
      <c r="DR117" s="228">
        <v>0.75</v>
      </c>
      <c r="DS117" s="228">
        <v>0.02</v>
      </c>
      <c r="DT117" s="229">
        <v>2.6700000000000002E-2</v>
      </c>
      <c r="DU117" s="228">
        <v>550</v>
      </c>
      <c r="DV117" s="228">
        <v>550</v>
      </c>
      <c r="DW117" s="228">
        <v>0.34</v>
      </c>
      <c r="DX117" s="228">
        <v>0.32</v>
      </c>
      <c r="DY117" s="228">
        <v>0.02</v>
      </c>
      <c r="DZ117" s="229">
        <v>6.25E-2</v>
      </c>
      <c r="EA117" s="229">
        <v>9.5899999999999999E-2</v>
      </c>
      <c r="EB117" s="230">
        <v>2968000</v>
      </c>
      <c r="EC117" s="229">
        <v>5.7999999999999996E-3</v>
      </c>
      <c r="ED117" s="229">
        <v>9.5899999999999999E-2</v>
      </c>
      <c r="EE117" s="228">
        <v>2.5299999999999998</v>
      </c>
      <c r="EF117" s="229">
        <v>4.7999999999999996E-3</v>
      </c>
      <c r="EG117" s="230">
        <v>508795</v>
      </c>
      <c r="EH117" s="230">
        <v>419441</v>
      </c>
      <c r="EI117" s="229">
        <v>0.21299999999999999</v>
      </c>
      <c r="EJ117" s="229">
        <v>0.58020000000000005</v>
      </c>
      <c r="EK117" s="228">
        <v>313.17</v>
      </c>
      <c r="EL117" s="228">
        <v>105.84</v>
      </c>
      <c r="EM117" s="228">
        <v>178.45</v>
      </c>
      <c r="EN117" s="228">
        <v>23.23</v>
      </c>
      <c r="EO117" s="228">
        <v>597.47</v>
      </c>
      <c r="EP117" s="228">
        <v>492.46</v>
      </c>
      <c r="EQ117" s="228">
        <v>105.01</v>
      </c>
      <c r="ER117" s="229">
        <v>0.2132</v>
      </c>
      <c r="ES117" s="228">
        <v>588.15</v>
      </c>
      <c r="ET117" s="228">
        <v>443.39</v>
      </c>
      <c r="EU117" s="231">
        <v>1918.69</v>
      </c>
      <c r="EV117" s="231">
        <v>45183075</v>
      </c>
      <c r="EW117" s="231">
        <v>2950.24</v>
      </c>
      <c r="EX117" s="231">
        <v>2921.28</v>
      </c>
      <c r="EY117" s="228">
        <v>28.96</v>
      </c>
      <c r="EZ117" s="229">
        <v>9.9000000000000008E-3</v>
      </c>
      <c r="FA117" s="229">
        <v>1.2136</v>
      </c>
      <c r="FB117" s="227" t="s">
        <v>555</v>
      </c>
      <c r="FC117">
        <f t="shared" si="1"/>
        <v>184</v>
      </c>
    </row>
    <row r="118" spans="1:159" ht="17.25" thickBot="1" x14ac:dyDescent="0.3">
      <c r="A118" s="226">
        <v>46009</v>
      </c>
      <c r="B118" s="227" t="s">
        <v>175</v>
      </c>
      <c r="C118" s="227" t="s">
        <v>607</v>
      </c>
      <c r="D118" s="228">
        <v>700</v>
      </c>
      <c r="E118" s="228">
        <v>12</v>
      </c>
      <c r="F118" s="228">
        <v>848.05</v>
      </c>
      <c r="G118" s="228">
        <v>847.1</v>
      </c>
      <c r="H118" s="228">
        <v>0.95</v>
      </c>
      <c r="I118" s="229">
        <v>1.1000000000000001E-3</v>
      </c>
      <c r="J118" s="228">
        <v>847.4</v>
      </c>
      <c r="K118" s="228">
        <v>844.55</v>
      </c>
      <c r="L118" s="228">
        <v>2.85</v>
      </c>
      <c r="M118" s="229">
        <v>3.3999999999999998E-3</v>
      </c>
      <c r="N118" s="228">
        <v>848.05</v>
      </c>
      <c r="O118" s="228">
        <v>847.1</v>
      </c>
      <c r="P118" s="228">
        <v>0.95</v>
      </c>
      <c r="Q118" s="229">
        <v>1.1000000000000001E-3</v>
      </c>
      <c r="R118" s="228">
        <v>852.3</v>
      </c>
      <c r="S118" s="228">
        <v>852.2</v>
      </c>
      <c r="T118" s="228">
        <v>0.1</v>
      </c>
      <c r="U118" s="229">
        <v>1E-4</v>
      </c>
      <c r="V118" s="228">
        <v>855.6</v>
      </c>
      <c r="W118" s="228">
        <v>855.75</v>
      </c>
      <c r="X118" s="228">
        <v>-0.15</v>
      </c>
      <c r="Y118" s="229">
        <v>-2.0000000000000001E-4</v>
      </c>
      <c r="Z118" s="228">
        <v>0.65</v>
      </c>
      <c r="AA118" s="228">
        <v>2.5499999999999998</v>
      </c>
      <c r="AB118" s="228">
        <v>-1.9</v>
      </c>
      <c r="AC118" s="229">
        <v>8.0000000000000004E-4</v>
      </c>
      <c r="AD118" s="228">
        <v>0.65</v>
      </c>
      <c r="AE118" s="228">
        <v>2.5499999999999998</v>
      </c>
      <c r="AF118" s="228">
        <v>-1.9</v>
      </c>
      <c r="AG118" s="229">
        <v>8.0000000000000004E-4</v>
      </c>
      <c r="AH118" s="228">
        <v>4.9000000000000004</v>
      </c>
      <c r="AI118" s="228">
        <v>7.65</v>
      </c>
      <c r="AJ118" s="228">
        <v>-2.75</v>
      </c>
      <c r="AK118" s="229">
        <v>5.7999999999999996E-3</v>
      </c>
      <c r="AL118" s="228">
        <v>8.1999999999999993</v>
      </c>
      <c r="AM118" s="228">
        <v>11.2</v>
      </c>
      <c r="AN118" s="228">
        <v>-3</v>
      </c>
      <c r="AO118" s="229">
        <v>9.7000000000000003E-3</v>
      </c>
      <c r="AP118" s="228">
        <v>843.38</v>
      </c>
      <c r="AQ118" s="228">
        <v>847.42</v>
      </c>
      <c r="AR118" s="228">
        <v>0</v>
      </c>
      <c r="AS118" s="228">
        <v>501</v>
      </c>
      <c r="AT118" s="228">
        <v>125</v>
      </c>
      <c r="AU118" s="228">
        <v>375</v>
      </c>
      <c r="AV118" s="229">
        <v>2.9948000000000001</v>
      </c>
      <c r="AW118" s="228">
        <v>444</v>
      </c>
      <c r="AX118" s="228">
        <v>102</v>
      </c>
      <c r="AY118" s="228">
        <v>342</v>
      </c>
      <c r="AZ118" s="229">
        <v>3.3614999999999999</v>
      </c>
      <c r="BA118" s="228">
        <v>54</v>
      </c>
      <c r="BB118" s="228">
        <v>19</v>
      </c>
      <c r="BC118" s="228">
        <v>35</v>
      </c>
      <c r="BD118" s="229">
        <v>1.8575999999999999</v>
      </c>
      <c r="BE118" s="228">
        <v>3</v>
      </c>
      <c r="BF118" s="228">
        <v>5</v>
      </c>
      <c r="BG118" s="228">
        <v>-2</v>
      </c>
      <c r="BH118" s="229">
        <v>-0.33329999999999999</v>
      </c>
      <c r="BI118" s="228">
        <v>662</v>
      </c>
      <c r="BJ118" s="228">
        <v>432</v>
      </c>
      <c r="BK118" s="228">
        <v>230</v>
      </c>
      <c r="BL118" s="229">
        <v>0.53239999999999998</v>
      </c>
      <c r="BM118" s="228">
        <v>371</v>
      </c>
      <c r="BN118" s="228">
        <v>202</v>
      </c>
      <c r="BO118" s="228">
        <v>170</v>
      </c>
      <c r="BP118" s="229">
        <v>0.84160000000000001</v>
      </c>
      <c r="BQ118" s="230">
        <v>1534</v>
      </c>
      <c r="BR118" s="228">
        <v>759</v>
      </c>
      <c r="BS118" s="228">
        <v>775</v>
      </c>
      <c r="BT118" s="229">
        <v>1.0212000000000001</v>
      </c>
      <c r="BU118" s="230">
        <v>4320163</v>
      </c>
      <c r="BV118" s="230">
        <v>771112</v>
      </c>
      <c r="BW118" s="230">
        <v>3549051</v>
      </c>
      <c r="BX118" s="229">
        <v>4.6025</v>
      </c>
      <c r="BY118" s="230">
        <v>1028</v>
      </c>
      <c r="BZ118" s="228">
        <v>980</v>
      </c>
      <c r="CA118" s="228">
        <v>48</v>
      </c>
      <c r="CB118" s="229">
        <v>4.9200000000000001E-2</v>
      </c>
      <c r="CC118" s="228">
        <v>862</v>
      </c>
      <c r="CD118" s="228">
        <v>835</v>
      </c>
      <c r="CE118" s="228">
        <v>26</v>
      </c>
      <c r="CF118" s="229">
        <v>3.1699999999999999E-2</v>
      </c>
      <c r="CG118" s="228">
        <v>146</v>
      </c>
      <c r="CH118" s="228">
        <v>126</v>
      </c>
      <c r="CI118" s="228">
        <v>21</v>
      </c>
      <c r="CJ118" s="229">
        <v>0.16589999999999999</v>
      </c>
      <c r="CK118" s="228">
        <v>20</v>
      </c>
      <c r="CL118" s="228">
        <v>19</v>
      </c>
      <c r="CM118" s="228">
        <v>1</v>
      </c>
      <c r="CN118" s="229">
        <v>4.7199999999999999E-2</v>
      </c>
      <c r="CO118" s="228">
        <v>809</v>
      </c>
      <c r="CP118" s="228">
        <v>807</v>
      </c>
      <c r="CQ118" s="228">
        <v>2</v>
      </c>
      <c r="CR118" s="229">
        <v>2.7000000000000001E-3</v>
      </c>
      <c r="CS118" s="228">
        <v>396</v>
      </c>
      <c r="CT118" s="228">
        <v>384</v>
      </c>
      <c r="CU118" s="228">
        <v>12</v>
      </c>
      <c r="CV118" s="229">
        <v>3.1800000000000002E-2</v>
      </c>
      <c r="CW118" s="230">
        <v>2233</v>
      </c>
      <c r="CX118" s="230">
        <v>2171</v>
      </c>
      <c r="CY118" s="228">
        <v>63</v>
      </c>
      <c r="CZ118" s="229">
        <v>2.8899999999999999E-2</v>
      </c>
      <c r="DA118" s="228">
        <v>18.690000000000001</v>
      </c>
      <c r="DB118" s="228">
        <v>19.329999999999998</v>
      </c>
      <c r="DC118" s="228">
        <v>-0.64</v>
      </c>
      <c r="DD118" s="228">
        <v>-0.64</v>
      </c>
      <c r="DE118" s="228">
        <v>30.46</v>
      </c>
      <c r="DF118" s="228">
        <v>30.53</v>
      </c>
      <c r="DG118" s="228">
        <v>-11.77</v>
      </c>
      <c r="DH118" s="228">
        <v>-7.0000000000000007E-2</v>
      </c>
      <c r="DI118" s="228">
        <v>19.37</v>
      </c>
      <c r="DJ118" s="228">
        <v>19.989999999999998</v>
      </c>
      <c r="DK118" s="228">
        <v>-0.62</v>
      </c>
      <c r="DL118" s="228">
        <v>-0.62</v>
      </c>
      <c r="DM118" s="228">
        <v>17.48</v>
      </c>
      <c r="DN118" s="228">
        <v>17.940000000000001</v>
      </c>
      <c r="DO118" s="228">
        <v>-0.46</v>
      </c>
      <c r="DP118" s="228">
        <v>-0.46</v>
      </c>
      <c r="DQ118" s="228">
        <v>0.49</v>
      </c>
      <c r="DR118" s="228">
        <v>0.48</v>
      </c>
      <c r="DS118" s="228">
        <v>0.01</v>
      </c>
      <c r="DT118" s="229">
        <v>2.0799999999999999E-2</v>
      </c>
      <c r="DU118" s="228">
        <v>900</v>
      </c>
      <c r="DV118" s="228">
        <v>900</v>
      </c>
      <c r="DW118" s="228">
        <v>0.56000000000000005</v>
      </c>
      <c r="DX118" s="228">
        <v>0.47</v>
      </c>
      <c r="DY118" s="228">
        <v>0.09</v>
      </c>
      <c r="DZ118" s="229">
        <v>0.1915</v>
      </c>
      <c r="EA118" s="229">
        <v>0.16170000000000001</v>
      </c>
      <c r="EB118" s="230">
        <v>1703800</v>
      </c>
      <c r="EC118" s="229">
        <v>5.0000000000000001E-3</v>
      </c>
      <c r="ED118" s="229">
        <v>0.16170000000000001</v>
      </c>
      <c r="EE118" s="228">
        <v>4.04</v>
      </c>
      <c r="EF118" s="229">
        <v>4.7999999999999996E-3</v>
      </c>
      <c r="EG118" s="230">
        <v>3012544</v>
      </c>
      <c r="EH118" s="230">
        <v>438211</v>
      </c>
      <c r="EI118" s="229">
        <v>5.8746</v>
      </c>
      <c r="EJ118" s="229">
        <v>0.69730000000000003</v>
      </c>
      <c r="EK118" s="228">
        <v>685.48</v>
      </c>
      <c r="EL118" s="228">
        <v>372.24</v>
      </c>
      <c r="EM118" s="228">
        <v>498.38</v>
      </c>
      <c r="EN118" s="228">
        <v>25.6</v>
      </c>
      <c r="EO118" s="231">
        <v>1556.09</v>
      </c>
      <c r="EP118" s="228">
        <v>779.64</v>
      </c>
      <c r="EQ118" s="228">
        <v>776.45</v>
      </c>
      <c r="ER118" s="229">
        <v>0.99590000000000001</v>
      </c>
      <c r="ES118" s="228">
        <v>864.15</v>
      </c>
      <c r="ET118" s="228">
        <v>401.35</v>
      </c>
      <c r="EU118" s="231">
        <v>1028.73</v>
      </c>
      <c r="EV118" s="231">
        <v>32057152</v>
      </c>
      <c r="EW118" s="231">
        <v>2294.23</v>
      </c>
      <c r="EX118" s="231">
        <v>2233.38</v>
      </c>
      <c r="EY118" s="228">
        <v>60.85</v>
      </c>
      <c r="EZ118" s="229">
        <v>2.7199999999999998E-2</v>
      </c>
      <c r="FA118" s="229">
        <v>0.82140000000000002</v>
      </c>
      <c r="FB118" s="227" t="s">
        <v>555</v>
      </c>
      <c r="FC118">
        <f t="shared" si="1"/>
        <v>166</v>
      </c>
    </row>
    <row r="119" spans="1:159" ht="17.25" thickBot="1" x14ac:dyDescent="0.3">
      <c r="A119" s="226">
        <v>46009</v>
      </c>
      <c r="B119" s="227" t="s">
        <v>206</v>
      </c>
      <c r="C119" s="227" t="s">
        <v>588</v>
      </c>
      <c r="D119" s="228">
        <v>450</v>
      </c>
      <c r="E119" s="228">
        <v>12</v>
      </c>
      <c r="F119" s="231">
        <v>1071.3</v>
      </c>
      <c r="G119" s="231">
        <v>1064.7</v>
      </c>
      <c r="H119" s="228">
        <v>6.6</v>
      </c>
      <c r="I119" s="229">
        <v>6.1999999999999998E-3</v>
      </c>
      <c r="J119" s="231">
        <v>1069.0999999999999</v>
      </c>
      <c r="K119" s="231">
        <v>1063.8</v>
      </c>
      <c r="L119" s="228">
        <v>5.3</v>
      </c>
      <c r="M119" s="229">
        <v>5.0000000000000001E-3</v>
      </c>
      <c r="N119" s="231">
        <v>1071.3</v>
      </c>
      <c r="O119" s="231">
        <v>1064.7</v>
      </c>
      <c r="P119" s="228">
        <v>6.6</v>
      </c>
      <c r="Q119" s="229">
        <v>6.1999999999999998E-3</v>
      </c>
      <c r="R119" s="231">
        <v>1078</v>
      </c>
      <c r="S119" s="231">
        <v>1069.9000000000001</v>
      </c>
      <c r="T119" s="228">
        <v>8.1</v>
      </c>
      <c r="U119" s="229">
        <v>7.6E-3</v>
      </c>
      <c r="V119" s="231">
        <v>1087</v>
      </c>
      <c r="W119" s="231">
        <v>1080.2</v>
      </c>
      <c r="X119" s="228">
        <v>6.8</v>
      </c>
      <c r="Y119" s="229">
        <v>6.3E-3</v>
      </c>
      <c r="Z119" s="228">
        <v>2.2000000000000002</v>
      </c>
      <c r="AA119" s="228">
        <v>0.9</v>
      </c>
      <c r="AB119" s="228">
        <v>1.3</v>
      </c>
      <c r="AC119" s="229">
        <v>2.0999999999999999E-3</v>
      </c>
      <c r="AD119" s="228">
        <v>2.2000000000000002</v>
      </c>
      <c r="AE119" s="228">
        <v>0.9</v>
      </c>
      <c r="AF119" s="228">
        <v>1.3</v>
      </c>
      <c r="AG119" s="229">
        <v>2.0999999999999999E-3</v>
      </c>
      <c r="AH119" s="228">
        <v>8.9</v>
      </c>
      <c r="AI119" s="228">
        <v>6.1</v>
      </c>
      <c r="AJ119" s="228">
        <v>2.8</v>
      </c>
      <c r="AK119" s="229">
        <v>8.3000000000000001E-3</v>
      </c>
      <c r="AL119" s="228">
        <v>17.899999999999999</v>
      </c>
      <c r="AM119" s="228">
        <v>16.399999999999999</v>
      </c>
      <c r="AN119" s="228">
        <v>1.5</v>
      </c>
      <c r="AO119" s="229">
        <v>1.67E-2</v>
      </c>
      <c r="AP119" s="231">
        <v>1066.46</v>
      </c>
      <c r="AQ119" s="231">
        <v>1074.71</v>
      </c>
      <c r="AR119" s="228">
        <v>0</v>
      </c>
      <c r="AS119" s="228">
        <v>141</v>
      </c>
      <c r="AT119" s="228">
        <v>223</v>
      </c>
      <c r="AU119" s="228">
        <v>-82</v>
      </c>
      <c r="AV119" s="229">
        <v>-0.3674</v>
      </c>
      <c r="AW119" s="228">
        <v>103</v>
      </c>
      <c r="AX119" s="228">
        <v>150</v>
      </c>
      <c r="AY119" s="228">
        <v>-47</v>
      </c>
      <c r="AZ119" s="229">
        <v>-0.3125</v>
      </c>
      <c r="BA119" s="228">
        <v>38</v>
      </c>
      <c r="BB119" s="228">
        <v>72</v>
      </c>
      <c r="BC119" s="228">
        <v>-34</v>
      </c>
      <c r="BD119" s="229">
        <v>-0.47789999999999999</v>
      </c>
      <c r="BE119" s="228">
        <v>0</v>
      </c>
      <c r="BF119" s="228">
        <v>1</v>
      </c>
      <c r="BG119" s="228">
        <v>-1</v>
      </c>
      <c r="BH119" s="229">
        <v>-0.68420000000000003</v>
      </c>
      <c r="BI119" s="228">
        <v>475</v>
      </c>
      <c r="BJ119" s="228">
        <v>739</v>
      </c>
      <c r="BK119" s="228">
        <v>-264</v>
      </c>
      <c r="BL119" s="229">
        <v>-0.35699999999999998</v>
      </c>
      <c r="BM119" s="228">
        <v>167</v>
      </c>
      <c r="BN119" s="228">
        <v>244</v>
      </c>
      <c r="BO119" s="228">
        <v>-77</v>
      </c>
      <c r="BP119" s="229">
        <v>-0.31680000000000003</v>
      </c>
      <c r="BQ119" s="228">
        <v>783</v>
      </c>
      <c r="BR119" s="230">
        <v>1207</v>
      </c>
      <c r="BS119" s="228">
        <v>-423</v>
      </c>
      <c r="BT119" s="229">
        <v>-0.3508</v>
      </c>
      <c r="BU119" s="230">
        <v>472861</v>
      </c>
      <c r="BV119" s="230">
        <v>1035150</v>
      </c>
      <c r="BW119" s="230">
        <v>-562289</v>
      </c>
      <c r="BX119" s="229">
        <v>-0.54320000000000002</v>
      </c>
      <c r="BY119" s="230">
        <v>1405</v>
      </c>
      <c r="BZ119" s="230">
        <v>1411</v>
      </c>
      <c r="CA119" s="228">
        <v>-6</v>
      </c>
      <c r="CB119" s="229">
        <v>-4.4999999999999997E-3</v>
      </c>
      <c r="CC119" s="230">
        <v>1299</v>
      </c>
      <c r="CD119" s="230">
        <v>1319</v>
      </c>
      <c r="CE119" s="228">
        <v>-21</v>
      </c>
      <c r="CF119" s="229">
        <v>-1.5599999999999999E-2</v>
      </c>
      <c r="CG119" s="228">
        <v>98</v>
      </c>
      <c r="CH119" s="228">
        <v>84</v>
      </c>
      <c r="CI119" s="228">
        <v>14</v>
      </c>
      <c r="CJ119" s="229">
        <v>0.16600000000000001</v>
      </c>
      <c r="CK119" s="228">
        <v>8</v>
      </c>
      <c r="CL119" s="228">
        <v>8</v>
      </c>
      <c r="CM119" s="228">
        <v>0</v>
      </c>
      <c r="CN119" s="229">
        <v>2.4199999999999999E-2</v>
      </c>
      <c r="CO119" s="228">
        <v>550</v>
      </c>
      <c r="CP119" s="228">
        <v>615</v>
      </c>
      <c r="CQ119" s="228">
        <v>-64</v>
      </c>
      <c r="CR119" s="229">
        <v>-0.1048</v>
      </c>
      <c r="CS119" s="228">
        <v>258</v>
      </c>
      <c r="CT119" s="228">
        <v>248</v>
      </c>
      <c r="CU119" s="228">
        <v>10</v>
      </c>
      <c r="CV119" s="229">
        <v>4.2000000000000003E-2</v>
      </c>
      <c r="CW119" s="230">
        <v>2213</v>
      </c>
      <c r="CX119" s="230">
        <v>2274</v>
      </c>
      <c r="CY119" s="228">
        <v>-60</v>
      </c>
      <c r="CZ119" s="229">
        <v>-2.6599999999999999E-2</v>
      </c>
      <c r="DA119" s="228">
        <v>26.63</v>
      </c>
      <c r="DB119" s="228">
        <v>28.75</v>
      </c>
      <c r="DC119" s="228">
        <v>-2.12</v>
      </c>
      <c r="DD119" s="228">
        <v>-2.12</v>
      </c>
      <c r="DE119" s="228">
        <v>43.9</v>
      </c>
      <c r="DF119" s="228">
        <v>44.01</v>
      </c>
      <c r="DG119" s="228">
        <v>-17.27</v>
      </c>
      <c r="DH119" s="228">
        <v>-0.11</v>
      </c>
      <c r="DI119" s="228">
        <v>26.87</v>
      </c>
      <c r="DJ119" s="228">
        <v>29.48</v>
      </c>
      <c r="DK119" s="228">
        <v>-2.61</v>
      </c>
      <c r="DL119" s="228">
        <v>-2.61</v>
      </c>
      <c r="DM119" s="228">
        <v>25.94</v>
      </c>
      <c r="DN119" s="228">
        <v>26.56</v>
      </c>
      <c r="DO119" s="228">
        <v>-0.62</v>
      </c>
      <c r="DP119" s="228">
        <v>-0.62</v>
      </c>
      <c r="DQ119" s="228">
        <v>0.47</v>
      </c>
      <c r="DR119" s="228">
        <v>0.4</v>
      </c>
      <c r="DS119" s="228">
        <v>7.0000000000000007E-2</v>
      </c>
      <c r="DT119" s="229">
        <v>0.17499999999999999</v>
      </c>
      <c r="DU119" s="231">
        <v>1160</v>
      </c>
      <c r="DV119" s="231">
        <v>1000</v>
      </c>
      <c r="DW119" s="228">
        <v>0.35</v>
      </c>
      <c r="DX119" s="228">
        <v>0.33</v>
      </c>
      <c r="DY119" s="228">
        <v>0.02</v>
      </c>
      <c r="DZ119" s="229">
        <v>6.0600000000000001E-2</v>
      </c>
      <c r="EA119" s="229">
        <v>7.5499999999999998E-2</v>
      </c>
      <c r="EB119" s="230">
        <v>857700</v>
      </c>
      <c r="EC119" s="229">
        <v>6.3E-3</v>
      </c>
      <c r="ED119" s="229">
        <v>7.5499999999999998E-2</v>
      </c>
      <c r="EE119" s="228">
        <v>8.25</v>
      </c>
      <c r="EF119" s="229">
        <v>7.7000000000000002E-3</v>
      </c>
      <c r="EG119" s="230">
        <v>188232</v>
      </c>
      <c r="EH119" s="230">
        <v>371646</v>
      </c>
      <c r="EI119" s="229">
        <v>-0.49349999999999999</v>
      </c>
      <c r="EJ119" s="229">
        <v>0.39810000000000001</v>
      </c>
      <c r="EK119" s="228">
        <v>500.38</v>
      </c>
      <c r="EL119" s="228">
        <v>164.66</v>
      </c>
      <c r="EM119" s="228">
        <v>140.94999999999999</v>
      </c>
      <c r="EN119" s="228">
        <v>27.61</v>
      </c>
      <c r="EO119" s="228">
        <v>806</v>
      </c>
      <c r="EP119" s="231">
        <v>1250.1500000000001</v>
      </c>
      <c r="EQ119" s="228">
        <v>-444.15</v>
      </c>
      <c r="ER119" s="229">
        <v>-0.3553</v>
      </c>
      <c r="ES119" s="228">
        <v>596.62</v>
      </c>
      <c r="ET119" s="228">
        <v>264.87</v>
      </c>
      <c r="EU119" s="231">
        <v>1405.62</v>
      </c>
      <c r="EV119" s="231">
        <v>42060143</v>
      </c>
      <c r="EW119" s="231">
        <v>2267.11</v>
      </c>
      <c r="EX119" s="231">
        <v>2324.3000000000002</v>
      </c>
      <c r="EY119" s="228">
        <v>-57.19</v>
      </c>
      <c r="EZ119" s="229">
        <v>-2.46E-2</v>
      </c>
      <c r="FA119" s="229">
        <v>0.49120000000000003</v>
      </c>
      <c r="FB119" s="227" t="s">
        <v>556</v>
      </c>
      <c r="FC119">
        <f t="shared" si="1"/>
        <v>106</v>
      </c>
    </row>
    <row r="120" spans="1:159" ht="17.25" thickBot="1" x14ac:dyDescent="0.3">
      <c r="A120" s="226">
        <v>46009</v>
      </c>
      <c r="B120" s="227" t="s">
        <v>184</v>
      </c>
      <c r="C120" s="227" t="s">
        <v>249</v>
      </c>
      <c r="D120" s="228">
        <v>175</v>
      </c>
      <c r="E120" s="228">
        <v>12</v>
      </c>
      <c r="F120" s="231">
        <v>4040.2</v>
      </c>
      <c r="G120" s="231">
        <v>4068.7</v>
      </c>
      <c r="H120" s="228">
        <v>-28.5</v>
      </c>
      <c r="I120" s="229">
        <v>-7.0000000000000001E-3</v>
      </c>
      <c r="J120" s="231">
        <v>4031.1</v>
      </c>
      <c r="K120" s="231">
        <v>4062.4</v>
      </c>
      <c r="L120" s="228">
        <v>-31.3</v>
      </c>
      <c r="M120" s="229">
        <v>-7.7000000000000002E-3</v>
      </c>
      <c r="N120" s="231">
        <v>4040.2</v>
      </c>
      <c r="O120" s="231">
        <v>4068.7</v>
      </c>
      <c r="P120" s="228">
        <v>-28.5</v>
      </c>
      <c r="Q120" s="229">
        <v>-7.0000000000000001E-3</v>
      </c>
      <c r="R120" s="231">
        <v>4066.5</v>
      </c>
      <c r="S120" s="231">
        <v>4093.7</v>
      </c>
      <c r="T120" s="228">
        <v>-27.2</v>
      </c>
      <c r="U120" s="229">
        <v>-6.6E-3</v>
      </c>
      <c r="V120" s="231">
        <v>4090.8</v>
      </c>
      <c r="W120" s="231">
        <v>4118.7</v>
      </c>
      <c r="X120" s="228">
        <v>-27.9</v>
      </c>
      <c r="Y120" s="229">
        <v>-6.7999999999999996E-3</v>
      </c>
      <c r="Z120" s="228">
        <v>9.1</v>
      </c>
      <c r="AA120" s="228">
        <v>6.3</v>
      </c>
      <c r="AB120" s="228">
        <v>2.8</v>
      </c>
      <c r="AC120" s="229">
        <v>2.3E-3</v>
      </c>
      <c r="AD120" s="228">
        <v>9.1</v>
      </c>
      <c r="AE120" s="228">
        <v>6.3</v>
      </c>
      <c r="AF120" s="228">
        <v>2.8</v>
      </c>
      <c r="AG120" s="229">
        <v>2.3E-3</v>
      </c>
      <c r="AH120" s="228">
        <v>35.4</v>
      </c>
      <c r="AI120" s="228">
        <v>31.3</v>
      </c>
      <c r="AJ120" s="228">
        <v>4.0999999999999996</v>
      </c>
      <c r="AK120" s="229">
        <v>8.8000000000000005E-3</v>
      </c>
      <c r="AL120" s="228">
        <v>59.7</v>
      </c>
      <c r="AM120" s="228">
        <v>56.3</v>
      </c>
      <c r="AN120" s="228">
        <v>3.4</v>
      </c>
      <c r="AO120" s="229">
        <v>1.4800000000000001E-2</v>
      </c>
      <c r="AP120" s="231">
        <v>4047.45</v>
      </c>
      <c r="AQ120" s="231">
        <v>4073.78</v>
      </c>
      <c r="AR120" s="228">
        <v>0</v>
      </c>
      <c r="AS120" s="230">
        <v>1064</v>
      </c>
      <c r="AT120" s="228">
        <v>409</v>
      </c>
      <c r="AU120" s="228">
        <v>655</v>
      </c>
      <c r="AV120" s="229">
        <v>1.6028</v>
      </c>
      <c r="AW120" s="228">
        <v>669</v>
      </c>
      <c r="AX120" s="228">
        <v>320</v>
      </c>
      <c r="AY120" s="228">
        <v>349</v>
      </c>
      <c r="AZ120" s="229">
        <v>1.0922000000000001</v>
      </c>
      <c r="BA120" s="228">
        <v>386</v>
      </c>
      <c r="BB120" s="228">
        <v>86</v>
      </c>
      <c r="BC120" s="228">
        <v>300</v>
      </c>
      <c r="BD120" s="229">
        <v>3.4790999999999999</v>
      </c>
      <c r="BE120" s="228">
        <v>9</v>
      </c>
      <c r="BF120" s="228">
        <v>3</v>
      </c>
      <c r="BG120" s="228">
        <v>6</v>
      </c>
      <c r="BH120" s="229">
        <v>2.1749999999999998</v>
      </c>
      <c r="BI120" s="230">
        <v>1688</v>
      </c>
      <c r="BJ120" s="230">
        <v>1393</v>
      </c>
      <c r="BK120" s="228">
        <v>296</v>
      </c>
      <c r="BL120" s="229">
        <v>0.21229999999999999</v>
      </c>
      <c r="BM120" s="228">
        <v>938</v>
      </c>
      <c r="BN120" s="228">
        <v>945</v>
      </c>
      <c r="BO120" s="228">
        <v>-8</v>
      </c>
      <c r="BP120" s="229">
        <v>-8.0000000000000002E-3</v>
      </c>
      <c r="BQ120" s="230">
        <v>3690</v>
      </c>
      <c r="BR120" s="230">
        <v>2747</v>
      </c>
      <c r="BS120" s="228">
        <v>943</v>
      </c>
      <c r="BT120" s="229">
        <v>0.34350000000000003</v>
      </c>
      <c r="BU120" s="230">
        <v>1238679</v>
      </c>
      <c r="BV120" s="230">
        <v>1103665</v>
      </c>
      <c r="BW120" s="230">
        <v>135014</v>
      </c>
      <c r="BX120" s="229">
        <v>0.12230000000000001</v>
      </c>
      <c r="BY120" s="230">
        <v>5595</v>
      </c>
      <c r="BZ120" s="230">
        <v>5524</v>
      </c>
      <c r="CA120" s="228">
        <v>71</v>
      </c>
      <c r="CB120" s="229">
        <v>1.29E-2</v>
      </c>
      <c r="CC120" s="230">
        <v>4464</v>
      </c>
      <c r="CD120" s="230">
        <v>4737</v>
      </c>
      <c r="CE120" s="228">
        <v>-273</v>
      </c>
      <c r="CF120" s="229">
        <v>-5.7599999999999998E-2</v>
      </c>
      <c r="CG120" s="230">
        <v>1095</v>
      </c>
      <c r="CH120" s="228">
        <v>756</v>
      </c>
      <c r="CI120" s="228">
        <v>339</v>
      </c>
      <c r="CJ120" s="229">
        <v>0.44850000000000001</v>
      </c>
      <c r="CK120" s="228">
        <v>36</v>
      </c>
      <c r="CL120" s="228">
        <v>31</v>
      </c>
      <c r="CM120" s="228">
        <v>5</v>
      </c>
      <c r="CN120" s="229">
        <v>0.1724</v>
      </c>
      <c r="CO120" s="230">
        <v>2304</v>
      </c>
      <c r="CP120" s="230">
        <v>2298</v>
      </c>
      <c r="CQ120" s="228">
        <v>6</v>
      </c>
      <c r="CR120" s="229">
        <v>2.3999999999999998E-3</v>
      </c>
      <c r="CS120" s="230">
        <v>1284</v>
      </c>
      <c r="CT120" s="230">
        <v>1308</v>
      </c>
      <c r="CU120" s="228">
        <v>-24</v>
      </c>
      <c r="CV120" s="229">
        <v>-1.8700000000000001E-2</v>
      </c>
      <c r="CW120" s="230">
        <v>9183</v>
      </c>
      <c r="CX120" s="230">
        <v>9130</v>
      </c>
      <c r="CY120" s="228">
        <v>53</v>
      </c>
      <c r="CZ120" s="229">
        <v>5.7999999999999996E-3</v>
      </c>
      <c r="DA120" s="228">
        <v>14.38</v>
      </c>
      <c r="DB120" s="228">
        <v>14.65</v>
      </c>
      <c r="DC120" s="228">
        <v>-0.27</v>
      </c>
      <c r="DD120" s="228">
        <v>-0.27</v>
      </c>
      <c r="DE120" s="228">
        <v>26.04</v>
      </c>
      <c r="DF120" s="228">
        <v>26.08</v>
      </c>
      <c r="DG120" s="228">
        <v>-11.66</v>
      </c>
      <c r="DH120" s="228">
        <v>-0.04</v>
      </c>
      <c r="DI120" s="228">
        <v>14.48</v>
      </c>
      <c r="DJ120" s="228">
        <v>14.64</v>
      </c>
      <c r="DK120" s="228">
        <v>-0.16</v>
      </c>
      <c r="DL120" s="228">
        <v>-0.16</v>
      </c>
      <c r="DM120" s="228">
        <v>14.2</v>
      </c>
      <c r="DN120" s="228">
        <v>14.68</v>
      </c>
      <c r="DO120" s="228">
        <v>-0.48</v>
      </c>
      <c r="DP120" s="228">
        <v>-0.48</v>
      </c>
      <c r="DQ120" s="228">
        <v>0.56000000000000005</v>
      </c>
      <c r="DR120" s="228">
        <v>0.56999999999999995</v>
      </c>
      <c r="DS120" s="228">
        <v>-0.01</v>
      </c>
      <c r="DT120" s="229">
        <v>-1.7500000000000002E-2</v>
      </c>
      <c r="DU120" s="231">
        <v>4100</v>
      </c>
      <c r="DV120" s="231">
        <v>4000</v>
      </c>
      <c r="DW120" s="228">
        <v>0.56000000000000005</v>
      </c>
      <c r="DX120" s="228">
        <v>0.68</v>
      </c>
      <c r="DY120" s="228">
        <v>-0.12</v>
      </c>
      <c r="DZ120" s="229">
        <v>-0.17649999999999999</v>
      </c>
      <c r="EA120" s="229">
        <v>0.20219999999999999</v>
      </c>
      <c r="EB120" s="230">
        <v>1947575</v>
      </c>
      <c r="EC120" s="229">
        <v>6.4999999999999997E-3</v>
      </c>
      <c r="ED120" s="229">
        <v>0.20219999999999999</v>
      </c>
      <c r="EE120" s="228">
        <v>26.33</v>
      </c>
      <c r="EF120" s="229">
        <v>6.4999999999999997E-3</v>
      </c>
      <c r="EG120" s="230">
        <v>523907</v>
      </c>
      <c r="EH120" s="230">
        <v>632372</v>
      </c>
      <c r="EI120" s="229">
        <v>-0.17150000000000001</v>
      </c>
      <c r="EJ120" s="229">
        <v>0.42299999999999999</v>
      </c>
      <c r="EK120" s="231">
        <v>1724.08</v>
      </c>
      <c r="EL120" s="228">
        <v>939.56</v>
      </c>
      <c r="EM120" s="231">
        <v>1068.76</v>
      </c>
      <c r="EN120" s="228">
        <v>90.01</v>
      </c>
      <c r="EO120" s="231">
        <v>3732.39</v>
      </c>
      <c r="EP120" s="231">
        <v>2788.65</v>
      </c>
      <c r="EQ120" s="228">
        <v>943.74</v>
      </c>
      <c r="ER120" s="229">
        <v>0.33839999999999998</v>
      </c>
      <c r="ES120" s="231">
        <v>2364.92</v>
      </c>
      <c r="ET120" s="231">
        <v>1251.71</v>
      </c>
      <c r="EU120" s="231">
        <v>5602.91</v>
      </c>
      <c r="EV120" s="231">
        <v>136007303</v>
      </c>
      <c r="EW120" s="231">
        <v>9219.5499999999993</v>
      </c>
      <c r="EX120" s="231">
        <v>9204.52</v>
      </c>
      <c r="EY120" s="228">
        <v>15.03</v>
      </c>
      <c r="EZ120" s="229">
        <v>1.6000000000000001E-3</v>
      </c>
      <c r="FA120" s="229">
        <v>0.1671</v>
      </c>
      <c r="FB120" s="227" t="s">
        <v>567</v>
      </c>
      <c r="FC120">
        <f t="shared" si="1"/>
        <v>1131</v>
      </c>
    </row>
    <row r="121" spans="1:159" ht="17.25" thickBot="1" x14ac:dyDescent="0.3">
      <c r="A121" s="226">
        <v>46009</v>
      </c>
      <c r="B121" s="227" t="s">
        <v>175</v>
      </c>
      <c r="C121" s="227" t="s">
        <v>565</v>
      </c>
      <c r="D121" s="228">
        <v>4462</v>
      </c>
      <c r="E121" s="228">
        <v>12</v>
      </c>
      <c r="F121" s="228">
        <v>300.8</v>
      </c>
      <c r="G121" s="228">
        <v>303.05</v>
      </c>
      <c r="H121" s="228">
        <v>-2.25</v>
      </c>
      <c r="I121" s="229">
        <v>-7.4000000000000003E-3</v>
      </c>
      <c r="J121" s="228">
        <v>299.85000000000002</v>
      </c>
      <c r="K121" s="228">
        <v>301.89999999999998</v>
      </c>
      <c r="L121" s="228">
        <v>-2.0499999999999998</v>
      </c>
      <c r="M121" s="229">
        <v>-6.7999999999999996E-3</v>
      </c>
      <c r="N121" s="228">
        <v>300.8</v>
      </c>
      <c r="O121" s="228">
        <v>303.05</v>
      </c>
      <c r="P121" s="228">
        <v>-2.25</v>
      </c>
      <c r="Q121" s="229">
        <v>-7.4000000000000003E-3</v>
      </c>
      <c r="R121" s="228">
        <v>302.25</v>
      </c>
      <c r="S121" s="228">
        <v>304.3</v>
      </c>
      <c r="T121" s="228">
        <v>-2.0499999999999998</v>
      </c>
      <c r="U121" s="229">
        <v>-6.7000000000000002E-3</v>
      </c>
      <c r="V121" s="228">
        <v>303.60000000000002</v>
      </c>
      <c r="W121" s="228">
        <v>306</v>
      </c>
      <c r="X121" s="228">
        <v>-2.4</v>
      </c>
      <c r="Y121" s="229">
        <v>-7.7999999999999996E-3</v>
      </c>
      <c r="Z121" s="228">
        <v>0.95</v>
      </c>
      <c r="AA121" s="228">
        <v>1.1499999999999999</v>
      </c>
      <c r="AB121" s="228">
        <v>-0.2</v>
      </c>
      <c r="AC121" s="229">
        <v>3.2000000000000002E-3</v>
      </c>
      <c r="AD121" s="228">
        <v>0.95</v>
      </c>
      <c r="AE121" s="228">
        <v>1.1499999999999999</v>
      </c>
      <c r="AF121" s="228">
        <v>-0.2</v>
      </c>
      <c r="AG121" s="229">
        <v>3.2000000000000002E-3</v>
      </c>
      <c r="AH121" s="228">
        <v>2.4</v>
      </c>
      <c r="AI121" s="228">
        <v>2.4</v>
      </c>
      <c r="AJ121" s="228">
        <v>0</v>
      </c>
      <c r="AK121" s="229">
        <v>8.0000000000000002E-3</v>
      </c>
      <c r="AL121" s="228">
        <v>3.75</v>
      </c>
      <c r="AM121" s="228">
        <v>4.0999999999999996</v>
      </c>
      <c r="AN121" s="228">
        <v>-0.35</v>
      </c>
      <c r="AO121" s="229">
        <v>1.2500000000000001E-2</v>
      </c>
      <c r="AP121" s="228">
        <v>301.95999999999998</v>
      </c>
      <c r="AQ121" s="228">
        <v>303.01</v>
      </c>
      <c r="AR121" s="228">
        <v>0</v>
      </c>
      <c r="AS121" s="228">
        <v>396</v>
      </c>
      <c r="AT121" s="228">
        <v>359</v>
      </c>
      <c r="AU121" s="228">
        <v>37</v>
      </c>
      <c r="AV121" s="229">
        <v>0.1024</v>
      </c>
      <c r="AW121" s="228">
        <v>333</v>
      </c>
      <c r="AX121" s="228">
        <v>291</v>
      </c>
      <c r="AY121" s="228">
        <v>42</v>
      </c>
      <c r="AZ121" s="229">
        <v>0.1429</v>
      </c>
      <c r="BA121" s="228">
        <v>60</v>
      </c>
      <c r="BB121" s="228">
        <v>65</v>
      </c>
      <c r="BC121" s="228">
        <v>-5</v>
      </c>
      <c r="BD121" s="229">
        <v>-7.4200000000000002E-2</v>
      </c>
      <c r="BE121" s="228">
        <v>3</v>
      </c>
      <c r="BF121" s="228">
        <v>3</v>
      </c>
      <c r="BG121" s="228">
        <v>0</v>
      </c>
      <c r="BH121" s="229">
        <v>0</v>
      </c>
      <c r="BI121" s="230">
        <v>1162</v>
      </c>
      <c r="BJ121" s="230">
        <v>1092</v>
      </c>
      <c r="BK121" s="228">
        <v>70</v>
      </c>
      <c r="BL121" s="229">
        <v>6.4199999999999993E-2</v>
      </c>
      <c r="BM121" s="228">
        <v>707</v>
      </c>
      <c r="BN121" s="228">
        <v>508</v>
      </c>
      <c r="BO121" s="228">
        <v>200</v>
      </c>
      <c r="BP121" s="229">
        <v>0.39300000000000002</v>
      </c>
      <c r="BQ121" s="230">
        <v>2265</v>
      </c>
      <c r="BR121" s="230">
        <v>1959</v>
      </c>
      <c r="BS121" s="228">
        <v>306</v>
      </c>
      <c r="BT121" s="229">
        <v>0.15640000000000001</v>
      </c>
      <c r="BU121" s="230">
        <v>4860728</v>
      </c>
      <c r="BV121" s="230">
        <v>4179671</v>
      </c>
      <c r="BW121" s="230">
        <v>681057</v>
      </c>
      <c r="BX121" s="229">
        <v>0.16289999999999999</v>
      </c>
      <c r="BY121" s="230">
        <v>1239</v>
      </c>
      <c r="BZ121" s="230">
        <v>1221</v>
      </c>
      <c r="CA121" s="228">
        <v>18</v>
      </c>
      <c r="CB121" s="229">
        <v>1.46E-2</v>
      </c>
      <c r="CC121" s="230">
        <v>1171</v>
      </c>
      <c r="CD121" s="230">
        <v>1153</v>
      </c>
      <c r="CE121" s="228">
        <v>17</v>
      </c>
      <c r="CF121" s="229">
        <v>1.4999999999999999E-2</v>
      </c>
      <c r="CG121" s="228">
        <v>63</v>
      </c>
      <c r="CH121" s="228">
        <v>62</v>
      </c>
      <c r="CI121" s="228">
        <v>0</v>
      </c>
      <c r="CJ121" s="229">
        <v>5.4000000000000003E-3</v>
      </c>
      <c r="CK121" s="228">
        <v>6</v>
      </c>
      <c r="CL121" s="228">
        <v>6</v>
      </c>
      <c r="CM121" s="228">
        <v>0</v>
      </c>
      <c r="CN121" s="229">
        <v>2.41E-2</v>
      </c>
      <c r="CO121" s="230">
        <v>1131</v>
      </c>
      <c r="CP121" s="230">
        <v>1127</v>
      </c>
      <c r="CQ121" s="228">
        <v>4</v>
      </c>
      <c r="CR121" s="229">
        <v>3.5999999999999999E-3</v>
      </c>
      <c r="CS121" s="228">
        <v>721</v>
      </c>
      <c r="CT121" s="228">
        <v>724</v>
      </c>
      <c r="CU121" s="228">
        <v>-2</v>
      </c>
      <c r="CV121" s="229">
        <v>-3.3999999999999998E-3</v>
      </c>
      <c r="CW121" s="230">
        <v>3091</v>
      </c>
      <c r="CX121" s="230">
        <v>3072</v>
      </c>
      <c r="CY121" s="228">
        <v>19</v>
      </c>
      <c r="CZ121" s="229">
        <v>6.3E-3</v>
      </c>
      <c r="DA121" s="228">
        <v>26.53</v>
      </c>
      <c r="DB121" s="228">
        <v>26.78</v>
      </c>
      <c r="DC121" s="228">
        <v>-0.25</v>
      </c>
      <c r="DD121" s="228">
        <v>-0.25</v>
      </c>
      <c r="DE121" s="228">
        <v>38.92</v>
      </c>
      <c r="DF121" s="228">
        <v>39</v>
      </c>
      <c r="DG121" s="228">
        <v>-12.39</v>
      </c>
      <c r="DH121" s="228">
        <v>-0.08</v>
      </c>
      <c r="DI121" s="228">
        <v>27.07</v>
      </c>
      <c r="DJ121" s="228">
        <v>26.78</v>
      </c>
      <c r="DK121" s="228">
        <v>0.28999999999999998</v>
      </c>
      <c r="DL121" s="228">
        <v>0.28999999999999998</v>
      </c>
      <c r="DM121" s="228">
        <v>25.63</v>
      </c>
      <c r="DN121" s="228">
        <v>26.79</v>
      </c>
      <c r="DO121" s="228">
        <v>-1.1599999999999999</v>
      </c>
      <c r="DP121" s="228">
        <v>-1.1599999999999999</v>
      </c>
      <c r="DQ121" s="228">
        <v>0.64</v>
      </c>
      <c r="DR121" s="228">
        <v>0.64</v>
      </c>
      <c r="DS121" s="228">
        <v>0</v>
      </c>
      <c r="DT121" s="229">
        <v>0</v>
      </c>
      <c r="DU121" s="228">
        <v>320</v>
      </c>
      <c r="DV121" s="228">
        <v>300</v>
      </c>
      <c r="DW121" s="228">
        <v>0.61</v>
      </c>
      <c r="DX121" s="228">
        <v>0.47</v>
      </c>
      <c r="DY121" s="228">
        <v>0.14000000000000001</v>
      </c>
      <c r="DZ121" s="229">
        <v>0.2979</v>
      </c>
      <c r="EA121" s="229">
        <v>5.5199999999999999E-2</v>
      </c>
      <c r="EB121" s="230">
        <v>2259000</v>
      </c>
      <c r="EC121" s="229">
        <v>4.7999999999999996E-3</v>
      </c>
      <c r="ED121" s="229">
        <v>5.5199999999999999E-2</v>
      </c>
      <c r="EE121" s="228">
        <v>1.05</v>
      </c>
      <c r="EF121" s="229">
        <v>3.5000000000000001E-3</v>
      </c>
      <c r="EG121" s="230">
        <v>2337791</v>
      </c>
      <c r="EH121" s="230">
        <v>1945373</v>
      </c>
      <c r="EI121" s="229">
        <v>0.20169999999999999</v>
      </c>
      <c r="EJ121" s="229">
        <v>0.48099999999999998</v>
      </c>
      <c r="EK121" s="231">
        <v>1174.06</v>
      </c>
      <c r="EL121" s="228">
        <v>695.29</v>
      </c>
      <c r="EM121" s="228">
        <v>366.12</v>
      </c>
      <c r="EN121" s="228">
        <v>23.67</v>
      </c>
      <c r="EO121" s="231">
        <v>2235.4699999999998</v>
      </c>
      <c r="EP121" s="231">
        <v>1949.57</v>
      </c>
      <c r="EQ121" s="228">
        <v>285.89999999999998</v>
      </c>
      <c r="ER121" s="229">
        <v>0.14660000000000001</v>
      </c>
      <c r="ES121" s="231">
        <v>1182.57</v>
      </c>
      <c r="ET121" s="228">
        <v>702.59</v>
      </c>
      <c r="EU121" s="231">
        <v>1239.29</v>
      </c>
      <c r="EV121" s="231">
        <v>126777205</v>
      </c>
      <c r="EW121" s="231">
        <v>3124.45</v>
      </c>
      <c r="EX121" s="231">
        <v>3116.4</v>
      </c>
      <c r="EY121" s="228">
        <v>8.0500000000000007</v>
      </c>
      <c r="EZ121" s="229">
        <v>2.5999999999999999E-3</v>
      </c>
      <c r="FA121" s="229">
        <v>0.81059999999999999</v>
      </c>
      <c r="FB121" s="227" t="s">
        <v>567</v>
      </c>
      <c r="FC121">
        <f t="shared" si="1"/>
        <v>68</v>
      </c>
    </row>
    <row r="122" spans="1:159" ht="17.25" thickBot="1" x14ac:dyDescent="0.3">
      <c r="A122" s="226">
        <v>46009</v>
      </c>
      <c r="B122" s="227" t="s">
        <v>221</v>
      </c>
      <c r="C122" s="227" t="s">
        <v>561</v>
      </c>
      <c r="D122" s="228">
        <v>150</v>
      </c>
      <c r="E122" s="228">
        <v>12</v>
      </c>
      <c r="F122" s="231">
        <v>6271.5</v>
      </c>
      <c r="G122" s="231">
        <v>6270.5</v>
      </c>
      <c r="H122" s="228">
        <v>1</v>
      </c>
      <c r="I122" s="229">
        <v>2.0000000000000001E-4</v>
      </c>
      <c r="J122" s="231">
        <v>6245</v>
      </c>
      <c r="K122" s="231">
        <v>6252.5</v>
      </c>
      <c r="L122" s="228">
        <v>-7.5</v>
      </c>
      <c r="M122" s="229">
        <v>-1.1999999999999999E-3</v>
      </c>
      <c r="N122" s="231">
        <v>6271.5</v>
      </c>
      <c r="O122" s="231">
        <v>6270.5</v>
      </c>
      <c r="P122" s="228">
        <v>1</v>
      </c>
      <c r="Q122" s="229">
        <v>2.0000000000000001E-4</v>
      </c>
      <c r="R122" s="231">
        <v>6308</v>
      </c>
      <c r="S122" s="231">
        <v>6304</v>
      </c>
      <c r="T122" s="228">
        <v>4</v>
      </c>
      <c r="U122" s="229">
        <v>5.9999999999999995E-4</v>
      </c>
      <c r="V122" s="231">
        <v>6269</v>
      </c>
      <c r="W122" s="231">
        <v>6316.5</v>
      </c>
      <c r="X122" s="228">
        <v>-47.5</v>
      </c>
      <c r="Y122" s="229">
        <v>-7.4999999999999997E-3</v>
      </c>
      <c r="Z122" s="228">
        <v>26.5</v>
      </c>
      <c r="AA122" s="228">
        <v>18</v>
      </c>
      <c r="AB122" s="228">
        <v>8.5</v>
      </c>
      <c r="AC122" s="229">
        <v>4.1999999999999997E-3</v>
      </c>
      <c r="AD122" s="228">
        <v>26.5</v>
      </c>
      <c r="AE122" s="228">
        <v>18</v>
      </c>
      <c r="AF122" s="228">
        <v>8.5</v>
      </c>
      <c r="AG122" s="229">
        <v>4.1999999999999997E-3</v>
      </c>
      <c r="AH122" s="228">
        <v>63</v>
      </c>
      <c r="AI122" s="228">
        <v>51.5</v>
      </c>
      <c r="AJ122" s="228">
        <v>11.5</v>
      </c>
      <c r="AK122" s="229">
        <v>1.01E-2</v>
      </c>
      <c r="AL122" s="228">
        <v>24</v>
      </c>
      <c r="AM122" s="228">
        <v>64</v>
      </c>
      <c r="AN122" s="228">
        <v>-40</v>
      </c>
      <c r="AO122" s="229">
        <v>3.8E-3</v>
      </c>
      <c r="AP122" s="231">
        <v>6262.48</v>
      </c>
      <c r="AQ122" s="231">
        <v>6300.07</v>
      </c>
      <c r="AR122" s="228">
        <v>0</v>
      </c>
      <c r="AS122" s="228">
        <v>328</v>
      </c>
      <c r="AT122" s="228">
        <v>257</v>
      </c>
      <c r="AU122" s="228">
        <v>72</v>
      </c>
      <c r="AV122" s="229">
        <v>0.27889999999999998</v>
      </c>
      <c r="AW122" s="228">
        <v>270</v>
      </c>
      <c r="AX122" s="228">
        <v>215</v>
      </c>
      <c r="AY122" s="228">
        <v>54</v>
      </c>
      <c r="AZ122" s="229">
        <v>0.25280000000000002</v>
      </c>
      <c r="BA122" s="228">
        <v>57</v>
      </c>
      <c r="BB122" s="228">
        <v>41</v>
      </c>
      <c r="BC122" s="228">
        <v>16</v>
      </c>
      <c r="BD122" s="229">
        <v>0.4</v>
      </c>
      <c r="BE122" s="228">
        <v>1</v>
      </c>
      <c r="BF122" s="228">
        <v>0</v>
      </c>
      <c r="BG122" s="228">
        <v>1</v>
      </c>
      <c r="BH122" s="229">
        <v>2</v>
      </c>
      <c r="BI122" s="230">
        <v>1347</v>
      </c>
      <c r="BJ122" s="230">
        <v>1052</v>
      </c>
      <c r="BK122" s="228">
        <v>296</v>
      </c>
      <c r="BL122" s="229">
        <v>0.28110000000000002</v>
      </c>
      <c r="BM122" s="228">
        <v>383</v>
      </c>
      <c r="BN122" s="228">
        <v>329</v>
      </c>
      <c r="BO122" s="228">
        <v>54</v>
      </c>
      <c r="BP122" s="229">
        <v>0.16389999999999999</v>
      </c>
      <c r="BQ122" s="230">
        <v>2058</v>
      </c>
      <c r="BR122" s="230">
        <v>1637</v>
      </c>
      <c r="BS122" s="228">
        <v>421</v>
      </c>
      <c r="BT122" s="229">
        <v>0.25719999999999998</v>
      </c>
      <c r="BU122" s="230">
        <v>335576</v>
      </c>
      <c r="BV122" s="230">
        <v>412770</v>
      </c>
      <c r="BW122" s="230">
        <v>-77194</v>
      </c>
      <c r="BX122" s="229">
        <v>-0.187</v>
      </c>
      <c r="BY122" s="230">
        <v>1506</v>
      </c>
      <c r="BZ122" s="230">
        <v>1447</v>
      </c>
      <c r="CA122" s="228">
        <v>59</v>
      </c>
      <c r="CB122" s="229">
        <v>4.0599999999999997E-2</v>
      </c>
      <c r="CC122" s="230">
        <v>1353</v>
      </c>
      <c r="CD122" s="230">
        <v>1327</v>
      </c>
      <c r="CE122" s="228">
        <v>27</v>
      </c>
      <c r="CF122" s="229">
        <v>0.02</v>
      </c>
      <c r="CG122" s="228">
        <v>148</v>
      </c>
      <c r="CH122" s="228">
        <v>117</v>
      </c>
      <c r="CI122" s="228">
        <v>31</v>
      </c>
      <c r="CJ122" s="229">
        <v>0.26939999999999997</v>
      </c>
      <c r="CK122" s="228">
        <v>5</v>
      </c>
      <c r="CL122" s="228">
        <v>4</v>
      </c>
      <c r="CM122" s="228">
        <v>1</v>
      </c>
      <c r="CN122" s="229">
        <v>0.2195</v>
      </c>
      <c r="CO122" s="228">
        <v>622</v>
      </c>
      <c r="CP122" s="228">
        <v>579</v>
      </c>
      <c r="CQ122" s="228">
        <v>44</v>
      </c>
      <c r="CR122" s="229">
        <v>7.5200000000000003E-2</v>
      </c>
      <c r="CS122" s="228">
        <v>479</v>
      </c>
      <c r="CT122" s="228">
        <v>457</v>
      </c>
      <c r="CU122" s="228">
        <v>22</v>
      </c>
      <c r="CV122" s="229">
        <v>4.7300000000000002E-2</v>
      </c>
      <c r="CW122" s="230">
        <v>2607</v>
      </c>
      <c r="CX122" s="230">
        <v>2483</v>
      </c>
      <c r="CY122" s="228">
        <v>124</v>
      </c>
      <c r="CZ122" s="229">
        <v>4.99E-2</v>
      </c>
      <c r="DA122" s="228">
        <v>22.16</v>
      </c>
      <c r="DB122" s="228">
        <v>22.48</v>
      </c>
      <c r="DC122" s="228">
        <v>-0.32</v>
      </c>
      <c r="DD122" s="228">
        <v>-0.32</v>
      </c>
      <c r="DE122" s="228">
        <v>32.18</v>
      </c>
      <c r="DF122" s="228">
        <v>32.26</v>
      </c>
      <c r="DG122" s="228">
        <v>-10.02</v>
      </c>
      <c r="DH122" s="228">
        <v>-0.08</v>
      </c>
      <c r="DI122" s="228">
        <v>22.15</v>
      </c>
      <c r="DJ122" s="228">
        <v>22.3</v>
      </c>
      <c r="DK122" s="228">
        <v>-0.15</v>
      </c>
      <c r="DL122" s="228">
        <v>-0.15</v>
      </c>
      <c r="DM122" s="228">
        <v>22.18</v>
      </c>
      <c r="DN122" s="228">
        <v>23.06</v>
      </c>
      <c r="DO122" s="228">
        <v>-0.88</v>
      </c>
      <c r="DP122" s="228">
        <v>-0.88</v>
      </c>
      <c r="DQ122" s="228">
        <v>0.77</v>
      </c>
      <c r="DR122" s="228">
        <v>0.79</v>
      </c>
      <c r="DS122" s="228">
        <v>-0.02</v>
      </c>
      <c r="DT122" s="229">
        <v>-2.53E-2</v>
      </c>
      <c r="DU122" s="231">
        <v>6300</v>
      </c>
      <c r="DV122" s="231">
        <v>5900</v>
      </c>
      <c r="DW122" s="228">
        <v>0.28000000000000003</v>
      </c>
      <c r="DX122" s="228">
        <v>0.31</v>
      </c>
      <c r="DY122" s="228">
        <v>-0.03</v>
      </c>
      <c r="DZ122" s="229">
        <v>-9.6799999999999997E-2</v>
      </c>
      <c r="EA122" s="229">
        <v>0.1014</v>
      </c>
      <c r="EB122" s="230">
        <v>192150</v>
      </c>
      <c r="EC122" s="229">
        <v>5.7999999999999996E-3</v>
      </c>
      <c r="ED122" s="229">
        <v>0.1014</v>
      </c>
      <c r="EE122" s="228">
        <v>37.590000000000003</v>
      </c>
      <c r="EF122" s="229">
        <v>6.0000000000000001E-3</v>
      </c>
      <c r="EG122" s="230">
        <v>207523</v>
      </c>
      <c r="EH122" s="230">
        <v>246916</v>
      </c>
      <c r="EI122" s="229">
        <v>-0.1595</v>
      </c>
      <c r="EJ122" s="229">
        <v>0.61839999999999995</v>
      </c>
      <c r="EK122" s="231">
        <v>1386.17</v>
      </c>
      <c r="EL122" s="228">
        <v>378.77</v>
      </c>
      <c r="EM122" s="228">
        <v>328.19</v>
      </c>
      <c r="EN122" s="228">
        <v>22.05</v>
      </c>
      <c r="EO122" s="231">
        <v>2093.13</v>
      </c>
      <c r="EP122" s="231">
        <v>1660.93</v>
      </c>
      <c r="EQ122" s="228">
        <v>432.21</v>
      </c>
      <c r="ER122" s="229">
        <v>0.26019999999999999</v>
      </c>
      <c r="ES122" s="228">
        <v>637.35</v>
      </c>
      <c r="ET122" s="228">
        <v>449.25</v>
      </c>
      <c r="EU122" s="231">
        <v>1506.96</v>
      </c>
      <c r="EV122" s="231">
        <v>9315942</v>
      </c>
      <c r="EW122" s="231">
        <v>2593.56</v>
      </c>
      <c r="EX122" s="231">
        <v>2468.29</v>
      </c>
      <c r="EY122" s="228">
        <v>125.27</v>
      </c>
      <c r="EZ122" s="229">
        <v>5.0799999999999998E-2</v>
      </c>
      <c r="FA122" s="229">
        <v>0.44629999999999997</v>
      </c>
      <c r="FB122" s="227" t="s">
        <v>555</v>
      </c>
      <c r="FC122">
        <f t="shared" si="1"/>
        <v>153</v>
      </c>
    </row>
    <row r="123" spans="1:159" ht="17.25" thickBot="1" x14ac:dyDescent="0.3">
      <c r="A123" s="226">
        <v>46009</v>
      </c>
      <c r="B123" s="227" t="s">
        <v>170</v>
      </c>
      <c r="C123" s="227" t="s">
        <v>250</v>
      </c>
      <c r="D123" s="228">
        <v>425</v>
      </c>
      <c r="E123" s="228">
        <v>12</v>
      </c>
      <c r="F123" s="231">
        <v>2119.3000000000002</v>
      </c>
      <c r="G123" s="231">
        <v>2114</v>
      </c>
      <c r="H123" s="228">
        <v>5.3</v>
      </c>
      <c r="I123" s="229">
        <v>2.5000000000000001E-3</v>
      </c>
      <c r="J123" s="231">
        <v>2119.1</v>
      </c>
      <c r="K123" s="231">
        <v>2113.1</v>
      </c>
      <c r="L123" s="228">
        <v>6</v>
      </c>
      <c r="M123" s="229">
        <v>2.8E-3</v>
      </c>
      <c r="N123" s="231">
        <v>2119.3000000000002</v>
      </c>
      <c r="O123" s="231">
        <v>2114</v>
      </c>
      <c r="P123" s="228">
        <v>5.3</v>
      </c>
      <c r="Q123" s="229">
        <v>2.5000000000000001E-3</v>
      </c>
      <c r="R123" s="231">
        <v>2133.4</v>
      </c>
      <c r="S123" s="231">
        <v>2126</v>
      </c>
      <c r="T123" s="228">
        <v>7.4</v>
      </c>
      <c r="U123" s="229">
        <v>3.5000000000000001E-3</v>
      </c>
      <c r="V123" s="231">
        <v>2145.8000000000002</v>
      </c>
      <c r="W123" s="231">
        <v>2139.1999999999998</v>
      </c>
      <c r="X123" s="228">
        <v>6.6</v>
      </c>
      <c r="Y123" s="229">
        <v>3.0999999999999999E-3</v>
      </c>
      <c r="Z123" s="228">
        <v>0.2</v>
      </c>
      <c r="AA123" s="228">
        <v>0.9</v>
      </c>
      <c r="AB123" s="228">
        <v>-0.7</v>
      </c>
      <c r="AC123" s="229">
        <v>1E-4</v>
      </c>
      <c r="AD123" s="228">
        <v>0.2</v>
      </c>
      <c r="AE123" s="228">
        <v>0.9</v>
      </c>
      <c r="AF123" s="228">
        <v>-0.7</v>
      </c>
      <c r="AG123" s="229">
        <v>1E-4</v>
      </c>
      <c r="AH123" s="228">
        <v>14.3</v>
      </c>
      <c r="AI123" s="228">
        <v>12.9</v>
      </c>
      <c r="AJ123" s="228">
        <v>1.4</v>
      </c>
      <c r="AK123" s="229">
        <v>6.7000000000000002E-3</v>
      </c>
      <c r="AL123" s="228">
        <v>26.7</v>
      </c>
      <c r="AM123" s="228">
        <v>26.1</v>
      </c>
      <c r="AN123" s="228">
        <v>0.6</v>
      </c>
      <c r="AO123" s="229">
        <v>1.26E-2</v>
      </c>
      <c r="AP123" s="231">
        <v>2116.39</v>
      </c>
      <c r="AQ123" s="231">
        <v>2129.9499999999998</v>
      </c>
      <c r="AR123" s="228">
        <v>0</v>
      </c>
      <c r="AS123" s="228">
        <v>239</v>
      </c>
      <c r="AT123" s="228">
        <v>286</v>
      </c>
      <c r="AU123" s="228">
        <v>-47</v>
      </c>
      <c r="AV123" s="229">
        <v>-0.16550000000000001</v>
      </c>
      <c r="AW123" s="228">
        <v>200</v>
      </c>
      <c r="AX123" s="228">
        <v>253</v>
      </c>
      <c r="AY123" s="228">
        <v>-54</v>
      </c>
      <c r="AZ123" s="229">
        <v>-0.21190000000000001</v>
      </c>
      <c r="BA123" s="228">
        <v>38</v>
      </c>
      <c r="BB123" s="228">
        <v>31</v>
      </c>
      <c r="BC123" s="228">
        <v>6</v>
      </c>
      <c r="BD123" s="229">
        <v>0.20519999999999999</v>
      </c>
      <c r="BE123" s="228">
        <v>1</v>
      </c>
      <c r="BF123" s="228">
        <v>1</v>
      </c>
      <c r="BG123" s="228">
        <v>0</v>
      </c>
      <c r="BH123" s="229">
        <v>0</v>
      </c>
      <c r="BI123" s="228">
        <v>841</v>
      </c>
      <c r="BJ123" s="230">
        <v>1278</v>
      </c>
      <c r="BK123" s="228">
        <v>-437</v>
      </c>
      <c r="BL123" s="229">
        <v>-0.3417</v>
      </c>
      <c r="BM123" s="228">
        <v>342</v>
      </c>
      <c r="BN123" s="228">
        <v>389</v>
      </c>
      <c r="BO123" s="228">
        <v>-47</v>
      </c>
      <c r="BP123" s="229">
        <v>-0.1212</v>
      </c>
      <c r="BQ123" s="230">
        <v>1421</v>
      </c>
      <c r="BR123" s="230">
        <v>1953</v>
      </c>
      <c r="BS123" s="228">
        <v>-531</v>
      </c>
      <c r="BT123" s="229">
        <v>-0.27200000000000002</v>
      </c>
      <c r="BU123" s="230">
        <v>529058</v>
      </c>
      <c r="BV123" s="230">
        <v>800211</v>
      </c>
      <c r="BW123" s="230">
        <v>-271153</v>
      </c>
      <c r="BX123" s="229">
        <v>-0.33889999999999998</v>
      </c>
      <c r="BY123" s="230">
        <v>1521</v>
      </c>
      <c r="BZ123" s="230">
        <v>1531</v>
      </c>
      <c r="CA123" s="228">
        <v>-10</v>
      </c>
      <c r="CB123" s="229">
        <v>-6.4999999999999997E-3</v>
      </c>
      <c r="CC123" s="230">
        <v>1434</v>
      </c>
      <c r="CD123" s="230">
        <v>1464</v>
      </c>
      <c r="CE123" s="228">
        <v>-30</v>
      </c>
      <c r="CF123" s="229">
        <v>-2.0500000000000001E-2</v>
      </c>
      <c r="CG123" s="228">
        <v>82</v>
      </c>
      <c r="CH123" s="228">
        <v>63</v>
      </c>
      <c r="CI123" s="228">
        <v>20</v>
      </c>
      <c r="CJ123" s="229">
        <v>0.31469999999999998</v>
      </c>
      <c r="CK123" s="228">
        <v>5</v>
      </c>
      <c r="CL123" s="228">
        <v>5</v>
      </c>
      <c r="CM123" s="228">
        <v>0</v>
      </c>
      <c r="CN123" s="229">
        <v>0.08</v>
      </c>
      <c r="CO123" s="228">
        <v>619</v>
      </c>
      <c r="CP123" s="228">
        <v>637</v>
      </c>
      <c r="CQ123" s="228">
        <v>-18</v>
      </c>
      <c r="CR123" s="229">
        <v>-2.8000000000000001E-2</v>
      </c>
      <c r="CS123" s="228">
        <v>494</v>
      </c>
      <c r="CT123" s="228">
        <v>486</v>
      </c>
      <c r="CU123" s="228">
        <v>8</v>
      </c>
      <c r="CV123" s="229">
        <v>1.7000000000000001E-2</v>
      </c>
      <c r="CW123" s="230">
        <v>2635</v>
      </c>
      <c r="CX123" s="230">
        <v>2654</v>
      </c>
      <c r="CY123" s="228">
        <v>-19</v>
      </c>
      <c r="CZ123" s="229">
        <v>-7.3000000000000001E-3</v>
      </c>
      <c r="DA123" s="228">
        <v>18.62</v>
      </c>
      <c r="DB123" s="228">
        <v>19.68</v>
      </c>
      <c r="DC123" s="228">
        <v>-1.06</v>
      </c>
      <c r="DD123" s="228">
        <v>-1.06</v>
      </c>
      <c r="DE123" s="228">
        <v>30.27</v>
      </c>
      <c r="DF123" s="228">
        <v>30.35</v>
      </c>
      <c r="DG123" s="228">
        <v>-11.65</v>
      </c>
      <c r="DH123" s="228">
        <v>-0.08</v>
      </c>
      <c r="DI123" s="228">
        <v>18.12</v>
      </c>
      <c r="DJ123" s="228">
        <v>19.489999999999998</v>
      </c>
      <c r="DK123" s="228">
        <v>-1.37</v>
      </c>
      <c r="DL123" s="228">
        <v>-1.37</v>
      </c>
      <c r="DM123" s="228">
        <v>19.84</v>
      </c>
      <c r="DN123" s="228">
        <v>20.3</v>
      </c>
      <c r="DO123" s="228">
        <v>-0.46</v>
      </c>
      <c r="DP123" s="228">
        <v>-0.46</v>
      </c>
      <c r="DQ123" s="228">
        <v>0.8</v>
      </c>
      <c r="DR123" s="228">
        <v>0.76</v>
      </c>
      <c r="DS123" s="228">
        <v>0.04</v>
      </c>
      <c r="DT123" s="229">
        <v>5.2600000000000001E-2</v>
      </c>
      <c r="DU123" s="231">
        <v>2200</v>
      </c>
      <c r="DV123" s="231">
        <v>2000</v>
      </c>
      <c r="DW123" s="228">
        <v>0.41</v>
      </c>
      <c r="DX123" s="228">
        <v>0.3</v>
      </c>
      <c r="DY123" s="228">
        <v>0.11</v>
      </c>
      <c r="DZ123" s="229">
        <v>0.36670000000000003</v>
      </c>
      <c r="EA123" s="229">
        <v>5.74E-2</v>
      </c>
      <c r="EB123" s="230">
        <v>317050</v>
      </c>
      <c r="EC123" s="229">
        <v>6.7000000000000002E-3</v>
      </c>
      <c r="ED123" s="229">
        <v>5.74E-2</v>
      </c>
      <c r="EE123" s="228">
        <v>13.56</v>
      </c>
      <c r="EF123" s="229">
        <v>6.4000000000000003E-3</v>
      </c>
      <c r="EG123" s="230">
        <v>318869</v>
      </c>
      <c r="EH123" s="230">
        <v>444101</v>
      </c>
      <c r="EI123" s="229">
        <v>-0.28199999999999997</v>
      </c>
      <c r="EJ123" s="229">
        <v>0.60270000000000001</v>
      </c>
      <c r="EK123" s="228">
        <v>858.68</v>
      </c>
      <c r="EL123" s="228">
        <v>337.06</v>
      </c>
      <c r="EM123" s="228">
        <v>238.43</v>
      </c>
      <c r="EN123" s="228">
        <v>23.59</v>
      </c>
      <c r="EO123" s="231">
        <v>1434.17</v>
      </c>
      <c r="EP123" s="231">
        <v>1973.49</v>
      </c>
      <c r="EQ123" s="228">
        <v>-539.32000000000005</v>
      </c>
      <c r="ER123" s="229">
        <v>-0.27329999999999999</v>
      </c>
      <c r="ES123" s="228">
        <v>630.62</v>
      </c>
      <c r="ET123" s="228">
        <v>468.88</v>
      </c>
      <c r="EU123" s="231">
        <v>1521.54</v>
      </c>
      <c r="EV123" s="231">
        <v>35341043</v>
      </c>
      <c r="EW123" s="231">
        <v>2621.04</v>
      </c>
      <c r="EX123" s="231">
        <v>2635.91</v>
      </c>
      <c r="EY123" s="228">
        <v>-14.87</v>
      </c>
      <c r="EZ123" s="229">
        <v>-5.5999999999999999E-3</v>
      </c>
      <c r="FA123" s="229">
        <v>0.3518</v>
      </c>
      <c r="FB123" s="227" t="s">
        <v>556</v>
      </c>
      <c r="FC123">
        <f t="shared" si="1"/>
        <v>87</v>
      </c>
    </row>
    <row r="124" spans="1:159" ht="17.25" thickBot="1" x14ac:dyDescent="0.3">
      <c r="A124" s="226">
        <v>46009</v>
      </c>
      <c r="B124" s="227" t="s">
        <v>162</v>
      </c>
      <c r="C124" s="227" t="s">
        <v>251</v>
      </c>
      <c r="D124" s="228">
        <v>200</v>
      </c>
      <c r="E124" s="228">
        <v>12</v>
      </c>
      <c r="F124" s="231">
        <v>3593.1</v>
      </c>
      <c r="G124" s="231">
        <v>3617.9</v>
      </c>
      <c r="H124" s="228">
        <v>-24.8</v>
      </c>
      <c r="I124" s="229">
        <v>-6.8999999999999999E-3</v>
      </c>
      <c r="J124" s="231">
        <v>3586.6</v>
      </c>
      <c r="K124" s="231">
        <v>3612.8</v>
      </c>
      <c r="L124" s="228">
        <v>-26.2</v>
      </c>
      <c r="M124" s="229">
        <v>-7.3000000000000001E-3</v>
      </c>
      <c r="N124" s="231">
        <v>3593.1</v>
      </c>
      <c r="O124" s="231">
        <v>3617.9</v>
      </c>
      <c r="P124" s="228">
        <v>-24.8</v>
      </c>
      <c r="Q124" s="229">
        <v>-6.8999999999999999E-3</v>
      </c>
      <c r="R124" s="231">
        <v>3616.3</v>
      </c>
      <c r="S124" s="231">
        <v>3640.1</v>
      </c>
      <c r="T124" s="228">
        <v>-23.8</v>
      </c>
      <c r="U124" s="229">
        <v>-6.4999999999999997E-3</v>
      </c>
      <c r="V124" s="231">
        <v>3634.7</v>
      </c>
      <c r="W124" s="231">
        <v>3660.5</v>
      </c>
      <c r="X124" s="228">
        <v>-25.8</v>
      </c>
      <c r="Y124" s="229">
        <v>-7.0000000000000001E-3</v>
      </c>
      <c r="Z124" s="228">
        <v>6.5</v>
      </c>
      <c r="AA124" s="228">
        <v>5.0999999999999996</v>
      </c>
      <c r="AB124" s="228">
        <v>1.4</v>
      </c>
      <c r="AC124" s="229">
        <v>1.8E-3</v>
      </c>
      <c r="AD124" s="228">
        <v>6.5</v>
      </c>
      <c r="AE124" s="228">
        <v>5.0999999999999996</v>
      </c>
      <c r="AF124" s="228">
        <v>1.4</v>
      </c>
      <c r="AG124" s="229">
        <v>1.8E-3</v>
      </c>
      <c r="AH124" s="228">
        <v>29.7</v>
      </c>
      <c r="AI124" s="228">
        <v>27.3</v>
      </c>
      <c r="AJ124" s="228">
        <v>2.4</v>
      </c>
      <c r="AK124" s="229">
        <v>8.3000000000000001E-3</v>
      </c>
      <c r="AL124" s="228">
        <v>48.1</v>
      </c>
      <c r="AM124" s="228">
        <v>47.7</v>
      </c>
      <c r="AN124" s="228">
        <v>0.4</v>
      </c>
      <c r="AO124" s="229">
        <v>1.34E-2</v>
      </c>
      <c r="AP124" s="231">
        <v>3575.42</v>
      </c>
      <c r="AQ124" s="231">
        <v>3601.01</v>
      </c>
      <c r="AR124" s="228">
        <v>0</v>
      </c>
      <c r="AS124" s="230">
        <v>1299</v>
      </c>
      <c r="AT124" s="228">
        <v>539</v>
      </c>
      <c r="AU124" s="228">
        <v>760</v>
      </c>
      <c r="AV124" s="229">
        <v>1.4093</v>
      </c>
      <c r="AW124" s="228">
        <v>914</v>
      </c>
      <c r="AX124" s="228">
        <v>396</v>
      </c>
      <c r="AY124" s="228">
        <v>518</v>
      </c>
      <c r="AZ124" s="229">
        <v>1.3070999999999999</v>
      </c>
      <c r="BA124" s="228">
        <v>371</v>
      </c>
      <c r="BB124" s="228">
        <v>139</v>
      </c>
      <c r="BC124" s="228">
        <v>233</v>
      </c>
      <c r="BD124" s="229">
        <v>1.6740999999999999</v>
      </c>
      <c r="BE124" s="228">
        <v>13</v>
      </c>
      <c r="BF124" s="228">
        <v>4</v>
      </c>
      <c r="BG124" s="228">
        <v>9</v>
      </c>
      <c r="BH124" s="229">
        <v>2.3454999999999999</v>
      </c>
      <c r="BI124" s="230">
        <v>3066</v>
      </c>
      <c r="BJ124" s="230">
        <v>1671</v>
      </c>
      <c r="BK124" s="230">
        <v>1395</v>
      </c>
      <c r="BL124" s="229">
        <v>0.83430000000000004</v>
      </c>
      <c r="BM124" s="230">
        <v>2136</v>
      </c>
      <c r="BN124" s="228">
        <v>856</v>
      </c>
      <c r="BO124" s="230">
        <v>1281</v>
      </c>
      <c r="BP124" s="229">
        <v>1.4966999999999999</v>
      </c>
      <c r="BQ124" s="230">
        <v>6501</v>
      </c>
      <c r="BR124" s="230">
        <v>3066</v>
      </c>
      <c r="BS124" s="230">
        <v>3435</v>
      </c>
      <c r="BT124" s="229">
        <v>1.1203000000000001</v>
      </c>
      <c r="BU124" s="230">
        <v>3192522</v>
      </c>
      <c r="BV124" s="230">
        <v>1243735</v>
      </c>
      <c r="BW124" s="230">
        <v>1948787</v>
      </c>
      <c r="BX124" s="229">
        <v>1.5669</v>
      </c>
      <c r="BY124" s="230">
        <v>6684</v>
      </c>
      <c r="BZ124" s="230">
        <v>6631</v>
      </c>
      <c r="CA124" s="228">
        <v>53</v>
      </c>
      <c r="CB124" s="229">
        <v>8.0000000000000002E-3</v>
      </c>
      <c r="CC124" s="230">
        <v>5715</v>
      </c>
      <c r="CD124" s="230">
        <v>5968</v>
      </c>
      <c r="CE124" s="228">
        <v>-252</v>
      </c>
      <c r="CF124" s="229">
        <v>-4.2200000000000001E-2</v>
      </c>
      <c r="CG124" s="228">
        <v>920</v>
      </c>
      <c r="CH124" s="228">
        <v>617</v>
      </c>
      <c r="CI124" s="228">
        <v>302</v>
      </c>
      <c r="CJ124" s="229">
        <v>0.4894</v>
      </c>
      <c r="CK124" s="228">
        <v>49</v>
      </c>
      <c r="CL124" s="228">
        <v>46</v>
      </c>
      <c r="CM124" s="228">
        <v>3</v>
      </c>
      <c r="CN124" s="229">
        <v>6.2899999999999998E-2</v>
      </c>
      <c r="CO124" s="230">
        <v>2456</v>
      </c>
      <c r="CP124" s="230">
        <v>2403</v>
      </c>
      <c r="CQ124" s="228">
        <v>54</v>
      </c>
      <c r="CR124" s="229">
        <v>2.24E-2</v>
      </c>
      <c r="CS124" s="230">
        <v>1325</v>
      </c>
      <c r="CT124" s="230">
        <v>1286</v>
      </c>
      <c r="CU124" s="228">
        <v>39</v>
      </c>
      <c r="CV124" s="229">
        <v>3.0499999999999999E-2</v>
      </c>
      <c r="CW124" s="230">
        <v>10465</v>
      </c>
      <c r="CX124" s="230">
        <v>10319</v>
      </c>
      <c r="CY124" s="228">
        <v>146</v>
      </c>
      <c r="CZ124" s="229">
        <v>1.4200000000000001E-2</v>
      </c>
      <c r="DA124" s="228">
        <v>20.57</v>
      </c>
      <c r="DB124" s="228">
        <v>21.27</v>
      </c>
      <c r="DC124" s="228">
        <v>-0.7</v>
      </c>
      <c r="DD124" s="228">
        <v>-0.7</v>
      </c>
      <c r="DE124" s="228">
        <v>32.11</v>
      </c>
      <c r="DF124" s="228">
        <v>32.18</v>
      </c>
      <c r="DG124" s="228">
        <v>-11.54</v>
      </c>
      <c r="DH124" s="228">
        <v>-7.0000000000000007E-2</v>
      </c>
      <c r="DI124" s="228">
        <v>20.85</v>
      </c>
      <c r="DJ124" s="228">
        <v>21.65</v>
      </c>
      <c r="DK124" s="228">
        <v>-0.8</v>
      </c>
      <c r="DL124" s="228">
        <v>-0.8</v>
      </c>
      <c r="DM124" s="228">
        <v>20.16</v>
      </c>
      <c r="DN124" s="228">
        <v>20.52</v>
      </c>
      <c r="DO124" s="228">
        <v>-0.36</v>
      </c>
      <c r="DP124" s="228">
        <v>-0.36</v>
      </c>
      <c r="DQ124" s="228">
        <v>0.54</v>
      </c>
      <c r="DR124" s="228">
        <v>0.54</v>
      </c>
      <c r="DS124" s="228">
        <v>0</v>
      </c>
      <c r="DT124" s="229">
        <v>0</v>
      </c>
      <c r="DU124" s="231">
        <v>3800</v>
      </c>
      <c r="DV124" s="231">
        <v>3600</v>
      </c>
      <c r="DW124" s="228">
        <v>0.7</v>
      </c>
      <c r="DX124" s="228">
        <v>0.51</v>
      </c>
      <c r="DY124" s="228">
        <v>0.19</v>
      </c>
      <c r="DZ124" s="229">
        <v>0.3725</v>
      </c>
      <c r="EA124" s="229">
        <v>0.1449</v>
      </c>
      <c r="EB124" s="230">
        <v>1845600</v>
      </c>
      <c r="EC124" s="229">
        <v>6.4999999999999997E-3</v>
      </c>
      <c r="ED124" s="229">
        <v>0.1449</v>
      </c>
      <c r="EE124" s="228">
        <v>25.59</v>
      </c>
      <c r="EF124" s="229">
        <v>7.1999999999999998E-3</v>
      </c>
      <c r="EG124" s="230">
        <v>1995803</v>
      </c>
      <c r="EH124" s="230">
        <v>803308</v>
      </c>
      <c r="EI124" s="229">
        <v>1.4844999999999999</v>
      </c>
      <c r="EJ124" s="229">
        <v>0.62509999999999999</v>
      </c>
      <c r="EK124" s="231">
        <v>3172.89</v>
      </c>
      <c r="EL124" s="231">
        <v>2113.9</v>
      </c>
      <c r="EM124" s="231">
        <v>1294.95</v>
      </c>
      <c r="EN124" s="228">
        <v>70.790000000000006</v>
      </c>
      <c r="EO124" s="231">
        <v>6581.73</v>
      </c>
      <c r="EP124" s="231">
        <v>3146.22</v>
      </c>
      <c r="EQ124" s="231">
        <v>3435.52</v>
      </c>
      <c r="ER124" s="229">
        <v>1.0920000000000001</v>
      </c>
      <c r="ES124" s="231">
        <v>2589.2600000000002</v>
      </c>
      <c r="ET124" s="231">
        <v>1315.24</v>
      </c>
      <c r="EU124" s="231">
        <v>6690.17</v>
      </c>
      <c r="EV124" s="231">
        <v>100261459</v>
      </c>
      <c r="EW124" s="231">
        <v>10594.66</v>
      </c>
      <c r="EX124" s="231">
        <v>10497.43</v>
      </c>
      <c r="EY124" s="228">
        <v>97.23</v>
      </c>
      <c r="EZ124" s="229">
        <v>9.2999999999999992E-3</v>
      </c>
      <c r="FA124" s="229">
        <v>0.29049999999999998</v>
      </c>
      <c r="FB124" s="227" t="s">
        <v>567</v>
      </c>
      <c r="FC124">
        <f t="shared" si="1"/>
        <v>969</v>
      </c>
    </row>
    <row r="125" spans="1:159" ht="17.25" thickBot="1" x14ac:dyDescent="0.3">
      <c r="A125" s="226">
        <v>46009</v>
      </c>
      <c r="B125" s="227" t="s">
        <v>175</v>
      </c>
      <c r="C125" s="227" t="s">
        <v>253</v>
      </c>
      <c r="D125" s="228">
        <v>3000</v>
      </c>
      <c r="E125" s="228">
        <v>12</v>
      </c>
      <c r="F125" s="228">
        <v>287.39999999999998</v>
      </c>
      <c r="G125" s="228">
        <v>286.5</v>
      </c>
      <c r="H125" s="228">
        <v>0.9</v>
      </c>
      <c r="I125" s="229">
        <v>3.0999999999999999E-3</v>
      </c>
      <c r="J125" s="228">
        <v>287.05</v>
      </c>
      <c r="K125" s="228">
        <v>286.25</v>
      </c>
      <c r="L125" s="228">
        <v>0.8</v>
      </c>
      <c r="M125" s="229">
        <v>2.8E-3</v>
      </c>
      <c r="N125" s="228">
        <v>287.39999999999998</v>
      </c>
      <c r="O125" s="228">
        <v>286.5</v>
      </c>
      <c r="P125" s="228">
        <v>0.9</v>
      </c>
      <c r="Q125" s="229">
        <v>3.0999999999999999E-3</v>
      </c>
      <c r="R125" s="228">
        <v>289.14999999999998</v>
      </c>
      <c r="S125" s="228">
        <v>288.39999999999998</v>
      </c>
      <c r="T125" s="228">
        <v>0.75</v>
      </c>
      <c r="U125" s="229">
        <v>2.5999999999999999E-3</v>
      </c>
      <c r="V125" s="228">
        <v>289.89999999999998</v>
      </c>
      <c r="W125" s="228">
        <v>288.10000000000002</v>
      </c>
      <c r="X125" s="228">
        <v>1.8</v>
      </c>
      <c r="Y125" s="229">
        <v>6.1999999999999998E-3</v>
      </c>
      <c r="Z125" s="228">
        <v>0.35</v>
      </c>
      <c r="AA125" s="228">
        <v>0.25</v>
      </c>
      <c r="AB125" s="228">
        <v>0.1</v>
      </c>
      <c r="AC125" s="229">
        <v>1.1999999999999999E-3</v>
      </c>
      <c r="AD125" s="228">
        <v>0.35</v>
      </c>
      <c r="AE125" s="228">
        <v>0.25</v>
      </c>
      <c r="AF125" s="228">
        <v>0.1</v>
      </c>
      <c r="AG125" s="229">
        <v>1.1999999999999999E-3</v>
      </c>
      <c r="AH125" s="228">
        <v>2.1</v>
      </c>
      <c r="AI125" s="228">
        <v>2.15</v>
      </c>
      <c r="AJ125" s="228">
        <v>-0.05</v>
      </c>
      <c r="AK125" s="229">
        <v>7.3000000000000001E-3</v>
      </c>
      <c r="AL125" s="228">
        <v>2.85</v>
      </c>
      <c r="AM125" s="228">
        <v>1.85</v>
      </c>
      <c r="AN125" s="228">
        <v>1</v>
      </c>
      <c r="AO125" s="229">
        <v>9.9000000000000008E-3</v>
      </c>
      <c r="AP125" s="228">
        <v>288.77999999999997</v>
      </c>
      <c r="AQ125" s="228">
        <v>290.54000000000002</v>
      </c>
      <c r="AR125" s="228">
        <v>0</v>
      </c>
      <c r="AS125" s="228">
        <v>321</v>
      </c>
      <c r="AT125" s="228">
        <v>221</v>
      </c>
      <c r="AU125" s="228">
        <v>100</v>
      </c>
      <c r="AV125" s="229">
        <v>0.45369999999999999</v>
      </c>
      <c r="AW125" s="228">
        <v>280</v>
      </c>
      <c r="AX125" s="228">
        <v>180</v>
      </c>
      <c r="AY125" s="228">
        <v>100</v>
      </c>
      <c r="AZ125" s="229">
        <v>0.55500000000000005</v>
      </c>
      <c r="BA125" s="228">
        <v>38</v>
      </c>
      <c r="BB125" s="228">
        <v>39</v>
      </c>
      <c r="BC125" s="228">
        <v>-1</v>
      </c>
      <c r="BD125" s="229">
        <v>-1.7899999999999999E-2</v>
      </c>
      <c r="BE125" s="228">
        <v>3</v>
      </c>
      <c r="BF125" s="228">
        <v>2</v>
      </c>
      <c r="BG125" s="228">
        <v>1</v>
      </c>
      <c r="BH125" s="229">
        <v>0.42859999999999998</v>
      </c>
      <c r="BI125" s="230">
        <v>1109</v>
      </c>
      <c r="BJ125" s="228">
        <v>390</v>
      </c>
      <c r="BK125" s="228">
        <v>720</v>
      </c>
      <c r="BL125" s="229">
        <v>1.8469</v>
      </c>
      <c r="BM125" s="228">
        <v>385</v>
      </c>
      <c r="BN125" s="228">
        <v>155</v>
      </c>
      <c r="BO125" s="228">
        <v>230</v>
      </c>
      <c r="BP125" s="229">
        <v>1.4824999999999999</v>
      </c>
      <c r="BQ125" s="230">
        <v>1815</v>
      </c>
      <c r="BR125" s="228">
        <v>765</v>
      </c>
      <c r="BS125" s="230">
        <v>1049</v>
      </c>
      <c r="BT125" s="229">
        <v>1.3714</v>
      </c>
      <c r="BU125" s="230">
        <v>4497357</v>
      </c>
      <c r="BV125" s="230">
        <v>4516672</v>
      </c>
      <c r="BW125" s="230">
        <v>-19315</v>
      </c>
      <c r="BX125" s="229">
        <v>-4.3E-3</v>
      </c>
      <c r="BY125" s="230">
        <v>1121</v>
      </c>
      <c r="BZ125" s="230">
        <v>1137</v>
      </c>
      <c r="CA125" s="228">
        <v>-15</v>
      </c>
      <c r="CB125" s="229">
        <v>-1.3599999999999999E-2</v>
      </c>
      <c r="CC125" s="230">
        <v>1061</v>
      </c>
      <c r="CD125" s="230">
        <v>1082</v>
      </c>
      <c r="CE125" s="228">
        <v>-21</v>
      </c>
      <c r="CF125" s="229">
        <v>-1.9800000000000002E-2</v>
      </c>
      <c r="CG125" s="228">
        <v>55</v>
      </c>
      <c r="CH125" s="228">
        <v>49</v>
      </c>
      <c r="CI125" s="228">
        <v>5</v>
      </c>
      <c r="CJ125" s="229">
        <v>0.1105</v>
      </c>
      <c r="CK125" s="228">
        <v>6</v>
      </c>
      <c r="CL125" s="228">
        <v>5</v>
      </c>
      <c r="CM125" s="228">
        <v>1</v>
      </c>
      <c r="CN125" s="229">
        <v>0.1</v>
      </c>
      <c r="CO125" s="228">
        <v>577</v>
      </c>
      <c r="CP125" s="228">
        <v>509</v>
      </c>
      <c r="CQ125" s="228">
        <v>68</v>
      </c>
      <c r="CR125" s="229">
        <v>0.1326</v>
      </c>
      <c r="CS125" s="228">
        <v>338</v>
      </c>
      <c r="CT125" s="228">
        <v>338</v>
      </c>
      <c r="CU125" s="228">
        <v>0</v>
      </c>
      <c r="CV125" s="229">
        <v>1E-3</v>
      </c>
      <c r="CW125" s="230">
        <v>2036</v>
      </c>
      <c r="CX125" s="230">
        <v>1983</v>
      </c>
      <c r="CY125" s="228">
        <v>52</v>
      </c>
      <c r="CZ125" s="229">
        <v>2.64E-2</v>
      </c>
      <c r="DA125" s="228">
        <v>24.99</v>
      </c>
      <c r="DB125" s="228">
        <v>24.57</v>
      </c>
      <c r="DC125" s="228">
        <v>0.42</v>
      </c>
      <c r="DD125" s="228">
        <v>0.42</v>
      </c>
      <c r="DE125" s="228">
        <v>40.54</v>
      </c>
      <c r="DF125" s="228">
        <v>40.64</v>
      </c>
      <c r="DG125" s="228">
        <v>-15.55</v>
      </c>
      <c r="DH125" s="228">
        <v>-0.1</v>
      </c>
      <c r="DI125" s="228">
        <v>25</v>
      </c>
      <c r="DJ125" s="228">
        <v>24.12</v>
      </c>
      <c r="DK125" s="228">
        <v>0.88</v>
      </c>
      <c r="DL125" s="228">
        <v>0.88</v>
      </c>
      <c r="DM125" s="228">
        <v>24.97</v>
      </c>
      <c r="DN125" s="228">
        <v>25.71</v>
      </c>
      <c r="DO125" s="228">
        <v>-0.74</v>
      </c>
      <c r="DP125" s="228">
        <v>-0.74</v>
      </c>
      <c r="DQ125" s="228">
        <v>0.59</v>
      </c>
      <c r="DR125" s="228">
        <v>0.66</v>
      </c>
      <c r="DS125" s="228">
        <v>-7.0000000000000007E-2</v>
      </c>
      <c r="DT125" s="229">
        <v>-0.1061</v>
      </c>
      <c r="DU125" s="228">
        <v>300</v>
      </c>
      <c r="DV125" s="228">
        <v>270</v>
      </c>
      <c r="DW125" s="228">
        <v>0.35</v>
      </c>
      <c r="DX125" s="228">
        <v>0.4</v>
      </c>
      <c r="DY125" s="228">
        <v>-0.05</v>
      </c>
      <c r="DZ125" s="229">
        <v>-0.125</v>
      </c>
      <c r="EA125" s="229">
        <v>5.3699999999999998E-2</v>
      </c>
      <c r="EB125" s="230">
        <v>1890000</v>
      </c>
      <c r="EC125" s="229">
        <v>6.1000000000000004E-3</v>
      </c>
      <c r="ED125" s="229">
        <v>5.3699999999999998E-2</v>
      </c>
      <c r="EE125" s="228">
        <v>1.76</v>
      </c>
      <c r="EF125" s="229">
        <v>6.1000000000000004E-3</v>
      </c>
      <c r="EG125" s="230">
        <v>2455503</v>
      </c>
      <c r="EH125" s="230">
        <v>3049921</v>
      </c>
      <c r="EI125" s="229">
        <v>-0.19489999999999999</v>
      </c>
      <c r="EJ125" s="229">
        <v>0.54600000000000004</v>
      </c>
      <c r="EK125" s="231">
        <v>1151.42</v>
      </c>
      <c r="EL125" s="228">
        <v>378.11</v>
      </c>
      <c r="EM125" s="228">
        <v>322.52999999999997</v>
      </c>
      <c r="EN125" s="228">
        <v>19.71</v>
      </c>
      <c r="EO125" s="231">
        <v>1852.06</v>
      </c>
      <c r="EP125" s="228">
        <v>771.23</v>
      </c>
      <c r="EQ125" s="231">
        <v>1080.83</v>
      </c>
      <c r="ER125" s="229">
        <v>1.4014</v>
      </c>
      <c r="ES125" s="228">
        <v>594.47</v>
      </c>
      <c r="ET125" s="228">
        <v>317.79000000000002</v>
      </c>
      <c r="EU125" s="231">
        <v>1121.67</v>
      </c>
      <c r="EV125" s="231">
        <v>82205057</v>
      </c>
      <c r="EW125" s="231">
        <v>2033.94</v>
      </c>
      <c r="EX125" s="231">
        <v>1972.08</v>
      </c>
      <c r="EY125" s="228">
        <v>61.86</v>
      </c>
      <c r="EZ125" s="229">
        <v>3.1399999999999997E-2</v>
      </c>
      <c r="FA125" s="229">
        <v>0.86170000000000002</v>
      </c>
      <c r="FB125" s="227" t="s">
        <v>556</v>
      </c>
      <c r="FC125">
        <f t="shared" si="1"/>
        <v>60</v>
      </c>
    </row>
    <row r="126" spans="1:159" ht="17.25" thickBot="1" x14ac:dyDescent="0.3">
      <c r="A126" s="226">
        <v>46009</v>
      </c>
      <c r="B126" s="227" t="s">
        <v>170</v>
      </c>
      <c r="C126" s="227" t="s">
        <v>673</v>
      </c>
      <c r="D126" s="228">
        <v>225</v>
      </c>
      <c r="E126" s="228">
        <v>12</v>
      </c>
      <c r="F126" s="231">
        <v>2147.6999999999998</v>
      </c>
      <c r="G126" s="231">
        <v>2117.6</v>
      </c>
      <c r="H126" s="228">
        <v>30.1</v>
      </c>
      <c r="I126" s="229">
        <v>1.4200000000000001E-2</v>
      </c>
      <c r="J126" s="231">
        <v>2142</v>
      </c>
      <c r="K126" s="231">
        <v>2111.1999999999998</v>
      </c>
      <c r="L126" s="228">
        <v>30.8</v>
      </c>
      <c r="M126" s="229">
        <v>1.46E-2</v>
      </c>
      <c r="N126" s="231">
        <v>2147.6999999999998</v>
      </c>
      <c r="O126" s="231">
        <v>2117.6</v>
      </c>
      <c r="P126" s="228">
        <v>30.1</v>
      </c>
      <c r="Q126" s="229">
        <v>1.4200000000000001E-2</v>
      </c>
      <c r="R126" s="231">
        <v>2160.1999999999998</v>
      </c>
      <c r="S126" s="231">
        <v>2130.8000000000002</v>
      </c>
      <c r="T126" s="228">
        <v>29.4</v>
      </c>
      <c r="U126" s="229">
        <v>1.38E-2</v>
      </c>
      <c r="V126" s="231">
        <v>2170.8000000000002</v>
      </c>
      <c r="W126" s="231">
        <v>2144.9</v>
      </c>
      <c r="X126" s="228">
        <v>25.9</v>
      </c>
      <c r="Y126" s="229">
        <v>1.21E-2</v>
      </c>
      <c r="Z126" s="228">
        <v>5.7</v>
      </c>
      <c r="AA126" s="228">
        <v>6.4</v>
      </c>
      <c r="AB126" s="228">
        <v>-0.7</v>
      </c>
      <c r="AC126" s="229">
        <v>2.7000000000000001E-3</v>
      </c>
      <c r="AD126" s="228">
        <v>5.7</v>
      </c>
      <c r="AE126" s="228">
        <v>6.4</v>
      </c>
      <c r="AF126" s="228">
        <v>-0.7</v>
      </c>
      <c r="AG126" s="229">
        <v>2.7000000000000001E-3</v>
      </c>
      <c r="AH126" s="228">
        <v>18.2</v>
      </c>
      <c r="AI126" s="228">
        <v>19.600000000000001</v>
      </c>
      <c r="AJ126" s="228">
        <v>-1.4</v>
      </c>
      <c r="AK126" s="229">
        <v>8.5000000000000006E-3</v>
      </c>
      <c r="AL126" s="228">
        <v>28.8</v>
      </c>
      <c r="AM126" s="228">
        <v>33.700000000000003</v>
      </c>
      <c r="AN126" s="228">
        <v>-4.9000000000000004</v>
      </c>
      <c r="AO126" s="229">
        <v>1.34E-2</v>
      </c>
      <c r="AP126" s="231">
        <v>2131.83</v>
      </c>
      <c r="AQ126" s="231">
        <v>2146.81</v>
      </c>
      <c r="AR126" s="228">
        <v>0</v>
      </c>
      <c r="AS126" s="228">
        <v>91</v>
      </c>
      <c r="AT126" s="228">
        <v>60</v>
      </c>
      <c r="AU126" s="228">
        <v>30</v>
      </c>
      <c r="AV126" s="229">
        <v>0.50439999999999996</v>
      </c>
      <c r="AW126" s="228">
        <v>69</v>
      </c>
      <c r="AX126" s="228">
        <v>48</v>
      </c>
      <c r="AY126" s="228">
        <v>21</v>
      </c>
      <c r="AZ126" s="229">
        <v>0.44979999999999998</v>
      </c>
      <c r="BA126" s="228">
        <v>21</v>
      </c>
      <c r="BB126" s="228">
        <v>12</v>
      </c>
      <c r="BC126" s="228">
        <v>9</v>
      </c>
      <c r="BD126" s="229">
        <v>0.7621</v>
      </c>
      <c r="BE126" s="228">
        <v>1</v>
      </c>
      <c r="BF126" s="228">
        <v>1</v>
      </c>
      <c r="BG126" s="228">
        <v>0</v>
      </c>
      <c r="BH126" s="229">
        <v>-0.125</v>
      </c>
      <c r="BI126" s="228">
        <v>280</v>
      </c>
      <c r="BJ126" s="228">
        <v>215</v>
      </c>
      <c r="BK126" s="228">
        <v>66</v>
      </c>
      <c r="BL126" s="229">
        <v>0.30549999999999999</v>
      </c>
      <c r="BM126" s="228">
        <v>96</v>
      </c>
      <c r="BN126" s="228">
        <v>104</v>
      </c>
      <c r="BO126" s="228">
        <v>-8</v>
      </c>
      <c r="BP126" s="229">
        <v>-7.7399999999999997E-2</v>
      </c>
      <c r="BQ126" s="228">
        <v>467</v>
      </c>
      <c r="BR126" s="228">
        <v>379</v>
      </c>
      <c r="BS126" s="228">
        <v>88</v>
      </c>
      <c r="BT126" s="229">
        <v>0.23250000000000001</v>
      </c>
      <c r="BU126" s="230">
        <v>426707</v>
      </c>
      <c r="BV126" s="230">
        <v>750631</v>
      </c>
      <c r="BW126" s="230">
        <v>-323924</v>
      </c>
      <c r="BX126" s="229">
        <v>-0.43149999999999999</v>
      </c>
      <c r="BY126" s="228">
        <v>572</v>
      </c>
      <c r="BZ126" s="228">
        <v>572</v>
      </c>
      <c r="CA126" s="228">
        <v>1</v>
      </c>
      <c r="CB126" s="229">
        <v>1.1000000000000001E-3</v>
      </c>
      <c r="CC126" s="228">
        <v>517</v>
      </c>
      <c r="CD126" s="228">
        <v>527</v>
      </c>
      <c r="CE126" s="228">
        <v>-10</v>
      </c>
      <c r="CF126" s="229">
        <v>-1.8200000000000001E-2</v>
      </c>
      <c r="CG126" s="228">
        <v>51</v>
      </c>
      <c r="CH126" s="228">
        <v>41</v>
      </c>
      <c r="CI126" s="228">
        <v>10</v>
      </c>
      <c r="CJ126" s="229">
        <v>0.24940000000000001</v>
      </c>
      <c r="CK126" s="228">
        <v>4</v>
      </c>
      <c r="CL126" s="228">
        <v>4</v>
      </c>
      <c r="CM126" s="228">
        <v>0</v>
      </c>
      <c r="CN126" s="229">
        <v>-1.2800000000000001E-2</v>
      </c>
      <c r="CO126" s="228">
        <v>226</v>
      </c>
      <c r="CP126" s="228">
        <v>253</v>
      </c>
      <c r="CQ126" s="228">
        <v>-28</v>
      </c>
      <c r="CR126" s="229">
        <v>-0.109</v>
      </c>
      <c r="CS126" s="228">
        <v>120</v>
      </c>
      <c r="CT126" s="228">
        <v>122</v>
      </c>
      <c r="CU126" s="228">
        <v>-2</v>
      </c>
      <c r="CV126" s="229">
        <v>-1.5800000000000002E-2</v>
      </c>
      <c r="CW126" s="228">
        <v>918</v>
      </c>
      <c r="CX126" s="228">
        <v>947</v>
      </c>
      <c r="CY126" s="228">
        <v>-29</v>
      </c>
      <c r="CZ126" s="229">
        <v>-3.0499999999999999E-2</v>
      </c>
      <c r="DA126" s="228">
        <v>21.87</v>
      </c>
      <c r="DB126" s="228">
        <v>22.16</v>
      </c>
      <c r="DC126" s="228">
        <v>-0.28999999999999998</v>
      </c>
      <c r="DD126" s="228">
        <v>-0.28999999999999998</v>
      </c>
      <c r="DE126" s="228">
        <v>32.35</v>
      </c>
      <c r="DF126" s="228">
        <v>32.380000000000003</v>
      </c>
      <c r="DG126" s="228">
        <v>-10.48</v>
      </c>
      <c r="DH126" s="228">
        <v>-0.03</v>
      </c>
      <c r="DI126" s="228">
        <v>22.13</v>
      </c>
      <c r="DJ126" s="228">
        <v>23.08</v>
      </c>
      <c r="DK126" s="228">
        <v>-0.95</v>
      </c>
      <c r="DL126" s="228">
        <v>-0.95</v>
      </c>
      <c r="DM126" s="228">
        <v>21.11</v>
      </c>
      <c r="DN126" s="228">
        <v>20.239999999999998</v>
      </c>
      <c r="DO126" s="228">
        <v>0.87</v>
      </c>
      <c r="DP126" s="228">
        <v>0.87</v>
      </c>
      <c r="DQ126" s="228">
        <v>0.53</v>
      </c>
      <c r="DR126" s="228">
        <v>0.48</v>
      </c>
      <c r="DS126" s="228">
        <v>0.05</v>
      </c>
      <c r="DT126" s="229">
        <v>0.1042</v>
      </c>
      <c r="DU126" s="231">
        <v>2250</v>
      </c>
      <c r="DV126" s="231">
        <v>2150</v>
      </c>
      <c r="DW126" s="228">
        <v>0.34</v>
      </c>
      <c r="DX126" s="228">
        <v>0.48</v>
      </c>
      <c r="DY126" s="228">
        <v>-0.14000000000000001</v>
      </c>
      <c r="DZ126" s="229">
        <v>-0.29170000000000001</v>
      </c>
      <c r="EA126" s="229">
        <v>9.6199999999999994E-2</v>
      </c>
      <c r="EB126" s="230">
        <v>208800</v>
      </c>
      <c r="EC126" s="229">
        <v>5.7999999999999996E-3</v>
      </c>
      <c r="ED126" s="229">
        <v>9.6199999999999994E-2</v>
      </c>
      <c r="EE126" s="228">
        <v>14.98</v>
      </c>
      <c r="EF126" s="229">
        <v>7.0000000000000001E-3</v>
      </c>
      <c r="EG126" s="230">
        <v>273112</v>
      </c>
      <c r="EH126" s="230">
        <v>598071</v>
      </c>
      <c r="EI126" s="229">
        <v>-0.54330000000000001</v>
      </c>
      <c r="EJ126" s="229">
        <v>0.64</v>
      </c>
      <c r="EK126" s="228">
        <v>293.2</v>
      </c>
      <c r="EL126" s="228">
        <v>92.33</v>
      </c>
      <c r="EM126" s="228">
        <v>90.43</v>
      </c>
      <c r="EN126" s="228">
        <v>17.690000000000001</v>
      </c>
      <c r="EO126" s="228">
        <v>475.96</v>
      </c>
      <c r="EP126" s="228">
        <v>383.78</v>
      </c>
      <c r="EQ126" s="228">
        <v>92.18</v>
      </c>
      <c r="ER126" s="229">
        <v>0.2402</v>
      </c>
      <c r="ES126" s="228">
        <v>239.8</v>
      </c>
      <c r="ET126" s="228">
        <v>120.41</v>
      </c>
      <c r="EU126" s="228">
        <v>572.67999999999995</v>
      </c>
      <c r="EV126" s="231">
        <v>16915220</v>
      </c>
      <c r="EW126" s="228">
        <v>932.89</v>
      </c>
      <c r="EX126" s="228">
        <v>955.91</v>
      </c>
      <c r="EY126" s="228">
        <v>-23.02</v>
      </c>
      <c r="EZ126" s="229">
        <v>-2.41E-2</v>
      </c>
      <c r="FA126" s="229">
        <v>0.25269999999999998</v>
      </c>
      <c r="FB126" s="227" t="s">
        <v>555</v>
      </c>
      <c r="FC126">
        <f t="shared" si="1"/>
        <v>55</v>
      </c>
    </row>
    <row r="127" spans="1:159" ht="17.25" thickBot="1" x14ac:dyDescent="0.3">
      <c r="A127" s="226">
        <v>46009</v>
      </c>
      <c r="B127" s="227" t="s">
        <v>168</v>
      </c>
      <c r="C127" s="227" t="s">
        <v>254</v>
      </c>
      <c r="D127" s="228">
        <v>1200</v>
      </c>
      <c r="E127" s="228">
        <v>12</v>
      </c>
      <c r="F127" s="228">
        <v>742.95</v>
      </c>
      <c r="G127" s="228">
        <v>739</v>
      </c>
      <c r="H127" s="228">
        <v>3.95</v>
      </c>
      <c r="I127" s="229">
        <v>5.3E-3</v>
      </c>
      <c r="J127" s="228">
        <v>742.45</v>
      </c>
      <c r="K127" s="228">
        <v>738.15</v>
      </c>
      <c r="L127" s="228">
        <v>4.3</v>
      </c>
      <c r="M127" s="229">
        <v>5.7999999999999996E-3</v>
      </c>
      <c r="N127" s="228">
        <v>742.95</v>
      </c>
      <c r="O127" s="228">
        <v>739</v>
      </c>
      <c r="P127" s="228">
        <v>3.95</v>
      </c>
      <c r="Q127" s="229">
        <v>5.3E-3</v>
      </c>
      <c r="R127" s="228">
        <v>747.75</v>
      </c>
      <c r="S127" s="228">
        <v>743.65</v>
      </c>
      <c r="T127" s="228">
        <v>4.0999999999999996</v>
      </c>
      <c r="U127" s="229">
        <v>5.4999999999999997E-3</v>
      </c>
      <c r="V127" s="228">
        <v>746.65</v>
      </c>
      <c r="W127" s="228">
        <v>744.2</v>
      </c>
      <c r="X127" s="228">
        <v>2.4500000000000002</v>
      </c>
      <c r="Y127" s="229">
        <v>3.3E-3</v>
      </c>
      <c r="Z127" s="228">
        <v>0.5</v>
      </c>
      <c r="AA127" s="228">
        <v>0.85</v>
      </c>
      <c r="AB127" s="228">
        <v>-0.35</v>
      </c>
      <c r="AC127" s="229">
        <v>6.9999999999999999E-4</v>
      </c>
      <c r="AD127" s="228">
        <v>0.5</v>
      </c>
      <c r="AE127" s="228">
        <v>0.85</v>
      </c>
      <c r="AF127" s="228">
        <v>-0.35</v>
      </c>
      <c r="AG127" s="229">
        <v>6.9999999999999999E-4</v>
      </c>
      <c r="AH127" s="228">
        <v>5.3</v>
      </c>
      <c r="AI127" s="228">
        <v>5.5</v>
      </c>
      <c r="AJ127" s="228">
        <v>-0.2</v>
      </c>
      <c r="AK127" s="229">
        <v>7.1000000000000004E-3</v>
      </c>
      <c r="AL127" s="228">
        <v>4.2</v>
      </c>
      <c r="AM127" s="228">
        <v>6.05</v>
      </c>
      <c r="AN127" s="228">
        <v>-1.85</v>
      </c>
      <c r="AO127" s="229">
        <v>5.7000000000000002E-3</v>
      </c>
      <c r="AP127" s="228">
        <v>740.39</v>
      </c>
      <c r="AQ127" s="228">
        <v>745.07</v>
      </c>
      <c r="AR127" s="228">
        <v>0</v>
      </c>
      <c r="AS127" s="228">
        <v>134</v>
      </c>
      <c r="AT127" s="228">
        <v>82</v>
      </c>
      <c r="AU127" s="228">
        <v>52</v>
      </c>
      <c r="AV127" s="229">
        <v>0.63719999999999999</v>
      </c>
      <c r="AW127" s="228">
        <v>121</v>
      </c>
      <c r="AX127" s="228">
        <v>79</v>
      </c>
      <c r="AY127" s="228">
        <v>42</v>
      </c>
      <c r="AZ127" s="229">
        <v>0.53849999999999998</v>
      </c>
      <c r="BA127" s="228">
        <v>12</v>
      </c>
      <c r="BB127" s="228">
        <v>3</v>
      </c>
      <c r="BC127" s="228">
        <v>9</v>
      </c>
      <c r="BD127" s="229">
        <v>3.2187999999999999</v>
      </c>
      <c r="BE127" s="228">
        <v>1</v>
      </c>
      <c r="BF127" s="228">
        <v>0</v>
      </c>
      <c r="BG127" s="228">
        <v>0</v>
      </c>
      <c r="BH127" s="229">
        <v>5</v>
      </c>
      <c r="BI127" s="228">
        <v>351</v>
      </c>
      <c r="BJ127" s="228">
        <v>359</v>
      </c>
      <c r="BK127" s="228">
        <v>-9</v>
      </c>
      <c r="BL127" s="229">
        <v>-2.41E-2</v>
      </c>
      <c r="BM127" s="228">
        <v>142</v>
      </c>
      <c r="BN127" s="228">
        <v>110</v>
      </c>
      <c r="BO127" s="228">
        <v>32</v>
      </c>
      <c r="BP127" s="229">
        <v>0.29020000000000001</v>
      </c>
      <c r="BQ127" s="228">
        <v>627</v>
      </c>
      <c r="BR127" s="228">
        <v>551</v>
      </c>
      <c r="BS127" s="228">
        <v>75</v>
      </c>
      <c r="BT127" s="229">
        <v>0.13669999999999999</v>
      </c>
      <c r="BU127" s="230">
        <v>1090243</v>
      </c>
      <c r="BV127" s="230">
        <v>1102795</v>
      </c>
      <c r="BW127" s="230">
        <v>-12552</v>
      </c>
      <c r="BX127" s="229">
        <v>-1.14E-2</v>
      </c>
      <c r="BY127" s="230">
        <v>2496</v>
      </c>
      <c r="BZ127" s="230">
        <v>2522</v>
      </c>
      <c r="CA127" s="228">
        <v>-25</v>
      </c>
      <c r="CB127" s="229">
        <v>-1.01E-2</v>
      </c>
      <c r="CC127" s="230">
        <v>2475</v>
      </c>
      <c r="CD127" s="230">
        <v>2504</v>
      </c>
      <c r="CE127" s="228">
        <v>-28</v>
      </c>
      <c r="CF127" s="229">
        <v>-1.1299999999999999E-2</v>
      </c>
      <c r="CG127" s="228">
        <v>19</v>
      </c>
      <c r="CH127" s="228">
        <v>16</v>
      </c>
      <c r="CI127" s="228">
        <v>3</v>
      </c>
      <c r="CJ127" s="229">
        <v>0.1585</v>
      </c>
      <c r="CK127" s="228">
        <v>2</v>
      </c>
      <c r="CL127" s="228">
        <v>2</v>
      </c>
      <c r="CM127" s="228">
        <v>0</v>
      </c>
      <c r="CN127" s="229">
        <v>9.0899999999999995E-2</v>
      </c>
      <c r="CO127" s="228">
        <v>454</v>
      </c>
      <c r="CP127" s="228">
        <v>484</v>
      </c>
      <c r="CQ127" s="228">
        <v>-31</v>
      </c>
      <c r="CR127" s="229">
        <v>-6.3899999999999998E-2</v>
      </c>
      <c r="CS127" s="228">
        <v>294</v>
      </c>
      <c r="CT127" s="228">
        <v>293</v>
      </c>
      <c r="CU127" s="228">
        <v>0</v>
      </c>
      <c r="CV127" s="229">
        <v>2.9999999999999997E-4</v>
      </c>
      <c r="CW127" s="230">
        <v>3244</v>
      </c>
      <c r="CX127" s="230">
        <v>3300</v>
      </c>
      <c r="CY127" s="228">
        <v>-56</v>
      </c>
      <c r="CZ127" s="229">
        <v>-1.7100000000000001E-2</v>
      </c>
      <c r="DA127" s="228">
        <v>17.329999999999998</v>
      </c>
      <c r="DB127" s="228">
        <v>18.41</v>
      </c>
      <c r="DC127" s="228">
        <v>-1.08</v>
      </c>
      <c r="DD127" s="228">
        <v>-1.08</v>
      </c>
      <c r="DE127" s="228">
        <v>24.75</v>
      </c>
      <c r="DF127" s="228">
        <v>24.8</v>
      </c>
      <c r="DG127" s="228">
        <v>-7.42</v>
      </c>
      <c r="DH127" s="228">
        <v>-0.05</v>
      </c>
      <c r="DI127" s="228">
        <v>17.16</v>
      </c>
      <c r="DJ127" s="228">
        <v>18.46</v>
      </c>
      <c r="DK127" s="228">
        <v>-1.3</v>
      </c>
      <c r="DL127" s="228">
        <v>-1.3</v>
      </c>
      <c r="DM127" s="228">
        <v>17.73</v>
      </c>
      <c r="DN127" s="228">
        <v>18.260000000000002</v>
      </c>
      <c r="DO127" s="228">
        <v>-0.53</v>
      </c>
      <c r="DP127" s="228">
        <v>-0.53</v>
      </c>
      <c r="DQ127" s="228">
        <v>0.65</v>
      </c>
      <c r="DR127" s="228">
        <v>0.61</v>
      </c>
      <c r="DS127" s="228">
        <v>0.04</v>
      </c>
      <c r="DT127" s="229">
        <v>6.5600000000000006E-2</v>
      </c>
      <c r="DU127" s="228">
        <v>750</v>
      </c>
      <c r="DV127" s="228">
        <v>690</v>
      </c>
      <c r="DW127" s="228">
        <v>0.41</v>
      </c>
      <c r="DX127" s="228">
        <v>0.31</v>
      </c>
      <c r="DY127" s="228">
        <v>0.1</v>
      </c>
      <c r="DZ127" s="229">
        <v>0.3226</v>
      </c>
      <c r="EA127" s="229">
        <v>8.3999999999999995E-3</v>
      </c>
      <c r="EB127" s="230">
        <v>246000</v>
      </c>
      <c r="EC127" s="229">
        <v>6.4999999999999997E-3</v>
      </c>
      <c r="ED127" s="229">
        <v>8.3999999999999995E-3</v>
      </c>
      <c r="EE127" s="228">
        <v>4.68</v>
      </c>
      <c r="EF127" s="229">
        <v>6.3E-3</v>
      </c>
      <c r="EG127" s="230">
        <v>698808</v>
      </c>
      <c r="EH127" s="230">
        <v>796222</v>
      </c>
      <c r="EI127" s="229">
        <v>-0.12230000000000001</v>
      </c>
      <c r="EJ127" s="229">
        <v>0.64100000000000001</v>
      </c>
      <c r="EK127" s="228">
        <v>358.95</v>
      </c>
      <c r="EL127" s="228">
        <v>139.75</v>
      </c>
      <c r="EM127" s="228">
        <v>133.16999999999999</v>
      </c>
      <c r="EN127" s="228">
        <v>16.79</v>
      </c>
      <c r="EO127" s="228">
        <v>631.87</v>
      </c>
      <c r="EP127" s="228">
        <v>556.55999999999995</v>
      </c>
      <c r="EQ127" s="228">
        <v>75.31</v>
      </c>
      <c r="ER127" s="229">
        <v>0.1353</v>
      </c>
      <c r="ES127" s="228">
        <v>468.19</v>
      </c>
      <c r="ET127" s="228">
        <v>277.31</v>
      </c>
      <c r="EU127" s="231">
        <v>2496.5300000000002</v>
      </c>
      <c r="EV127" s="231">
        <v>79408529</v>
      </c>
      <c r="EW127" s="231">
        <v>3242.04</v>
      </c>
      <c r="EX127" s="231">
        <v>3285.28</v>
      </c>
      <c r="EY127" s="228">
        <v>-43.24</v>
      </c>
      <c r="EZ127" s="229">
        <v>-1.32E-2</v>
      </c>
      <c r="FA127" s="229">
        <v>0.54979999999999996</v>
      </c>
      <c r="FB127" s="227" t="s">
        <v>556</v>
      </c>
      <c r="FC127">
        <f t="shared" si="1"/>
        <v>21</v>
      </c>
    </row>
    <row r="128" spans="1:159" ht="17.25" thickBot="1" x14ac:dyDescent="0.3">
      <c r="A128" s="226">
        <v>46009</v>
      </c>
      <c r="B128" s="227" t="s">
        <v>162</v>
      </c>
      <c r="C128" s="227" t="s">
        <v>255</v>
      </c>
      <c r="D128" s="228">
        <v>50</v>
      </c>
      <c r="E128" s="228">
        <v>12</v>
      </c>
      <c r="F128" s="231">
        <v>16367</v>
      </c>
      <c r="G128" s="231">
        <v>16409</v>
      </c>
      <c r="H128" s="228">
        <v>-42</v>
      </c>
      <c r="I128" s="229">
        <v>-2.5999999999999999E-3</v>
      </c>
      <c r="J128" s="231">
        <v>16329</v>
      </c>
      <c r="K128" s="231">
        <v>16398</v>
      </c>
      <c r="L128" s="228">
        <v>-69</v>
      </c>
      <c r="M128" s="229">
        <v>-4.1999999999999997E-3</v>
      </c>
      <c r="N128" s="231">
        <v>16367</v>
      </c>
      <c r="O128" s="231">
        <v>16409</v>
      </c>
      <c r="P128" s="228">
        <v>-42</v>
      </c>
      <c r="Q128" s="229">
        <v>-2.5999999999999999E-3</v>
      </c>
      <c r="R128" s="231">
        <v>16474</v>
      </c>
      <c r="S128" s="231">
        <v>16516</v>
      </c>
      <c r="T128" s="228">
        <v>-42</v>
      </c>
      <c r="U128" s="229">
        <v>-2.5000000000000001E-3</v>
      </c>
      <c r="V128" s="231">
        <v>16555</v>
      </c>
      <c r="W128" s="231">
        <v>16600</v>
      </c>
      <c r="X128" s="228">
        <v>-45</v>
      </c>
      <c r="Y128" s="229">
        <v>-2.7000000000000001E-3</v>
      </c>
      <c r="Z128" s="228">
        <v>38</v>
      </c>
      <c r="AA128" s="228">
        <v>11</v>
      </c>
      <c r="AB128" s="228">
        <v>27</v>
      </c>
      <c r="AC128" s="229">
        <v>2.3E-3</v>
      </c>
      <c r="AD128" s="228">
        <v>38</v>
      </c>
      <c r="AE128" s="228">
        <v>11</v>
      </c>
      <c r="AF128" s="228">
        <v>27</v>
      </c>
      <c r="AG128" s="229">
        <v>2.3E-3</v>
      </c>
      <c r="AH128" s="228">
        <v>145</v>
      </c>
      <c r="AI128" s="228">
        <v>118</v>
      </c>
      <c r="AJ128" s="228">
        <v>27</v>
      </c>
      <c r="AK128" s="229">
        <v>8.8999999999999999E-3</v>
      </c>
      <c r="AL128" s="228">
        <v>226</v>
      </c>
      <c r="AM128" s="228">
        <v>202</v>
      </c>
      <c r="AN128" s="228">
        <v>24</v>
      </c>
      <c r="AO128" s="229">
        <v>1.38E-2</v>
      </c>
      <c r="AP128" s="231">
        <v>16337.69</v>
      </c>
      <c r="AQ128" s="231">
        <v>16453.27</v>
      </c>
      <c r="AR128" s="228">
        <v>0</v>
      </c>
      <c r="AS128" s="228">
        <v>643</v>
      </c>
      <c r="AT128" s="228">
        <v>427</v>
      </c>
      <c r="AU128" s="228">
        <v>216</v>
      </c>
      <c r="AV128" s="229">
        <v>0.50509999999999999</v>
      </c>
      <c r="AW128" s="228">
        <v>496</v>
      </c>
      <c r="AX128" s="228">
        <v>346</v>
      </c>
      <c r="AY128" s="228">
        <v>150</v>
      </c>
      <c r="AZ128" s="229">
        <v>0.43409999999999999</v>
      </c>
      <c r="BA128" s="228">
        <v>142</v>
      </c>
      <c r="BB128" s="228">
        <v>79</v>
      </c>
      <c r="BC128" s="228">
        <v>63</v>
      </c>
      <c r="BD128" s="229">
        <v>0.79090000000000005</v>
      </c>
      <c r="BE128" s="228">
        <v>5</v>
      </c>
      <c r="BF128" s="228">
        <v>2</v>
      </c>
      <c r="BG128" s="228">
        <v>3</v>
      </c>
      <c r="BH128" s="229">
        <v>1.3571</v>
      </c>
      <c r="BI128" s="230">
        <v>4106</v>
      </c>
      <c r="BJ128" s="230">
        <v>3216</v>
      </c>
      <c r="BK128" s="228">
        <v>890</v>
      </c>
      <c r="BL128" s="229">
        <v>0.27660000000000001</v>
      </c>
      <c r="BM128" s="230">
        <v>4500</v>
      </c>
      <c r="BN128" s="230">
        <v>2484</v>
      </c>
      <c r="BO128" s="230">
        <v>2016</v>
      </c>
      <c r="BP128" s="229">
        <v>0.81159999999999999</v>
      </c>
      <c r="BQ128" s="230">
        <v>9249</v>
      </c>
      <c r="BR128" s="230">
        <v>6127</v>
      </c>
      <c r="BS128" s="230">
        <v>3122</v>
      </c>
      <c r="BT128" s="229">
        <v>0.50949999999999995</v>
      </c>
      <c r="BU128" s="230">
        <v>221867</v>
      </c>
      <c r="BV128" s="230">
        <v>260520</v>
      </c>
      <c r="BW128" s="230">
        <v>-38653</v>
      </c>
      <c r="BX128" s="229">
        <v>-0.1484</v>
      </c>
      <c r="BY128" s="230">
        <v>4698</v>
      </c>
      <c r="BZ128" s="230">
        <v>4672</v>
      </c>
      <c r="CA128" s="228">
        <v>27</v>
      </c>
      <c r="CB128" s="229">
        <v>5.7000000000000002E-3</v>
      </c>
      <c r="CC128" s="230">
        <v>4205</v>
      </c>
      <c r="CD128" s="230">
        <v>4278</v>
      </c>
      <c r="CE128" s="228">
        <v>-73</v>
      </c>
      <c r="CF128" s="229">
        <v>-1.72E-2</v>
      </c>
      <c r="CG128" s="228">
        <v>471</v>
      </c>
      <c r="CH128" s="228">
        <v>371</v>
      </c>
      <c r="CI128" s="228">
        <v>100</v>
      </c>
      <c r="CJ128" s="229">
        <v>0.27039999999999997</v>
      </c>
      <c r="CK128" s="228">
        <v>22</v>
      </c>
      <c r="CL128" s="228">
        <v>23</v>
      </c>
      <c r="CM128" s="228">
        <v>0</v>
      </c>
      <c r="CN128" s="229">
        <v>-3.5999999999999999E-3</v>
      </c>
      <c r="CO128" s="230">
        <v>2619</v>
      </c>
      <c r="CP128" s="230">
        <v>2642</v>
      </c>
      <c r="CQ128" s="228">
        <v>-23</v>
      </c>
      <c r="CR128" s="229">
        <v>-8.8000000000000005E-3</v>
      </c>
      <c r="CS128" s="230">
        <v>2417</v>
      </c>
      <c r="CT128" s="230">
        <v>2510</v>
      </c>
      <c r="CU128" s="228">
        <v>-93</v>
      </c>
      <c r="CV128" s="229">
        <v>-3.6999999999999998E-2</v>
      </c>
      <c r="CW128" s="230">
        <v>9734</v>
      </c>
      <c r="CX128" s="230">
        <v>9824</v>
      </c>
      <c r="CY128" s="228">
        <v>-89</v>
      </c>
      <c r="CZ128" s="229">
        <v>-9.1000000000000004E-3</v>
      </c>
      <c r="DA128" s="228">
        <v>15.64</v>
      </c>
      <c r="DB128" s="228">
        <v>15.73</v>
      </c>
      <c r="DC128" s="228">
        <v>-0.09</v>
      </c>
      <c r="DD128" s="228">
        <v>-0.09</v>
      </c>
      <c r="DE128" s="228">
        <v>24.55</v>
      </c>
      <c r="DF128" s="228">
        <v>24.6</v>
      </c>
      <c r="DG128" s="228">
        <v>-8.91</v>
      </c>
      <c r="DH128" s="228">
        <v>-0.05</v>
      </c>
      <c r="DI128" s="228">
        <v>15.05</v>
      </c>
      <c r="DJ128" s="228">
        <v>15.24</v>
      </c>
      <c r="DK128" s="228">
        <v>-0.19</v>
      </c>
      <c r="DL128" s="228">
        <v>-0.19</v>
      </c>
      <c r="DM128" s="228">
        <v>16.170000000000002</v>
      </c>
      <c r="DN128" s="228">
        <v>16.350000000000001</v>
      </c>
      <c r="DO128" s="228">
        <v>-0.18</v>
      </c>
      <c r="DP128" s="228">
        <v>-0.18</v>
      </c>
      <c r="DQ128" s="228">
        <v>0.92</v>
      </c>
      <c r="DR128" s="228">
        <v>0.95</v>
      </c>
      <c r="DS128" s="228">
        <v>-0.03</v>
      </c>
      <c r="DT128" s="229">
        <v>-3.1600000000000003E-2</v>
      </c>
      <c r="DU128" s="231">
        <v>16500</v>
      </c>
      <c r="DV128" s="231">
        <v>16000</v>
      </c>
      <c r="DW128" s="228">
        <v>1.1000000000000001</v>
      </c>
      <c r="DX128" s="228">
        <v>0.77</v>
      </c>
      <c r="DY128" s="228">
        <v>0.33</v>
      </c>
      <c r="DZ128" s="229">
        <v>0.42859999999999998</v>
      </c>
      <c r="EA128" s="229">
        <v>0.105</v>
      </c>
      <c r="EB128" s="230">
        <v>240300</v>
      </c>
      <c r="EC128" s="229">
        <v>6.4999999999999997E-3</v>
      </c>
      <c r="ED128" s="229">
        <v>0.105</v>
      </c>
      <c r="EE128" s="228">
        <v>115.58</v>
      </c>
      <c r="EF128" s="229">
        <v>7.1000000000000004E-3</v>
      </c>
      <c r="EG128" s="230">
        <v>136706</v>
      </c>
      <c r="EH128" s="230">
        <v>192505</v>
      </c>
      <c r="EI128" s="229">
        <v>-0.28989999999999999</v>
      </c>
      <c r="EJ128" s="229">
        <v>0.61619999999999997</v>
      </c>
      <c r="EK128" s="231">
        <v>4192.6000000000004</v>
      </c>
      <c r="EL128" s="231">
        <v>4435.7</v>
      </c>
      <c r="EM128" s="228">
        <v>643.21</v>
      </c>
      <c r="EN128" s="228">
        <v>78.97</v>
      </c>
      <c r="EO128" s="231">
        <v>9271.52</v>
      </c>
      <c r="EP128" s="231">
        <v>6182.08</v>
      </c>
      <c r="EQ128" s="231">
        <v>3089.43</v>
      </c>
      <c r="ER128" s="229">
        <v>0.49969999999999998</v>
      </c>
      <c r="ES128" s="231">
        <v>2672.15</v>
      </c>
      <c r="ET128" s="231">
        <v>2316.56</v>
      </c>
      <c r="EU128" s="231">
        <v>4701.6499999999996</v>
      </c>
      <c r="EV128" s="231">
        <v>16752897</v>
      </c>
      <c r="EW128" s="231">
        <v>9690.36</v>
      </c>
      <c r="EX128" s="231">
        <v>9791.2099999999991</v>
      </c>
      <c r="EY128" s="228">
        <v>-100.85</v>
      </c>
      <c r="EZ128" s="229">
        <v>-1.03E-2</v>
      </c>
      <c r="FA128" s="229">
        <v>0.35499999999999998</v>
      </c>
      <c r="FB128" s="227" t="s">
        <v>567</v>
      </c>
      <c r="FC128">
        <f t="shared" si="1"/>
        <v>493</v>
      </c>
    </row>
    <row r="129" spans="1:159" ht="17.25" thickBot="1" x14ac:dyDescent="0.3">
      <c r="A129" s="226">
        <v>46009</v>
      </c>
      <c r="B129" s="227" t="s">
        <v>170</v>
      </c>
      <c r="C129" s="227" t="s">
        <v>603</v>
      </c>
      <c r="D129" s="228">
        <v>525</v>
      </c>
      <c r="E129" s="228">
        <v>12</v>
      </c>
      <c r="F129" s="231">
        <v>1052</v>
      </c>
      <c r="G129" s="231">
        <v>1033.8</v>
      </c>
      <c r="H129" s="228">
        <v>18.2</v>
      </c>
      <c r="I129" s="229">
        <v>1.7600000000000001E-2</v>
      </c>
      <c r="J129" s="231">
        <v>1048.5</v>
      </c>
      <c r="K129" s="231">
        <v>1031.0999999999999</v>
      </c>
      <c r="L129" s="228">
        <v>17.399999999999999</v>
      </c>
      <c r="M129" s="229">
        <v>1.6899999999999998E-2</v>
      </c>
      <c r="N129" s="231">
        <v>1052</v>
      </c>
      <c r="O129" s="231">
        <v>1033.8</v>
      </c>
      <c r="P129" s="228">
        <v>18.2</v>
      </c>
      <c r="Q129" s="229">
        <v>1.7600000000000001E-2</v>
      </c>
      <c r="R129" s="231">
        <v>1058.3</v>
      </c>
      <c r="S129" s="231">
        <v>1041.2</v>
      </c>
      <c r="T129" s="228">
        <v>17.100000000000001</v>
      </c>
      <c r="U129" s="229">
        <v>1.6400000000000001E-2</v>
      </c>
      <c r="V129" s="231">
        <v>1064</v>
      </c>
      <c r="W129" s="231">
        <v>1046.7</v>
      </c>
      <c r="X129" s="228">
        <v>17.3</v>
      </c>
      <c r="Y129" s="229">
        <v>1.6500000000000001E-2</v>
      </c>
      <c r="Z129" s="228">
        <v>3.5</v>
      </c>
      <c r="AA129" s="228">
        <v>2.7</v>
      </c>
      <c r="AB129" s="228">
        <v>0.8</v>
      </c>
      <c r="AC129" s="229">
        <v>3.3E-3</v>
      </c>
      <c r="AD129" s="228">
        <v>3.5</v>
      </c>
      <c r="AE129" s="228">
        <v>2.7</v>
      </c>
      <c r="AF129" s="228">
        <v>0.8</v>
      </c>
      <c r="AG129" s="229">
        <v>3.3E-3</v>
      </c>
      <c r="AH129" s="228">
        <v>9.8000000000000007</v>
      </c>
      <c r="AI129" s="228">
        <v>10.1</v>
      </c>
      <c r="AJ129" s="228">
        <v>-0.3</v>
      </c>
      <c r="AK129" s="229">
        <v>9.2999999999999992E-3</v>
      </c>
      <c r="AL129" s="228">
        <v>15.5</v>
      </c>
      <c r="AM129" s="228">
        <v>15.6</v>
      </c>
      <c r="AN129" s="228">
        <v>-0.1</v>
      </c>
      <c r="AO129" s="229">
        <v>1.4800000000000001E-2</v>
      </c>
      <c r="AP129" s="231">
        <v>1048.8</v>
      </c>
      <c r="AQ129" s="231">
        <v>1057.68</v>
      </c>
      <c r="AR129" s="228">
        <v>0</v>
      </c>
      <c r="AS129" s="228">
        <v>485</v>
      </c>
      <c r="AT129" s="228">
        <v>389</v>
      </c>
      <c r="AU129" s="228">
        <v>96</v>
      </c>
      <c r="AV129" s="229">
        <v>0.2467</v>
      </c>
      <c r="AW129" s="228">
        <v>344</v>
      </c>
      <c r="AX129" s="228">
        <v>339</v>
      </c>
      <c r="AY129" s="228">
        <v>5</v>
      </c>
      <c r="AZ129" s="229">
        <v>1.47E-2</v>
      </c>
      <c r="BA129" s="228">
        <v>136</v>
      </c>
      <c r="BB129" s="228">
        <v>46</v>
      </c>
      <c r="BC129" s="228">
        <v>89</v>
      </c>
      <c r="BD129" s="229">
        <v>1.9249000000000001</v>
      </c>
      <c r="BE129" s="228">
        <v>6</v>
      </c>
      <c r="BF129" s="228">
        <v>4</v>
      </c>
      <c r="BG129" s="228">
        <v>2</v>
      </c>
      <c r="BH129" s="229">
        <v>0.5</v>
      </c>
      <c r="BI129" s="230">
        <v>1493</v>
      </c>
      <c r="BJ129" s="230">
        <v>1518</v>
      </c>
      <c r="BK129" s="228">
        <v>-26</v>
      </c>
      <c r="BL129" s="229">
        <v>-1.6899999999999998E-2</v>
      </c>
      <c r="BM129" s="228">
        <v>578</v>
      </c>
      <c r="BN129" s="230">
        <v>1991</v>
      </c>
      <c r="BO129" s="230">
        <v>-1413</v>
      </c>
      <c r="BP129" s="229">
        <v>-0.7097</v>
      </c>
      <c r="BQ129" s="230">
        <v>2556</v>
      </c>
      <c r="BR129" s="230">
        <v>3899</v>
      </c>
      <c r="BS129" s="230">
        <v>-1343</v>
      </c>
      <c r="BT129" s="229">
        <v>-0.34439999999999998</v>
      </c>
      <c r="BU129" s="230">
        <v>5253680</v>
      </c>
      <c r="BV129" s="230">
        <v>4349516</v>
      </c>
      <c r="BW129" s="230">
        <v>904164</v>
      </c>
      <c r="BX129" s="229">
        <v>0.2079</v>
      </c>
      <c r="BY129" s="230">
        <v>2163</v>
      </c>
      <c r="BZ129" s="230">
        <v>2075</v>
      </c>
      <c r="CA129" s="228">
        <v>89</v>
      </c>
      <c r="CB129" s="229">
        <v>4.2700000000000002E-2</v>
      </c>
      <c r="CC129" s="230">
        <v>1964</v>
      </c>
      <c r="CD129" s="230">
        <v>1959</v>
      </c>
      <c r="CE129" s="228">
        <v>5</v>
      </c>
      <c r="CF129" s="229">
        <v>2.5000000000000001E-3</v>
      </c>
      <c r="CG129" s="228">
        <v>181</v>
      </c>
      <c r="CH129" s="228">
        <v>99</v>
      </c>
      <c r="CI129" s="228">
        <v>82</v>
      </c>
      <c r="CJ129" s="229">
        <v>0.83</v>
      </c>
      <c r="CK129" s="228">
        <v>19</v>
      </c>
      <c r="CL129" s="228">
        <v>17</v>
      </c>
      <c r="CM129" s="228">
        <v>1</v>
      </c>
      <c r="CN129" s="229">
        <v>8.7400000000000005E-2</v>
      </c>
      <c r="CO129" s="228">
        <v>663</v>
      </c>
      <c r="CP129" s="228">
        <v>769</v>
      </c>
      <c r="CQ129" s="228">
        <v>-105</v>
      </c>
      <c r="CR129" s="229">
        <v>-0.1368</v>
      </c>
      <c r="CS129" s="228">
        <v>382</v>
      </c>
      <c r="CT129" s="228">
        <v>405</v>
      </c>
      <c r="CU129" s="228">
        <v>-23</v>
      </c>
      <c r="CV129" s="229">
        <v>-5.6800000000000003E-2</v>
      </c>
      <c r="CW129" s="230">
        <v>3209</v>
      </c>
      <c r="CX129" s="230">
        <v>3248</v>
      </c>
      <c r="CY129" s="228">
        <v>-39</v>
      </c>
      <c r="CZ129" s="229">
        <v>-1.2200000000000001E-2</v>
      </c>
      <c r="DA129" s="228">
        <v>25.33</v>
      </c>
      <c r="DB129" s="228">
        <v>27.79</v>
      </c>
      <c r="DC129" s="228">
        <v>-2.46</v>
      </c>
      <c r="DD129" s="228">
        <v>-2.46</v>
      </c>
      <c r="DE129" s="228">
        <v>39.28</v>
      </c>
      <c r="DF129" s="228">
        <v>39.32</v>
      </c>
      <c r="DG129" s="228">
        <v>-13.95</v>
      </c>
      <c r="DH129" s="228">
        <v>-0.04</v>
      </c>
      <c r="DI129" s="228">
        <v>25.24</v>
      </c>
      <c r="DJ129" s="228">
        <v>28.93</v>
      </c>
      <c r="DK129" s="228">
        <v>-3.69</v>
      </c>
      <c r="DL129" s="228">
        <v>-3.69</v>
      </c>
      <c r="DM129" s="228">
        <v>25.57</v>
      </c>
      <c r="DN129" s="228">
        <v>26.93</v>
      </c>
      <c r="DO129" s="228">
        <v>-1.36</v>
      </c>
      <c r="DP129" s="228">
        <v>-1.36</v>
      </c>
      <c r="DQ129" s="228">
        <v>0.57999999999999996</v>
      </c>
      <c r="DR129" s="228">
        <v>0.53</v>
      </c>
      <c r="DS129" s="228">
        <v>0.05</v>
      </c>
      <c r="DT129" s="229">
        <v>9.4299999999999995E-2</v>
      </c>
      <c r="DU129" s="231">
        <v>1100</v>
      </c>
      <c r="DV129" s="231">
        <v>1160</v>
      </c>
      <c r="DW129" s="228">
        <v>0.39</v>
      </c>
      <c r="DX129" s="228">
        <v>1.31</v>
      </c>
      <c r="DY129" s="228">
        <v>-0.92</v>
      </c>
      <c r="DZ129" s="229">
        <v>-0.70230000000000004</v>
      </c>
      <c r="EA129" s="229">
        <v>9.2399999999999996E-2</v>
      </c>
      <c r="EB129" s="230">
        <v>1104075</v>
      </c>
      <c r="EC129" s="229">
        <v>6.0000000000000001E-3</v>
      </c>
      <c r="ED129" s="229">
        <v>9.2399999999999996E-2</v>
      </c>
      <c r="EE129" s="228">
        <v>8.8800000000000008</v>
      </c>
      <c r="EF129" s="229">
        <v>8.5000000000000006E-3</v>
      </c>
      <c r="EG129" s="230">
        <v>3580781</v>
      </c>
      <c r="EH129" s="230">
        <v>2657537</v>
      </c>
      <c r="EI129" s="229">
        <v>0.34739999999999999</v>
      </c>
      <c r="EJ129" s="229">
        <v>0.68159999999999998</v>
      </c>
      <c r="EK129" s="231">
        <v>1551.43</v>
      </c>
      <c r="EL129" s="228">
        <v>566.75</v>
      </c>
      <c r="EM129" s="228">
        <v>485.03</v>
      </c>
      <c r="EN129" s="228">
        <v>36.33</v>
      </c>
      <c r="EO129" s="231">
        <v>2603.1999999999998</v>
      </c>
      <c r="EP129" s="231">
        <v>3941.48</v>
      </c>
      <c r="EQ129" s="231">
        <v>-1338.28</v>
      </c>
      <c r="ER129" s="229">
        <v>-0.33950000000000002</v>
      </c>
      <c r="ES129" s="228">
        <v>721.55</v>
      </c>
      <c r="ET129" s="228">
        <v>388.6</v>
      </c>
      <c r="EU129" s="231">
        <v>2164.77</v>
      </c>
      <c r="EV129" s="231">
        <v>97211768</v>
      </c>
      <c r="EW129" s="231">
        <v>3274.92</v>
      </c>
      <c r="EX129" s="231">
        <v>3280.02</v>
      </c>
      <c r="EY129" s="228">
        <v>-5.0999999999999996</v>
      </c>
      <c r="EZ129" s="229">
        <v>-1.6000000000000001E-3</v>
      </c>
      <c r="FA129" s="229">
        <v>0.31369999999999998</v>
      </c>
      <c r="FB129" s="227" t="s">
        <v>555</v>
      </c>
      <c r="FC129">
        <f t="shared" si="1"/>
        <v>199</v>
      </c>
    </row>
    <row r="130" spans="1:159" ht="17.25" thickBot="1" x14ac:dyDescent="0.3">
      <c r="A130" s="226">
        <v>46009</v>
      </c>
      <c r="B130" s="227" t="s">
        <v>215</v>
      </c>
      <c r="C130" s="227" t="s">
        <v>674</v>
      </c>
      <c r="D130" s="228">
        <v>175</v>
      </c>
      <c r="E130" s="228">
        <v>12</v>
      </c>
      <c r="F130" s="231">
        <v>2366.4</v>
      </c>
      <c r="G130" s="231">
        <v>2362.6</v>
      </c>
      <c r="H130" s="228">
        <v>3.8</v>
      </c>
      <c r="I130" s="229">
        <v>1.6000000000000001E-3</v>
      </c>
      <c r="J130" s="231">
        <v>2358</v>
      </c>
      <c r="K130" s="231">
        <v>2356.6</v>
      </c>
      <c r="L130" s="228">
        <v>1.4</v>
      </c>
      <c r="M130" s="229">
        <v>5.9999999999999995E-4</v>
      </c>
      <c r="N130" s="231">
        <v>2366.4</v>
      </c>
      <c r="O130" s="231">
        <v>2362.6</v>
      </c>
      <c r="P130" s="228">
        <v>3.8</v>
      </c>
      <c r="Q130" s="229">
        <v>1.6000000000000001E-3</v>
      </c>
      <c r="R130" s="231">
        <v>2379.4</v>
      </c>
      <c r="S130" s="231">
        <v>2376.9</v>
      </c>
      <c r="T130" s="228">
        <v>2.5</v>
      </c>
      <c r="U130" s="229">
        <v>1.1000000000000001E-3</v>
      </c>
      <c r="V130" s="231">
        <v>2394.3000000000002</v>
      </c>
      <c r="W130" s="231">
        <v>2388.8000000000002</v>
      </c>
      <c r="X130" s="228">
        <v>5.5</v>
      </c>
      <c r="Y130" s="229">
        <v>2.3E-3</v>
      </c>
      <c r="Z130" s="228">
        <v>8.4</v>
      </c>
      <c r="AA130" s="228">
        <v>6</v>
      </c>
      <c r="AB130" s="228">
        <v>2.4</v>
      </c>
      <c r="AC130" s="229">
        <v>3.5999999999999999E-3</v>
      </c>
      <c r="AD130" s="228">
        <v>8.4</v>
      </c>
      <c r="AE130" s="228">
        <v>6</v>
      </c>
      <c r="AF130" s="228">
        <v>2.4</v>
      </c>
      <c r="AG130" s="229">
        <v>3.5999999999999999E-3</v>
      </c>
      <c r="AH130" s="228">
        <v>21.4</v>
      </c>
      <c r="AI130" s="228">
        <v>20.3</v>
      </c>
      <c r="AJ130" s="228">
        <v>1.1000000000000001</v>
      </c>
      <c r="AK130" s="229">
        <v>9.1000000000000004E-3</v>
      </c>
      <c r="AL130" s="228">
        <v>36.299999999999997</v>
      </c>
      <c r="AM130" s="228">
        <v>32.200000000000003</v>
      </c>
      <c r="AN130" s="228">
        <v>4.0999999999999996</v>
      </c>
      <c r="AO130" s="229">
        <v>1.54E-2</v>
      </c>
      <c r="AP130" s="231">
        <v>2358.9499999999998</v>
      </c>
      <c r="AQ130" s="231">
        <v>2369.46</v>
      </c>
      <c r="AR130" s="228">
        <v>0</v>
      </c>
      <c r="AS130" s="228">
        <v>152</v>
      </c>
      <c r="AT130" s="228">
        <v>177</v>
      </c>
      <c r="AU130" s="228">
        <v>-25</v>
      </c>
      <c r="AV130" s="229">
        <v>-0.1406</v>
      </c>
      <c r="AW130" s="228">
        <v>120</v>
      </c>
      <c r="AX130" s="228">
        <v>134</v>
      </c>
      <c r="AY130" s="228">
        <v>-14</v>
      </c>
      <c r="AZ130" s="229">
        <v>-0.1017</v>
      </c>
      <c r="BA130" s="228">
        <v>28</v>
      </c>
      <c r="BB130" s="228">
        <v>35</v>
      </c>
      <c r="BC130" s="228">
        <v>-7</v>
      </c>
      <c r="BD130" s="229">
        <v>-0.19980000000000001</v>
      </c>
      <c r="BE130" s="228">
        <v>4</v>
      </c>
      <c r="BF130" s="228">
        <v>8</v>
      </c>
      <c r="BG130" s="228">
        <v>-4</v>
      </c>
      <c r="BH130" s="229">
        <v>-0.53129999999999999</v>
      </c>
      <c r="BI130" s="228">
        <v>780</v>
      </c>
      <c r="BJ130" s="228">
        <v>844</v>
      </c>
      <c r="BK130" s="228">
        <v>-64</v>
      </c>
      <c r="BL130" s="229">
        <v>-7.5700000000000003E-2</v>
      </c>
      <c r="BM130" s="228">
        <v>366</v>
      </c>
      <c r="BN130" s="228">
        <v>509</v>
      </c>
      <c r="BO130" s="228">
        <v>-142</v>
      </c>
      <c r="BP130" s="229">
        <v>-0.2797</v>
      </c>
      <c r="BQ130" s="230">
        <v>1298</v>
      </c>
      <c r="BR130" s="230">
        <v>1529</v>
      </c>
      <c r="BS130" s="228">
        <v>-231</v>
      </c>
      <c r="BT130" s="229">
        <v>-0.151</v>
      </c>
      <c r="BU130" s="230">
        <v>803276</v>
      </c>
      <c r="BV130" s="230">
        <v>697328</v>
      </c>
      <c r="BW130" s="230">
        <v>105948</v>
      </c>
      <c r="BX130" s="229">
        <v>0.15190000000000001</v>
      </c>
      <c r="BY130" s="230">
        <v>1080</v>
      </c>
      <c r="BZ130" s="230">
        <v>1085</v>
      </c>
      <c r="CA130" s="228">
        <v>-5</v>
      </c>
      <c r="CB130" s="229">
        <v>-4.8999999999999998E-3</v>
      </c>
      <c r="CC130" s="228">
        <v>958</v>
      </c>
      <c r="CD130" s="228">
        <v>966</v>
      </c>
      <c r="CE130" s="228">
        <v>-9</v>
      </c>
      <c r="CF130" s="229">
        <v>-8.9999999999999993E-3</v>
      </c>
      <c r="CG130" s="228">
        <v>109</v>
      </c>
      <c r="CH130" s="228">
        <v>108</v>
      </c>
      <c r="CI130" s="228">
        <v>1</v>
      </c>
      <c r="CJ130" s="229">
        <v>9.1999999999999998E-3</v>
      </c>
      <c r="CK130" s="228">
        <v>13</v>
      </c>
      <c r="CL130" s="228">
        <v>11</v>
      </c>
      <c r="CM130" s="228">
        <v>2</v>
      </c>
      <c r="CN130" s="229">
        <v>0.22969999999999999</v>
      </c>
      <c r="CO130" s="228">
        <v>974</v>
      </c>
      <c r="CP130" s="228">
        <v>996</v>
      </c>
      <c r="CQ130" s="228">
        <v>-21</v>
      </c>
      <c r="CR130" s="229">
        <v>-2.1600000000000001E-2</v>
      </c>
      <c r="CS130" s="228">
        <v>436</v>
      </c>
      <c r="CT130" s="228">
        <v>423</v>
      </c>
      <c r="CU130" s="228">
        <v>12</v>
      </c>
      <c r="CV130" s="229">
        <v>2.92E-2</v>
      </c>
      <c r="CW130" s="230">
        <v>2489</v>
      </c>
      <c r="CX130" s="230">
        <v>2504</v>
      </c>
      <c r="CY130" s="228">
        <v>-14</v>
      </c>
      <c r="CZ130" s="229">
        <v>-5.7999999999999996E-3</v>
      </c>
      <c r="DA130" s="228">
        <v>30.11</v>
      </c>
      <c r="DB130" s="228">
        <v>30.87</v>
      </c>
      <c r="DC130" s="228">
        <v>-0.76</v>
      </c>
      <c r="DD130" s="228">
        <v>-0.76</v>
      </c>
      <c r="DE130" s="228">
        <v>55.26</v>
      </c>
      <c r="DF130" s="228">
        <v>55.4</v>
      </c>
      <c r="DG130" s="228">
        <v>-25.15</v>
      </c>
      <c r="DH130" s="228">
        <v>-0.14000000000000001</v>
      </c>
      <c r="DI130" s="228">
        <v>31.13</v>
      </c>
      <c r="DJ130" s="228">
        <v>32.49</v>
      </c>
      <c r="DK130" s="228">
        <v>-1.36</v>
      </c>
      <c r="DL130" s="228">
        <v>-1.36</v>
      </c>
      <c r="DM130" s="228">
        <v>27.93</v>
      </c>
      <c r="DN130" s="228">
        <v>28.17</v>
      </c>
      <c r="DO130" s="228">
        <v>-0.24</v>
      </c>
      <c r="DP130" s="228">
        <v>-0.24</v>
      </c>
      <c r="DQ130" s="228">
        <v>0.45</v>
      </c>
      <c r="DR130" s="228">
        <v>0.43</v>
      </c>
      <c r="DS130" s="228">
        <v>0.02</v>
      </c>
      <c r="DT130" s="229">
        <v>4.65E-2</v>
      </c>
      <c r="DU130" s="231">
        <v>2700</v>
      </c>
      <c r="DV130" s="231">
        <v>2800</v>
      </c>
      <c r="DW130" s="228">
        <v>0.47</v>
      </c>
      <c r="DX130" s="228">
        <v>0.6</v>
      </c>
      <c r="DY130" s="228">
        <v>-0.13</v>
      </c>
      <c r="DZ130" s="229">
        <v>-0.2167</v>
      </c>
      <c r="EA130" s="229">
        <v>0.1128</v>
      </c>
      <c r="EB130" s="230">
        <v>500400</v>
      </c>
      <c r="EC130" s="229">
        <v>5.4999999999999997E-3</v>
      </c>
      <c r="ED130" s="229">
        <v>0.1128</v>
      </c>
      <c r="EE130" s="228">
        <v>10.51</v>
      </c>
      <c r="EF130" s="229">
        <v>4.4999999999999997E-3</v>
      </c>
      <c r="EG130" s="230">
        <v>177348</v>
      </c>
      <c r="EH130" s="230">
        <v>209676</v>
      </c>
      <c r="EI130" s="229">
        <v>-0.1542</v>
      </c>
      <c r="EJ130" s="229">
        <v>0.2208</v>
      </c>
      <c r="EK130" s="228">
        <v>839.13</v>
      </c>
      <c r="EL130" s="228">
        <v>371.24</v>
      </c>
      <c r="EM130" s="228">
        <v>156.12</v>
      </c>
      <c r="EN130" s="228">
        <v>37.25</v>
      </c>
      <c r="EO130" s="231">
        <v>1366.49</v>
      </c>
      <c r="EP130" s="231">
        <v>1622.5</v>
      </c>
      <c r="EQ130" s="228">
        <v>-256.01</v>
      </c>
      <c r="ER130" s="229">
        <v>-0.1578</v>
      </c>
      <c r="ES130" s="231">
        <v>1100.82</v>
      </c>
      <c r="ET130" s="228">
        <v>466.15</v>
      </c>
      <c r="EU130" s="231">
        <v>1080.3499999999999</v>
      </c>
      <c r="EV130" s="231">
        <v>11364224</v>
      </c>
      <c r="EW130" s="231">
        <v>2647.32</v>
      </c>
      <c r="EX130" s="231">
        <v>2668.23</v>
      </c>
      <c r="EY130" s="228">
        <v>-20.91</v>
      </c>
      <c r="EZ130" s="229">
        <v>-7.7999999999999996E-3</v>
      </c>
      <c r="FA130" s="229">
        <v>0.92559999999999998</v>
      </c>
      <c r="FB130" s="227" t="s">
        <v>556</v>
      </c>
      <c r="FC130">
        <f t="shared" si="1"/>
        <v>122</v>
      </c>
    </row>
    <row r="131" spans="1:159" ht="17.25" thickBot="1" x14ac:dyDescent="0.3">
      <c r="A131" s="226">
        <v>46009</v>
      </c>
      <c r="B131" s="227" t="s">
        <v>175</v>
      </c>
      <c r="C131" s="227" t="s">
        <v>517</v>
      </c>
      <c r="D131" s="228">
        <v>125</v>
      </c>
      <c r="E131" s="228">
        <v>12</v>
      </c>
      <c r="F131" s="231">
        <v>10194</v>
      </c>
      <c r="G131" s="231">
        <v>10066</v>
      </c>
      <c r="H131" s="228">
        <v>128</v>
      </c>
      <c r="I131" s="229">
        <v>1.2699999999999999E-2</v>
      </c>
      <c r="J131" s="231">
        <v>10172</v>
      </c>
      <c r="K131" s="231">
        <v>10025</v>
      </c>
      <c r="L131" s="228">
        <v>147</v>
      </c>
      <c r="M131" s="229">
        <v>1.47E-2</v>
      </c>
      <c r="N131" s="231">
        <v>10194</v>
      </c>
      <c r="O131" s="231">
        <v>10066</v>
      </c>
      <c r="P131" s="228">
        <v>128</v>
      </c>
      <c r="Q131" s="229">
        <v>1.2699999999999999E-2</v>
      </c>
      <c r="R131" s="231">
        <v>10254</v>
      </c>
      <c r="S131" s="231">
        <v>10120</v>
      </c>
      <c r="T131" s="228">
        <v>134</v>
      </c>
      <c r="U131" s="229">
        <v>1.32E-2</v>
      </c>
      <c r="V131" s="231">
        <v>10321</v>
      </c>
      <c r="W131" s="231">
        <v>10188</v>
      </c>
      <c r="X131" s="228">
        <v>133</v>
      </c>
      <c r="Y131" s="229">
        <v>1.3100000000000001E-2</v>
      </c>
      <c r="Z131" s="228">
        <v>22</v>
      </c>
      <c r="AA131" s="228">
        <v>41</v>
      </c>
      <c r="AB131" s="228">
        <v>-19</v>
      </c>
      <c r="AC131" s="229">
        <v>2.2000000000000001E-3</v>
      </c>
      <c r="AD131" s="228">
        <v>22</v>
      </c>
      <c r="AE131" s="228">
        <v>41</v>
      </c>
      <c r="AF131" s="228">
        <v>-19</v>
      </c>
      <c r="AG131" s="229">
        <v>2.2000000000000001E-3</v>
      </c>
      <c r="AH131" s="228">
        <v>82</v>
      </c>
      <c r="AI131" s="228">
        <v>95</v>
      </c>
      <c r="AJ131" s="228">
        <v>-13</v>
      </c>
      <c r="AK131" s="229">
        <v>8.0999999999999996E-3</v>
      </c>
      <c r="AL131" s="228">
        <v>149</v>
      </c>
      <c r="AM131" s="228">
        <v>163</v>
      </c>
      <c r="AN131" s="228">
        <v>-14</v>
      </c>
      <c r="AO131" s="229">
        <v>1.46E-2</v>
      </c>
      <c r="AP131" s="231">
        <v>10147.959999999999</v>
      </c>
      <c r="AQ131" s="231">
        <v>10207.18</v>
      </c>
      <c r="AR131" s="228">
        <v>0</v>
      </c>
      <c r="AS131" s="228">
        <v>957</v>
      </c>
      <c r="AT131" s="228">
        <v>573</v>
      </c>
      <c r="AU131" s="228">
        <v>384</v>
      </c>
      <c r="AV131" s="229">
        <v>0.67100000000000004</v>
      </c>
      <c r="AW131" s="228">
        <v>805</v>
      </c>
      <c r="AX131" s="228">
        <v>481</v>
      </c>
      <c r="AY131" s="228">
        <v>323</v>
      </c>
      <c r="AZ131" s="229">
        <v>0.67149999999999999</v>
      </c>
      <c r="BA131" s="228">
        <v>142</v>
      </c>
      <c r="BB131" s="228">
        <v>88</v>
      </c>
      <c r="BC131" s="228">
        <v>54</v>
      </c>
      <c r="BD131" s="229">
        <v>0.61329999999999996</v>
      </c>
      <c r="BE131" s="228">
        <v>10</v>
      </c>
      <c r="BF131" s="228">
        <v>3</v>
      </c>
      <c r="BG131" s="228">
        <v>7</v>
      </c>
      <c r="BH131" s="229">
        <v>2.2000000000000002</v>
      </c>
      <c r="BI131" s="230">
        <v>6058</v>
      </c>
      <c r="BJ131" s="230">
        <v>3568</v>
      </c>
      <c r="BK131" s="230">
        <v>2491</v>
      </c>
      <c r="BL131" s="229">
        <v>0.69810000000000005</v>
      </c>
      <c r="BM131" s="230">
        <v>4030</v>
      </c>
      <c r="BN131" s="230">
        <v>2328</v>
      </c>
      <c r="BO131" s="230">
        <v>1702</v>
      </c>
      <c r="BP131" s="229">
        <v>0.73119999999999996</v>
      </c>
      <c r="BQ131" s="230">
        <v>11045</v>
      </c>
      <c r="BR131" s="230">
        <v>6468</v>
      </c>
      <c r="BS131" s="230">
        <v>4577</v>
      </c>
      <c r="BT131" s="229">
        <v>0.70760000000000001</v>
      </c>
      <c r="BU131" s="230">
        <v>392173</v>
      </c>
      <c r="BV131" s="230">
        <v>294649</v>
      </c>
      <c r="BW131" s="230">
        <v>97524</v>
      </c>
      <c r="BX131" s="229">
        <v>0.33100000000000002</v>
      </c>
      <c r="BY131" s="230">
        <v>2956</v>
      </c>
      <c r="BZ131" s="230">
        <v>2945</v>
      </c>
      <c r="CA131" s="228">
        <v>11</v>
      </c>
      <c r="CB131" s="229">
        <v>3.8999999999999998E-3</v>
      </c>
      <c r="CC131" s="230">
        <v>2618</v>
      </c>
      <c r="CD131" s="230">
        <v>2619</v>
      </c>
      <c r="CE131" s="228">
        <v>-1</v>
      </c>
      <c r="CF131" s="229">
        <v>-4.0000000000000002E-4</v>
      </c>
      <c r="CG131" s="228">
        <v>292</v>
      </c>
      <c r="CH131" s="228">
        <v>280</v>
      </c>
      <c r="CI131" s="228">
        <v>11</v>
      </c>
      <c r="CJ131" s="229">
        <v>4.0399999999999998E-2</v>
      </c>
      <c r="CK131" s="228">
        <v>47</v>
      </c>
      <c r="CL131" s="228">
        <v>46</v>
      </c>
      <c r="CM131" s="228">
        <v>1</v>
      </c>
      <c r="CN131" s="229">
        <v>2.23E-2</v>
      </c>
      <c r="CO131" s="230">
        <v>2964</v>
      </c>
      <c r="CP131" s="230">
        <v>3203</v>
      </c>
      <c r="CQ131" s="228">
        <v>-239</v>
      </c>
      <c r="CR131" s="229">
        <v>-7.46E-2</v>
      </c>
      <c r="CS131" s="230">
        <v>1987</v>
      </c>
      <c r="CT131" s="230">
        <v>2034</v>
      </c>
      <c r="CU131" s="228">
        <v>-48</v>
      </c>
      <c r="CV131" s="229">
        <v>-2.3400000000000001E-2</v>
      </c>
      <c r="CW131" s="230">
        <v>7907</v>
      </c>
      <c r="CX131" s="230">
        <v>8182</v>
      </c>
      <c r="CY131" s="228">
        <v>-275</v>
      </c>
      <c r="CZ131" s="229">
        <v>-3.3599999999999998E-2</v>
      </c>
      <c r="DA131" s="228">
        <v>28.62</v>
      </c>
      <c r="DB131" s="228">
        <v>30.89</v>
      </c>
      <c r="DC131" s="228">
        <v>-2.27</v>
      </c>
      <c r="DD131" s="228">
        <v>-2.27</v>
      </c>
      <c r="DE131" s="228">
        <v>45.16</v>
      </c>
      <c r="DF131" s="228">
        <v>45.24</v>
      </c>
      <c r="DG131" s="228">
        <v>-16.54</v>
      </c>
      <c r="DH131" s="228">
        <v>-0.08</v>
      </c>
      <c r="DI131" s="228">
        <v>28.34</v>
      </c>
      <c r="DJ131" s="228">
        <v>31.11</v>
      </c>
      <c r="DK131" s="228">
        <v>-2.77</v>
      </c>
      <c r="DL131" s="228">
        <v>-2.77</v>
      </c>
      <c r="DM131" s="228">
        <v>29.05</v>
      </c>
      <c r="DN131" s="228">
        <v>30.54</v>
      </c>
      <c r="DO131" s="228">
        <v>-1.49</v>
      </c>
      <c r="DP131" s="228">
        <v>-1.49</v>
      </c>
      <c r="DQ131" s="228">
        <v>0.67</v>
      </c>
      <c r="DR131" s="228">
        <v>0.64</v>
      </c>
      <c r="DS131" s="228">
        <v>0.03</v>
      </c>
      <c r="DT131" s="229">
        <v>4.6899999999999997E-2</v>
      </c>
      <c r="DU131" s="231">
        <v>11000</v>
      </c>
      <c r="DV131" s="231">
        <v>10000</v>
      </c>
      <c r="DW131" s="228">
        <v>0.67</v>
      </c>
      <c r="DX131" s="228">
        <v>0.65</v>
      </c>
      <c r="DY131" s="228">
        <v>0.02</v>
      </c>
      <c r="DZ131" s="229">
        <v>3.0800000000000001E-2</v>
      </c>
      <c r="EA131" s="229">
        <v>0.1145</v>
      </c>
      <c r="EB131" s="230">
        <v>320000</v>
      </c>
      <c r="EC131" s="229">
        <v>5.8999999999999999E-3</v>
      </c>
      <c r="ED131" s="229">
        <v>0.1145</v>
      </c>
      <c r="EE131" s="228">
        <v>59.22</v>
      </c>
      <c r="EF131" s="229">
        <v>5.7999999999999996E-3</v>
      </c>
      <c r="EG131" s="230">
        <v>113527</v>
      </c>
      <c r="EH131" s="230">
        <v>102061</v>
      </c>
      <c r="EI131" s="229">
        <v>0.1123</v>
      </c>
      <c r="EJ131" s="229">
        <v>0.28949999999999998</v>
      </c>
      <c r="EK131" s="231">
        <v>6282.93</v>
      </c>
      <c r="EL131" s="231">
        <v>3911.33</v>
      </c>
      <c r="EM131" s="228">
        <v>953.96</v>
      </c>
      <c r="EN131" s="228">
        <v>66.77</v>
      </c>
      <c r="EO131" s="231">
        <v>11148.22</v>
      </c>
      <c r="EP131" s="231">
        <v>6556.3</v>
      </c>
      <c r="EQ131" s="231">
        <v>4591.92</v>
      </c>
      <c r="ER131" s="229">
        <v>0.70040000000000002</v>
      </c>
      <c r="ES131" s="231">
        <v>3061.59</v>
      </c>
      <c r="ET131" s="231">
        <v>1882.22</v>
      </c>
      <c r="EU131" s="231">
        <v>2958.43</v>
      </c>
      <c r="EV131" s="231">
        <v>7635422</v>
      </c>
      <c r="EW131" s="231">
        <v>7902.24</v>
      </c>
      <c r="EX131" s="231">
        <v>8138.96</v>
      </c>
      <c r="EY131" s="228">
        <v>-236.72</v>
      </c>
      <c r="EZ131" s="229">
        <v>-2.9100000000000001E-2</v>
      </c>
      <c r="FA131" s="229">
        <v>1.0159</v>
      </c>
      <c r="FB131" s="227" t="s">
        <v>555</v>
      </c>
      <c r="FC131">
        <f t="shared" ref="FC131:FC147" si="2">BY131-CC131</f>
        <v>338</v>
      </c>
    </row>
    <row r="132" spans="1:159" ht="17.25" thickBot="1" x14ac:dyDescent="0.3">
      <c r="A132" s="226">
        <v>46009</v>
      </c>
      <c r="B132" s="227" t="s">
        <v>175</v>
      </c>
      <c r="C132" s="227" t="s">
        <v>257</v>
      </c>
      <c r="D132" s="228">
        <v>400</v>
      </c>
      <c r="E132" s="228">
        <v>12</v>
      </c>
      <c r="F132" s="231">
        <v>1688.8</v>
      </c>
      <c r="G132" s="231">
        <v>1668.5</v>
      </c>
      <c r="H132" s="228">
        <v>20.3</v>
      </c>
      <c r="I132" s="229">
        <v>1.2200000000000001E-2</v>
      </c>
      <c r="J132" s="231">
        <v>1686.6</v>
      </c>
      <c r="K132" s="231">
        <v>1663.9</v>
      </c>
      <c r="L132" s="228">
        <v>22.7</v>
      </c>
      <c r="M132" s="229">
        <v>1.3599999999999999E-2</v>
      </c>
      <c r="N132" s="231">
        <v>1688.8</v>
      </c>
      <c r="O132" s="231">
        <v>1668.5</v>
      </c>
      <c r="P132" s="228">
        <v>20.3</v>
      </c>
      <c r="Q132" s="229">
        <v>1.2200000000000001E-2</v>
      </c>
      <c r="R132" s="231">
        <v>1699.3</v>
      </c>
      <c r="S132" s="231">
        <v>1677.5</v>
      </c>
      <c r="T132" s="228">
        <v>21.8</v>
      </c>
      <c r="U132" s="229">
        <v>1.2999999999999999E-2</v>
      </c>
      <c r="V132" s="231">
        <v>1704.1</v>
      </c>
      <c r="W132" s="231">
        <v>1684.6</v>
      </c>
      <c r="X132" s="228">
        <v>19.5</v>
      </c>
      <c r="Y132" s="229">
        <v>1.1599999999999999E-2</v>
      </c>
      <c r="Z132" s="228">
        <v>2.2000000000000002</v>
      </c>
      <c r="AA132" s="228">
        <v>4.5999999999999996</v>
      </c>
      <c r="AB132" s="228">
        <v>-2.4</v>
      </c>
      <c r="AC132" s="229">
        <v>1.2999999999999999E-3</v>
      </c>
      <c r="AD132" s="228">
        <v>2.2000000000000002</v>
      </c>
      <c r="AE132" s="228">
        <v>4.5999999999999996</v>
      </c>
      <c r="AF132" s="228">
        <v>-2.4</v>
      </c>
      <c r="AG132" s="229">
        <v>1.2999999999999999E-3</v>
      </c>
      <c r="AH132" s="228">
        <v>12.7</v>
      </c>
      <c r="AI132" s="228">
        <v>13.6</v>
      </c>
      <c r="AJ132" s="228">
        <v>-0.9</v>
      </c>
      <c r="AK132" s="229">
        <v>7.4999999999999997E-3</v>
      </c>
      <c r="AL132" s="228">
        <v>17.5</v>
      </c>
      <c r="AM132" s="228">
        <v>20.7</v>
      </c>
      <c r="AN132" s="228">
        <v>-3.2</v>
      </c>
      <c r="AO132" s="229">
        <v>1.04E-2</v>
      </c>
      <c r="AP132" s="231">
        <v>1682.3</v>
      </c>
      <c r="AQ132" s="231">
        <v>1697.33</v>
      </c>
      <c r="AR132" s="228">
        <v>0</v>
      </c>
      <c r="AS132" s="228">
        <v>109</v>
      </c>
      <c r="AT132" s="228">
        <v>136</v>
      </c>
      <c r="AU132" s="228">
        <v>-28</v>
      </c>
      <c r="AV132" s="229">
        <v>-0.2029</v>
      </c>
      <c r="AW132" s="228">
        <v>93</v>
      </c>
      <c r="AX132" s="228">
        <v>118</v>
      </c>
      <c r="AY132" s="228">
        <v>-24</v>
      </c>
      <c r="AZ132" s="229">
        <v>-0.20569999999999999</v>
      </c>
      <c r="BA132" s="228">
        <v>15</v>
      </c>
      <c r="BB132" s="228">
        <v>18</v>
      </c>
      <c r="BC132" s="228">
        <v>-4</v>
      </c>
      <c r="BD132" s="229">
        <v>-0.2051</v>
      </c>
      <c r="BE132" s="228">
        <v>1</v>
      </c>
      <c r="BF132" s="228">
        <v>0</v>
      </c>
      <c r="BG132" s="228">
        <v>0</v>
      </c>
      <c r="BH132" s="229">
        <v>1.6667000000000001</v>
      </c>
      <c r="BI132" s="228">
        <v>258</v>
      </c>
      <c r="BJ132" s="228">
        <v>308</v>
      </c>
      <c r="BK132" s="228">
        <v>-51</v>
      </c>
      <c r="BL132" s="229">
        <v>-0.16450000000000001</v>
      </c>
      <c r="BM132" s="228">
        <v>129</v>
      </c>
      <c r="BN132" s="228">
        <v>189</v>
      </c>
      <c r="BO132" s="228">
        <v>-59</v>
      </c>
      <c r="BP132" s="229">
        <v>-0.315</v>
      </c>
      <c r="BQ132" s="228">
        <v>495</v>
      </c>
      <c r="BR132" s="228">
        <v>633</v>
      </c>
      <c r="BS132" s="228">
        <v>-138</v>
      </c>
      <c r="BT132" s="229">
        <v>-0.21759999999999999</v>
      </c>
      <c r="BU132" s="230">
        <v>247610</v>
      </c>
      <c r="BV132" s="230">
        <v>351871</v>
      </c>
      <c r="BW132" s="230">
        <v>-104261</v>
      </c>
      <c r="BX132" s="229">
        <v>-0.29630000000000001</v>
      </c>
      <c r="BY132" s="230">
        <v>1347</v>
      </c>
      <c r="BZ132" s="230">
        <v>1343</v>
      </c>
      <c r="CA132" s="228">
        <v>5</v>
      </c>
      <c r="CB132" s="229">
        <v>3.5999999999999999E-3</v>
      </c>
      <c r="CC132" s="230">
        <v>1313</v>
      </c>
      <c r="CD132" s="230">
        <v>1317</v>
      </c>
      <c r="CE132" s="228">
        <v>-4</v>
      </c>
      <c r="CF132" s="229">
        <v>-3.3E-3</v>
      </c>
      <c r="CG132" s="228">
        <v>33</v>
      </c>
      <c r="CH132" s="228">
        <v>24</v>
      </c>
      <c r="CI132" s="228">
        <v>9</v>
      </c>
      <c r="CJ132" s="229">
        <v>0.37009999999999998</v>
      </c>
      <c r="CK132" s="228">
        <v>2</v>
      </c>
      <c r="CL132" s="228">
        <v>1</v>
      </c>
      <c r="CM132" s="228">
        <v>0</v>
      </c>
      <c r="CN132" s="229">
        <v>0.21049999999999999</v>
      </c>
      <c r="CO132" s="228">
        <v>309</v>
      </c>
      <c r="CP132" s="228">
        <v>315</v>
      </c>
      <c r="CQ132" s="228">
        <v>-6</v>
      </c>
      <c r="CR132" s="229">
        <v>-1.9099999999999999E-2</v>
      </c>
      <c r="CS132" s="228">
        <v>171</v>
      </c>
      <c r="CT132" s="228">
        <v>168</v>
      </c>
      <c r="CU132" s="228">
        <v>3</v>
      </c>
      <c r="CV132" s="229">
        <v>1.6899999999999998E-2</v>
      </c>
      <c r="CW132" s="230">
        <v>1827</v>
      </c>
      <c r="CX132" s="230">
        <v>1825</v>
      </c>
      <c r="CY132" s="228">
        <v>2</v>
      </c>
      <c r="CZ132" s="229">
        <v>8.9999999999999998E-4</v>
      </c>
      <c r="DA132" s="228">
        <v>22.27</v>
      </c>
      <c r="DB132" s="228">
        <v>22.84</v>
      </c>
      <c r="DC132" s="228">
        <v>-0.56999999999999995</v>
      </c>
      <c r="DD132" s="228">
        <v>-0.56999999999999995</v>
      </c>
      <c r="DE132" s="228">
        <v>29.94</v>
      </c>
      <c r="DF132" s="228">
        <v>29.97</v>
      </c>
      <c r="DG132" s="228">
        <v>-7.67</v>
      </c>
      <c r="DH132" s="228">
        <v>-0.03</v>
      </c>
      <c r="DI132" s="228">
        <v>22.47</v>
      </c>
      <c r="DJ132" s="228">
        <v>23.23</v>
      </c>
      <c r="DK132" s="228">
        <v>-0.76</v>
      </c>
      <c r="DL132" s="228">
        <v>-0.76</v>
      </c>
      <c r="DM132" s="228">
        <v>21.87</v>
      </c>
      <c r="DN132" s="228">
        <v>22.21</v>
      </c>
      <c r="DO132" s="228">
        <v>-0.34</v>
      </c>
      <c r="DP132" s="228">
        <v>-0.34</v>
      </c>
      <c r="DQ132" s="228">
        <v>0.55000000000000004</v>
      </c>
      <c r="DR132" s="228">
        <v>0.53</v>
      </c>
      <c r="DS132" s="228">
        <v>0.02</v>
      </c>
      <c r="DT132" s="229">
        <v>3.7699999999999997E-2</v>
      </c>
      <c r="DU132" s="231">
        <v>1740</v>
      </c>
      <c r="DV132" s="231">
        <v>1660</v>
      </c>
      <c r="DW132" s="228">
        <v>0.5</v>
      </c>
      <c r="DX132" s="228">
        <v>0.61</v>
      </c>
      <c r="DY132" s="228">
        <v>-0.11</v>
      </c>
      <c r="DZ132" s="229">
        <v>-0.18029999999999999</v>
      </c>
      <c r="EA132" s="229">
        <v>2.5499999999999998E-2</v>
      </c>
      <c r="EB132" s="230">
        <v>149200</v>
      </c>
      <c r="EC132" s="229">
        <v>6.1999999999999998E-3</v>
      </c>
      <c r="ED132" s="229">
        <v>2.5499999999999998E-2</v>
      </c>
      <c r="EE132" s="228">
        <v>15.03</v>
      </c>
      <c r="EF132" s="229">
        <v>8.8999999999999999E-3</v>
      </c>
      <c r="EG132" s="230">
        <v>130163</v>
      </c>
      <c r="EH132" s="230">
        <v>182734</v>
      </c>
      <c r="EI132" s="229">
        <v>-0.28770000000000001</v>
      </c>
      <c r="EJ132" s="229">
        <v>0.52569999999999995</v>
      </c>
      <c r="EK132" s="228">
        <v>266.49</v>
      </c>
      <c r="EL132" s="228">
        <v>127.47</v>
      </c>
      <c r="EM132" s="228">
        <v>108.27</v>
      </c>
      <c r="EN132" s="228">
        <v>18.47</v>
      </c>
      <c r="EO132" s="228">
        <v>502.23</v>
      </c>
      <c r="EP132" s="228">
        <v>638.45000000000005</v>
      </c>
      <c r="EQ132" s="228">
        <v>-136.22999999999999</v>
      </c>
      <c r="ER132" s="229">
        <v>-0.21340000000000001</v>
      </c>
      <c r="ES132" s="228">
        <v>323.55</v>
      </c>
      <c r="ET132" s="228">
        <v>164.5</v>
      </c>
      <c r="EU132" s="231">
        <v>1347.61</v>
      </c>
      <c r="EV132" s="231">
        <v>34712157</v>
      </c>
      <c r="EW132" s="231">
        <v>1835.66</v>
      </c>
      <c r="EX132" s="231">
        <v>1817.25</v>
      </c>
      <c r="EY132" s="228">
        <v>18.41</v>
      </c>
      <c r="EZ132" s="229">
        <v>1.01E-2</v>
      </c>
      <c r="FA132" s="229">
        <v>0.31169999999999998</v>
      </c>
      <c r="FB132" s="227" t="s">
        <v>555</v>
      </c>
      <c r="FC132">
        <f t="shared" si="2"/>
        <v>34</v>
      </c>
    </row>
    <row r="133" spans="1:159" ht="17.25" thickBot="1" x14ac:dyDescent="0.3">
      <c r="A133" s="226">
        <v>46009</v>
      </c>
      <c r="B133" s="227" t="s">
        <v>181</v>
      </c>
      <c r="C133" s="227" t="s">
        <v>563</v>
      </c>
      <c r="D133" s="228">
        <v>140</v>
      </c>
      <c r="E133" s="228">
        <v>12</v>
      </c>
      <c r="F133" s="231">
        <v>13777.4</v>
      </c>
      <c r="G133" s="231">
        <v>13686.05</v>
      </c>
      <c r="H133" s="228">
        <v>91.35</v>
      </c>
      <c r="I133" s="229">
        <v>6.7000000000000002E-3</v>
      </c>
      <c r="J133" s="231">
        <v>13745.15</v>
      </c>
      <c r="K133" s="231">
        <v>13652.3</v>
      </c>
      <c r="L133" s="228">
        <v>92.85</v>
      </c>
      <c r="M133" s="229">
        <v>6.7999999999999996E-3</v>
      </c>
      <c r="N133" s="231">
        <v>13777.4</v>
      </c>
      <c r="O133" s="231">
        <v>13686.05</v>
      </c>
      <c r="P133" s="228">
        <v>91.35</v>
      </c>
      <c r="Q133" s="229">
        <v>6.7000000000000002E-3</v>
      </c>
      <c r="R133" s="231">
        <v>13850.35</v>
      </c>
      <c r="S133" s="231">
        <v>13768.15</v>
      </c>
      <c r="T133" s="228">
        <v>82.2</v>
      </c>
      <c r="U133" s="229">
        <v>6.0000000000000001E-3</v>
      </c>
      <c r="V133" s="231">
        <v>13915.45</v>
      </c>
      <c r="W133" s="231">
        <v>13838.35</v>
      </c>
      <c r="X133" s="228">
        <v>77.099999999999994</v>
      </c>
      <c r="Y133" s="229">
        <v>5.5999999999999999E-3</v>
      </c>
      <c r="Z133" s="228">
        <v>32.25</v>
      </c>
      <c r="AA133" s="228">
        <v>33.75</v>
      </c>
      <c r="AB133" s="228">
        <v>-1.5</v>
      </c>
      <c r="AC133" s="229">
        <v>2.3E-3</v>
      </c>
      <c r="AD133" s="228">
        <v>32.25</v>
      </c>
      <c r="AE133" s="228">
        <v>33.75</v>
      </c>
      <c r="AF133" s="228">
        <v>-1.5</v>
      </c>
      <c r="AG133" s="229">
        <v>2.3E-3</v>
      </c>
      <c r="AH133" s="228">
        <v>105.2</v>
      </c>
      <c r="AI133" s="228">
        <v>115.85</v>
      </c>
      <c r="AJ133" s="228">
        <v>-10.65</v>
      </c>
      <c r="AK133" s="229">
        <v>7.7000000000000002E-3</v>
      </c>
      <c r="AL133" s="228">
        <v>170.3</v>
      </c>
      <c r="AM133" s="228">
        <v>186.05</v>
      </c>
      <c r="AN133" s="228">
        <v>-15.75</v>
      </c>
      <c r="AO133" s="229">
        <v>1.24E-2</v>
      </c>
      <c r="AP133" s="231">
        <v>13727.22</v>
      </c>
      <c r="AQ133" s="231">
        <v>13806.24</v>
      </c>
      <c r="AR133" s="228">
        <v>0</v>
      </c>
      <c r="AS133" s="230">
        <v>1003</v>
      </c>
      <c r="AT133" s="228">
        <v>590</v>
      </c>
      <c r="AU133" s="228">
        <v>412</v>
      </c>
      <c r="AV133" s="229">
        <v>0.69810000000000005</v>
      </c>
      <c r="AW133" s="228">
        <v>848</v>
      </c>
      <c r="AX133" s="228">
        <v>529</v>
      </c>
      <c r="AY133" s="228">
        <v>318</v>
      </c>
      <c r="AZ133" s="229">
        <v>0.60189999999999999</v>
      </c>
      <c r="BA133" s="228">
        <v>150</v>
      </c>
      <c r="BB133" s="228">
        <v>56</v>
      </c>
      <c r="BC133" s="228">
        <v>94</v>
      </c>
      <c r="BD133" s="229">
        <v>1.6712</v>
      </c>
      <c r="BE133" s="228">
        <v>5</v>
      </c>
      <c r="BF133" s="228">
        <v>5</v>
      </c>
      <c r="BG133" s="228">
        <v>0</v>
      </c>
      <c r="BH133" s="229">
        <v>-7.6899999999999996E-2</v>
      </c>
      <c r="BI133" s="230">
        <v>38626</v>
      </c>
      <c r="BJ133" s="230">
        <v>34135</v>
      </c>
      <c r="BK133" s="230">
        <v>4491</v>
      </c>
      <c r="BL133" s="229">
        <v>0.13159999999999999</v>
      </c>
      <c r="BM133" s="230">
        <v>34726</v>
      </c>
      <c r="BN133" s="230">
        <v>25453</v>
      </c>
      <c r="BO133" s="230">
        <v>9273</v>
      </c>
      <c r="BP133" s="229">
        <v>0.36430000000000001</v>
      </c>
      <c r="BQ133" s="230">
        <v>74355</v>
      </c>
      <c r="BR133" s="230">
        <v>60179</v>
      </c>
      <c r="BS133" s="230">
        <v>14176</v>
      </c>
      <c r="BT133" s="229">
        <v>0.2356</v>
      </c>
      <c r="BU133" s="228">
        <v>0</v>
      </c>
      <c r="BV133" s="228">
        <v>0</v>
      </c>
      <c r="BW133" s="228">
        <v>0</v>
      </c>
      <c r="BX133" s="229">
        <v>0</v>
      </c>
      <c r="BY133" s="230">
        <v>3459</v>
      </c>
      <c r="BZ133" s="230">
        <v>3509</v>
      </c>
      <c r="CA133" s="228">
        <v>-49</v>
      </c>
      <c r="CB133" s="229">
        <v>-1.4E-2</v>
      </c>
      <c r="CC133" s="230">
        <v>3250</v>
      </c>
      <c r="CD133" s="230">
        <v>3320</v>
      </c>
      <c r="CE133" s="228">
        <v>-71</v>
      </c>
      <c r="CF133" s="229">
        <v>-2.1299999999999999E-2</v>
      </c>
      <c r="CG133" s="228">
        <v>189</v>
      </c>
      <c r="CH133" s="228">
        <v>168</v>
      </c>
      <c r="CI133" s="228">
        <v>21</v>
      </c>
      <c r="CJ133" s="229">
        <v>0.12720000000000001</v>
      </c>
      <c r="CK133" s="228">
        <v>21</v>
      </c>
      <c r="CL133" s="228">
        <v>21</v>
      </c>
      <c r="CM133" s="228">
        <v>0</v>
      </c>
      <c r="CN133" s="229">
        <v>0</v>
      </c>
      <c r="CO133" s="230">
        <v>14226</v>
      </c>
      <c r="CP133" s="230">
        <v>14727</v>
      </c>
      <c r="CQ133" s="228">
        <v>-501</v>
      </c>
      <c r="CR133" s="229">
        <v>-3.4000000000000002E-2</v>
      </c>
      <c r="CS133" s="230">
        <v>13189</v>
      </c>
      <c r="CT133" s="230">
        <v>12670</v>
      </c>
      <c r="CU133" s="228">
        <v>519</v>
      </c>
      <c r="CV133" s="229">
        <v>4.1000000000000002E-2</v>
      </c>
      <c r="CW133" s="230">
        <v>30875</v>
      </c>
      <c r="CX133" s="230">
        <v>30906</v>
      </c>
      <c r="CY133" s="228">
        <v>-31</v>
      </c>
      <c r="CZ133" s="229">
        <v>-1E-3</v>
      </c>
      <c r="DA133" s="228">
        <v>14.75</v>
      </c>
      <c r="DB133" s="228">
        <v>15.39</v>
      </c>
      <c r="DC133" s="228">
        <v>-0.64</v>
      </c>
      <c r="DD133" s="228">
        <v>-0.64</v>
      </c>
      <c r="DE133" s="228">
        <v>21.8</v>
      </c>
      <c r="DF133" s="228">
        <v>21.83</v>
      </c>
      <c r="DG133" s="228">
        <v>-7.05</v>
      </c>
      <c r="DH133" s="228">
        <v>-0.03</v>
      </c>
      <c r="DI133" s="228">
        <v>14.12</v>
      </c>
      <c r="DJ133" s="228">
        <v>15.23</v>
      </c>
      <c r="DK133" s="228">
        <v>-1.1100000000000001</v>
      </c>
      <c r="DL133" s="228">
        <v>-1.1100000000000001</v>
      </c>
      <c r="DM133" s="228">
        <v>15.46</v>
      </c>
      <c r="DN133" s="228">
        <v>15.59</v>
      </c>
      <c r="DO133" s="228">
        <v>-0.13</v>
      </c>
      <c r="DP133" s="228">
        <v>-0.13</v>
      </c>
      <c r="DQ133" s="228">
        <v>0.93</v>
      </c>
      <c r="DR133" s="228">
        <v>0.86</v>
      </c>
      <c r="DS133" s="228">
        <v>7.0000000000000007E-2</v>
      </c>
      <c r="DT133" s="229">
        <v>8.14E-2</v>
      </c>
      <c r="DU133" s="231">
        <v>14000</v>
      </c>
      <c r="DV133" s="231">
        <v>13000</v>
      </c>
      <c r="DW133" s="228">
        <v>0.9</v>
      </c>
      <c r="DX133" s="228">
        <v>0.75</v>
      </c>
      <c r="DY133" s="228">
        <v>0.15</v>
      </c>
      <c r="DZ133" s="229">
        <v>0.2</v>
      </c>
      <c r="EA133" s="229">
        <v>6.0600000000000001E-2</v>
      </c>
      <c r="EB133" s="230">
        <v>136680</v>
      </c>
      <c r="EC133" s="229">
        <v>5.3E-3</v>
      </c>
      <c r="ED133" s="229">
        <v>6.0600000000000001E-2</v>
      </c>
      <c r="EE133" s="228">
        <v>79.02</v>
      </c>
      <c r="EF133" s="229">
        <v>5.7999999999999996E-3</v>
      </c>
      <c r="EG133" s="228">
        <v>0</v>
      </c>
      <c r="EH133" s="228">
        <v>0</v>
      </c>
      <c r="EI133" s="229">
        <v>0</v>
      </c>
      <c r="EJ133" s="229">
        <v>0</v>
      </c>
      <c r="EK133" s="231">
        <v>39338.86</v>
      </c>
      <c r="EL133" s="231">
        <v>34137.94</v>
      </c>
      <c r="EM133" s="228">
        <v>977.66</v>
      </c>
      <c r="EN133" s="228">
        <v>0</v>
      </c>
      <c r="EO133" s="231">
        <v>74454.47</v>
      </c>
      <c r="EP133" s="231">
        <v>60679.519999999997</v>
      </c>
      <c r="EQ133" s="231">
        <v>13774.95</v>
      </c>
      <c r="ER133" s="229">
        <v>0.22700000000000001</v>
      </c>
      <c r="ES133" s="231">
        <v>14694.82</v>
      </c>
      <c r="ET133" s="231">
        <v>12777.98</v>
      </c>
      <c r="EU133" s="231">
        <v>3460.55</v>
      </c>
      <c r="EV133" s="228">
        <v>0</v>
      </c>
      <c r="EW133" s="231">
        <v>30933.35</v>
      </c>
      <c r="EX133" s="231">
        <v>30983.43</v>
      </c>
      <c r="EY133" s="228">
        <v>-50.08</v>
      </c>
      <c r="EZ133" s="229">
        <v>-1.6000000000000001E-3</v>
      </c>
      <c r="FA133" s="229">
        <v>0</v>
      </c>
      <c r="FB133" s="227" t="s">
        <v>556</v>
      </c>
      <c r="FC133">
        <f t="shared" si="2"/>
        <v>209</v>
      </c>
    </row>
    <row r="134" spans="1:159" ht="17.25" thickBot="1" x14ac:dyDescent="0.3">
      <c r="A134" s="226">
        <v>46009</v>
      </c>
      <c r="B134" s="227" t="s">
        <v>162</v>
      </c>
      <c r="C134" s="227" t="s">
        <v>559</v>
      </c>
      <c r="D134" s="228">
        <v>6150</v>
      </c>
      <c r="E134" s="228">
        <v>12</v>
      </c>
      <c r="F134" s="228">
        <v>117.39</v>
      </c>
      <c r="G134" s="228">
        <v>119.73</v>
      </c>
      <c r="H134" s="228">
        <v>-2.34</v>
      </c>
      <c r="I134" s="229">
        <v>-1.95E-2</v>
      </c>
      <c r="J134" s="228">
        <v>117.15</v>
      </c>
      <c r="K134" s="228">
        <v>119.56</v>
      </c>
      <c r="L134" s="228">
        <v>-2.41</v>
      </c>
      <c r="M134" s="229">
        <v>-2.0199999999999999E-2</v>
      </c>
      <c r="N134" s="228">
        <v>117.39</v>
      </c>
      <c r="O134" s="228">
        <v>119.73</v>
      </c>
      <c r="P134" s="228">
        <v>-2.34</v>
      </c>
      <c r="Q134" s="229">
        <v>-1.95E-2</v>
      </c>
      <c r="R134" s="228">
        <v>118.16</v>
      </c>
      <c r="S134" s="228">
        <v>120.37</v>
      </c>
      <c r="T134" s="228">
        <v>-2.21</v>
      </c>
      <c r="U134" s="229">
        <v>-1.84E-2</v>
      </c>
      <c r="V134" s="228">
        <v>118.66</v>
      </c>
      <c r="W134" s="228">
        <v>121.14</v>
      </c>
      <c r="X134" s="228">
        <v>-2.48</v>
      </c>
      <c r="Y134" s="229">
        <v>-2.0500000000000001E-2</v>
      </c>
      <c r="Z134" s="228">
        <v>0.24</v>
      </c>
      <c r="AA134" s="228">
        <v>0.17</v>
      </c>
      <c r="AB134" s="228">
        <v>7.0000000000000007E-2</v>
      </c>
      <c r="AC134" s="229">
        <v>2E-3</v>
      </c>
      <c r="AD134" s="228">
        <v>0.24</v>
      </c>
      <c r="AE134" s="228">
        <v>0.17</v>
      </c>
      <c r="AF134" s="228">
        <v>7.0000000000000007E-2</v>
      </c>
      <c r="AG134" s="229">
        <v>2E-3</v>
      </c>
      <c r="AH134" s="228">
        <v>1.01</v>
      </c>
      <c r="AI134" s="228">
        <v>0.81</v>
      </c>
      <c r="AJ134" s="228">
        <v>0.2</v>
      </c>
      <c r="AK134" s="229">
        <v>8.6E-3</v>
      </c>
      <c r="AL134" s="228">
        <v>1.51</v>
      </c>
      <c r="AM134" s="228">
        <v>1.58</v>
      </c>
      <c r="AN134" s="228">
        <v>-7.0000000000000007E-2</v>
      </c>
      <c r="AO134" s="229">
        <v>1.29E-2</v>
      </c>
      <c r="AP134" s="228">
        <v>117.38</v>
      </c>
      <c r="AQ134" s="228">
        <v>117.93</v>
      </c>
      <c r="AR134" s="228">
        <v>0</v>
      </c>
      <c r="AS134" s="228">
        <v>342</v>
      </c>
      <c r="AT134" s="228">
        <v>179</v>
      </c>
      <c r="AU134" s="228">
        <v>163</v>
      </c>
      <c r="AV134" s="229">
        <v>0.91279999999999994</v>
      </c>
      <c r="AW134" s="228">
        <v>262</v>
      </c>
      <c r="AX134" s="228">
        <v>146</v>
      </c>
      <c r="AY134" s="228">
        <v>117</v>
      </c>
      <c r="AZ134" s="229">
        <v>0.80220000000000002</v>
      </c>
      <c r="BA134" s="228">
        <v>74</v>
      </c>
      <c r="BB134" s="228">
        <v>31</v>
      </c>
      <c r="BC134" s="228">
        <v>42</v>
      </c>
      <c r="BD134" s="229">
        <v>1.3516999999999999</v>
      </c>
      <c r="BE134" s="228">
        <v>6</v>
      </c>
      <c r="BF134" s="228">
        <v>2</v>
      </c>
      <c r="BG134" s="228">
        <v>4</v>
      </c>
      <c r="BH134" s="229">
        <v>2.2000000000000002</v>
      </c>
      <c r="BI134" s="228">
        <v>818</v>
      </c>
      <c r="BJ134" s="228">
        <v>449</v>
      </c>
      <c r="BK134" s="228">
        <v>369</v>
      </c>
      <c r="BL134" s="229">
        <v>0.82089999999999996</v>
      </c>
      <c r="BM134" s="228">
        <v>662</v>
      </c>
      <c r="BN134" s="228">
        <v>209</v>
      </c>
      <c r="BO134" s="228">
        <v>454</v>
      </c>
      <c r="BP134" s="229">
        <v>2.1762000000000001</v>
      </c>
      <c r="BQ134" s="230">
        <v>1822</v>
      </c>
      <c r="BR134" s="228">
        <v>837</v>
      </c>
      <c r="BS134" s="228">
        <v>986</v>
      </c>
      <c r="BT134" s="229">
        <v>1.1785000000000001</v>
      </c>
      <c r="BU134" s="230">
        <v>15280003</v>
      </c>
      <c r="BV134" s="230">
        <v>7357971</v>
      </c>
      <c r="BW134" s="230">
        <v>7922032</v>
      </c>
      <c r="BX134" s="229">
        <v>1.0767</v>
      </c>
      <c r="BY134" s="230">
        <v>2246</v>
      </c>
      <c r="BZ134" s="230">
        <v>2233</v>
      </c>
      <c r="CA134" s="228">
        <v>13</v>
      </c>
      <c r="CB134" s="229">
        <v>6.0000000000000001E-3</v>
      </c>
      <c r="CC134" s="230">
        <v>2133</v>
      </c>
      <c r="CD134" s="230">
        <v>2145</v>
      </c>
      <c r="CE134" s="228">
        <v>-12</v>
      </c>
      <c r="CF134" s="229">
        <v>-5.7000000000000002E-3</v>
      </c>
      <c r="CG134" s="228">
        <v>92</v>
      </c>
      <c r="CH134" s="228">
        <v>66</v>
      </c>
      <c r="CI134" s="228">
        <v>25</v>
      </c>
      <c r="CJ134" s="229">
        <v>0.38500000000000001</v>
      </c>
      <c r="CK134" s="228">
        <v>22</v>
      </c>
      <c r="CL134" s="228">
        <v>22</v>
      </c>
      <c r="CM134" s="228">
        <v>0</v>
      </c>
      <c r="CN134" s="229">
        <v>3.3999999999999998E-3</v>
      </c>
      <c r="CO134" s="228">
        <v>697</v>
      </c>
      <c r="CP134" s="228">
        <v>717</v>
      </c>
      <c r="CQ134" s="228">
        <v>-20</v>
      </c>
      <c r="CR134" s="229">
        <v>-2.7699999999999999E-2</v>
      </c>
      <c r="CS134" s="228">
        <v>476</v>
      </c>
      <c r="CT134" s="228">
        <v>563</v>
      </c>
      <c r="CU134" s="228">
        <v>-86</v>
      </c>
      <c r="CV134" s="229">
        <v>-0.1537</v>
      </c>
      <c r="CW134" s="230">
        <v>3419</v>
      </c>
      <c r="CX134" s="230">
        <v>3512</v>
      </c>
      <c r="CY134" s="228">
        <v>-93</v>
      </c>
      <c r="CZ134" s="229">
        <v>-2.6499999999999999E-2</v>
      </c>
      <c r="DA134" s="228">
        <v>25.99</v>
      </c>
      <c r="DB134" s="228">
        <v>26.75</v>
      </c>
      <c r="DC134" s="228">
        <v>-0.76</v>
      </c>
      <c r="DD134" s="228">
        <v>-0.76</v>
      </c>
      <c r="DE134" s="228">
        <v>39.01</v>
      </c>
      <c r="DF134" s="228">
        <v>39.020000000000003</v>
      </c>
      <c r="DG134" s="228">
        <v>-13.02</v>
      </c>
      <c r="DH134" s="228">
        <v>-0.01</v>
      </c>
      <c r="DI134" s="228">
        <v>26.02</v>
      </c>
      <c r="DJ134" s="228">
        <v>26.63</v>
      </c>
      <c r="DK134" s="228">
        <v>-0.61</v>
      </c>
      <c r="DL134" s="228">
        <v>-0.61</v>
      </c>
      <c r="DM134" s="228">
        <v>25.94</v>
      </c>
      <c r="DN134" s="228">
        <v>27.01</v>
      </c>
      <c r="DO134" s="228">
        <v>-1.07</v>
      </c>
      <c r="DP134" s="228">
        <v>-1.07</v>
      </c>
      <c r="DQ134" s="228">
        <v>0.68</v>
      </c>
      <c r="DR134" s="228">
        <v>0.79</v>
      </c>
      <c r="DS134" s="228">
        <v>-0.11</v>
      </c>
      <c r="DT134" s="229">
        <v>-0.13919999999999999</v>
      </c>
      <c r="DU134" s="228">
        <v>120</v>
      </c>
      <c r="DV134" s="228">
        <v>110</v>
      </c>
      <c r="DW134" s="228">
        <v>0.81</v>
      </c>
      <c r="DX134" s="228">
        <v>0.46</v>
      </c>
      <c r="DY134" s="228">
        <v>0.35</v>
      </c>
      <c r="DZ134" s="229">
        <v>0.76090000000000002</v>
      </c>
      <c r="EA134" s="229">
        <v>5.04E-2</v>
      </c>
      <c r="EB134" s="230">
        <v>7472250</v>
      </c>
      <c r="EC134" s="229">
        <v>6.6E-3</v>
      </c>
      <c r="ED134" s="229">
        <v>5.04E-2</v>
      </c>
      <c r="EE134" s="228">
        <v>0.55000000000000004</v>
      </c>
      <c r="EF134" s="229">
        <v>4.7000000000000002E-3</v>
      </c>
      <c r="EG134" s="230">
        <v>6660480</v>
      </c>
      <c r="EH134" s="230">
        <v>3347263</v>
      </c>
      <c r="EI134" s="229">
        <v>0.98980000000000001</v>
      </c>
      <c r="EJ134" s="229">
        <v>0.43590000000000001</v>
      </c>
      <c r="EK134" s="228">
        <v>857.03</v>
      </c>
      <c r="EL134" s="228">
        <v>656.08</v>
      </c>
      <c r="EM134" s="228">
        <v>342.43</v>
      </c>
      <c r="EN134" s="228">
        <v>35.86</v>
      </c>
      <c r="EO134" s="231">
        <v>1855.55</v>
      </c>
      <c r="EP134" s="228">
        <v>867.83</v>
      </c>
      <c r="EQ134" s="228">
        <v>987.72</v>
      </c>
      <c r="ER134" s="229">
        <v>1.1382000000000001</v>
      </c>
      <c r="ES134" s="228">
        <v>719.44</v>
      </c>
      <c r="ET134" s="228">
        <v>453.78</v>
      </c>
      <c r="EU134" s="231">
        <v>2246.89</v>
      </c>
      <c r="EV134" s="231">
        <v>542522848</v>
      </c>
      <c r="EW134" s="231">
        <v>3420.1</v>
      </c>
      <c r="EX134" s="231">
        <v>3559.49</v>
      </c>
      <c r="EY134" s="228">
        <v>-139.38999999999999</v>
      </c>
      <c r="EZ134" s="229">
        <v>-3.9199999999999999E-2</v>
      </c>
      <c r="FA134" s="229">
        <v>0.53690000000000004</v>
      </c>
      <c r="FB134" s="227" t="s">
        <v>567</v>
      </c>
      <c r="FC134">
        <f t="shared" si="2"/>
        <v>113</v>
      </c>
    </row>
    <row r="135" spans="1:159" ht="17.25" thickBot="1" x14ac:dyDescent="0.3">
      <c r="A135" s="226">
        <v>46009</v>
      </c>
      <c r="B135" s="227" t="s">
        <v>221</v>
      </c>
      <c r="C135" s="227" t="s">
        <v>487</v>
      </c>
      <c r="D135" s="228">
        <v>275</v>
      </c>
      <c r="E135" s="228">
        <v>12</v>
      </c>
      <c r="F135" s="231">
        <v>2891.1</v>
      </c>
      <c r="G135" s="231">
        <v>2868.4</v>
      </c>
      <c r="H135" s="228">
        <v>22.7</v>
      </c>
      <c r="I135" s="229">
        <v>7.9000000000000008E-3</v>
      </c>
      <c r="J135" s="231">
        <v>2887.9</v>
      </c>
      <c r="K135" s="231">
        <v>2865.3</v>
      </c>
      <c r="L135" s="228">
        <v>22.6</v>
      </c>
      <c r="M135" s="229">
        <v>7.9000000000000008E-3</v>
      </c>
      <c r="N135" s="231">
        <v>2891.1</v>
      </c>
      <c r="O135" s="231">
        <v>2868.4</v>
      </c>
      <c r="P135" s="228">
        <v>22.7</v>
      </c>
      <c r="Q135" s="229">
        <v>7.9000000000000008E-3</v>
      </c>
      <c r="R135" s="231">
        <v>2909.2</v>
      </c>
      <c r="S135" s="231">
        <v>2886.3</v>
      </c>
      <c r="T135" s="228">
        <v>22.9</v>
      </c>
      <c r="U135" s="229">
        <v>7.9000000000000008E-3</v>
      </c>
      <c r="V135" s="231">
        <v>2930</v>
      </c>
      <c r="W135" s="231">
        <v>2902.7</v>
      </c>
      <c r="X135" s="228">
        <v>27.3</v>
      </c>
      <c r="Y135" s="229">
        <v>9.4000000000000004E-3</v>
      </c>
      <c r="Z135" s="228">
        <v>3.2</v>
      </c>
      <c r="AA135" s="228">
        <v>3.1</v>
      </c>
      <c r="AB135" s="228">
        <v>0.1</v>
      </c>
      <c r="AC135" s="229">
        <v>1.1000000000000001E-3</v>
      </c>
      <c r="AD135" s="228">
        <v>3.2</v>
      </c>
      <c r="AE135" s="228">
        <v>3.1</v>
      </c>
      <c r="AF135" s="228">
        <v>0.1</v>
      </c>
      <c r="AG135" s="229">
        <v>1.1000000000000001E-3</v>
      </c>
      <c r="AH135" s="228">
        <v>21.3</v>
      </c>
      <c r="AI135" s="228">
        <v>21</v>
      </c>
      <c r="AJ135" s="228">
        <v>0.3</v>
      </c>
      <c r="AK135" s="229">
        <v>7.4000000000000003E-3</v>
      </c>
      <c r="AL135" s="228">
        <v>42.1</v>
      </c>
      <c r="AM135" s="228">
        <v>37.4</v>
      </c>
      <c r="AN135" s="228">
        <v>4.7</v>
      </c>
      <c r="AO135" s="229">
        <v>1.46E-2</v>
      </c>
      <c r="AP135" s="231">
        <v>2892.07</v>
      </c>
      <c r="AQ135" s="231">
        <v>2905.77</v>
      </c>
      <c r="AR135" s="228">
        <v>0</v>
      </c>
      <c r="AS135" s="228">
        <v>269</v>
      </c>
      <c r="AT135" s="228">
        <v>165</v>
      </c>
      <c r="AU135" s="228">
        <v>104</v>
      </c>
      <c r="AV135" s="229">
        <v>0.63239999999999996</v>
      </c>
      <c r="AW135" s="228">
        <v>235</v>
      </c>
      <c r="AX135" s="228">
        <v>139</v>
      </c>
      <c r="AY135" s="228">
        <v>96</v>
      </c>
      <c r="AZ135" s="229">
        <v>0.69159999999999999</v>
      </c>
      <c r="BA135" s="228">
        <v>33</v>
      </c>
      <c r="BB135" s="228">
        <v>25</v>
      </c>
      <c r="BC135" s="228">
        <v>8</v>
      </c>
      <c r="BD135" s="229">
        <v>0.29970000000000002</v>
      </c>
      <c r="BE135" s="228">
        <v>0</v>
      </c>
      <c r="BF135" s="228">
        <v>0</v>
      </c>
      <c r="BG135" s="228">
        <v>0</v>
      </c>
      <c r="BH135" s="229">
        <v>1.5</v>
      </c>
      <c r="BI135" s="230">
        <v>1020</v>
      </c>
      <c r="BJ135" s="228">
        <v>353</v>
      </c>
      <c r="BK135" s="228">
        <v>667</v>
      </c>
      <c r="BL135" s="229">
        <v>1.8895999999999999</v>
      </c>
      <c r="BM135" s="228">
        <v>228</v>
      </c>
      <c r="BN135" s="228">
        <v>98</v>
      </c>
      <c r="BO135" s="228">
        <v>130</v>
      </c>
      <c r="BP135" s="229">
        <v>1.3358000000000001</v>
      </c>
      <c r="BQ135" s="230">
        <v>1516</v>
      </c>
      <c r="BR135" s="228">
        <v>615</v>
      </c>
      <c r="BS135" s="228">
        <v>901</v>
      </c>
      <c r="BT135" s="229">
        <v>1.4653</v>
      </c>
      <c r="BU135" s="230">
        <v>458471</v>
      </c>
      <c r="BV135" s="230">
        <v>254423</v>
      </c>
      <c r="BW135" s="230">
        <v>204048</v>
      </c>
      <c r="BX135" s="229">
        <v>0.80200000000000005</v>
      </c>
      <c r="BY135" s="230">
        <v>1849</v>
      </c>
      <c r="BZ135" s="230">
        <v>1853</v>
      </c>
      <c r="CA135" s="228">
        <v>-4</v>
      </c>
      <c r="CB135" s="229">
        <v>-2.3E-3</v>
      </c>
      <c r="CC135" s="230">
        <v>1796</v>
      </c>
      <c r="CD135" s="230">
        <v>1812</v>
      </c>
      <c r="CE135" s="228">
        <v>-16</v>
      </c>
      <c r="CF135" s="229">
        <v>-9.1000000000000004E-3</v>
      </c>
      <c r="CG135" s="228">
        <v>51</v>
      </c>
      <c r="CH135" s="228">
        <v>39</v>
      </c>
      <c r="CI135" s="228">
        <v>12</v>
      </c>
      <c r="CJ135" s="229">
        <v>0.3115</v>
      </c>
      <c r="CK135" s="228">
        <v>2</v>
      </c>
      <c r="CL135" s="228">
        <v>2</v>
      </c>
      <c r="CM135" s="228">
        <v>0</v>
      </c>
      <c r="CN135" s="229">
        <v>3.4500000000000003E-2</v>
      </c>
      <c r="CO135" s="228">
        <v>436</v>
      </c>
      <c r="CP135" s="228">
        <v>395</v>
      </c>
      <c r="CQ135" s="228">
        <v>40</v>
      </c>
      <c r="CR135" s="229">
        <v>0.1024</v>
      </c>
      <c r="CS135" s="228">
        <v>327</v>
      </c>
      <c r="CT135" s="228">
        <v>303</v>
      </c>
      <c r="CU135" s="228">
        <v>24</v>
      </c>
      <c r="CV135" s="229">
        <v>8.0600000000000005E-2</v>
      </c>
      <c r="CW135" s="230">
        <v>2612</v>
      </c>
      <c r="CX135" s="230">
        <v>2551</v>
      </c>
      <c r="CY135" s="228">
        <v>61</v>
      </c>
      <c r="CZ135" s="229">
        <v>2.3699999999999999E-2</v>
      </c>
      <c r="DA135" s="228">
        <v>25.3</v>
      </c>
      <c r="DB135" s="228">
        <v>25.56</v>
      </c>
      <c r="DC135" s="228">
        <v>-0.26</v>
      </c>
      <c r="DD135" s="228">
        <v>-0.26</v>
      </c>
      <c r="DE135" s="228">
        <v>35.92</v>
      </c>
      <c r="DF135" s="228">
        <v>36</v>
      </c>
      <c r="DG135" s="228">
        <v>-10.62</v>
      </c>
      <c r="DH135" s="228">
        <v>-0.08</v>
      </c>
      <c r="DI135" s="228">
        <v>25.15</v>
      </c>
      <c r="DJ135" s="228">
        <v>25.5</v>
      </c>
      <c r="DK135" s="228">
        <v>-0.35</v>
      </c>
      <c r="DL135" s="228">
        <v>-0.35</v>
      </c>
      <c r="DM135" s="228">
        <v>25.96</v>
      </c>
      <c r="DN135" s="228">
        <v>25.81</v>
      </c>
      <c r="DO135" s="228">
        <v>0.15</v>
      </c>
      <c r="DP135" s="228">
        <v>0.15</v>
      </c>
      <c r="DQ135" s="228">
        <v>0.75</v>
      </c>
      <c r="DR135" s="228">
        <v>0.77</v>
      </c>
      <c r="DS135" s="228">
        <v>-0.02</v>
      </c>
      <c r="DT135" s="229">
        <v>-2.5999999999999999E-2</v>
      </c>
      <c r="DU135" s="231">
        <v>2900</v>
      </c>
      <c r="DV135" s="231">
        <v>2750</v>
      </c>
      <c r="DW135" s="228">
        <v>0.22</v>
      </c>
      <c r="DX135" s="228">
        <v>0.28000000000000003</v>
      </c>
      <c r="DY135" s="228">
        <v>-0.06</v>
      </c>
      <c r="DZ135" s="229">
        <v>-0.21429999999999999</v>
      </c>
      <c r="EA135" s="229">
        <v>2.8799999999999999E-2</v>
      </c>
      <c r="EB135" s="230">
        <v>142175</v>
      </c>
      <c r="EC135" s="229">
        <v>6.3E-3</v>
      </c>
      <c r="ED135" s="229">
        <v>2.8799999999999999E-2</v>
      </c>
      <c r="EE135" s="228">
        <v>13.7</v>
      </c>
      <c r="EF135" s="229">
        <v>4.7000000000000002E-3</v>
      </c>
      <c r="EG135" s="230">
        <v>255035</v>
      </c>
      <c r="EH135" s="230">
        <v>138004</v>
      </c>
      <c r="EI135" s="229">
        <v>0.84799999999999998</v>
      </c>
      <c r="EJ135" s="229">
        <v>0.55630000000000002</v>
      </c>
      <c r="EK135" s="231">
        <v>1052.52</v>
      </c>
      <c r="EL135" s="228">
        <v>222.77</v>
      </c>
      <c r="EM135" s="228">
        <v>268.89999999999998</v>
      </c>
      <c r="EN135" s="228">
        <v>19.760000000000002</v>
      </c>
      <c r="EO135" s="231">
        <v>1544.19</v>
      </c>
      <c r="EP135" s="228">
        <v>623.58000000000004</v>
      </c>
      <c r="EQ135" s="228">
        <v>920.62</v>
      </c>
      <c r="ER135" s="229">
        <v>1.4762999999999999</v>
      </c>
      <c r="ES135" s="228">
        <v>452.69</v>
      </c>
      <c r="ET135" s="228">
        <v>310.99</v>
      </c>
      <c r="EU135" s="231">
        <v>1849.17</v>
      </c>
      <c r="EV135" s="231">
        <v>14652855</v>
      </c>
      <c r="EW135" s="231">
        <v>2612.85</v>
      </c>
      <c r="EX135" s="231">
        <v>2537.23</v>
      </c>
      <c r="EY135" s="228">
        <v>75.62</v>
      </c>
      <c r="EZ135" s="229">
        <v>2.98E-2</v>
      </c>
      <c r="FA135" s="229">
        <v>0.61660000000000004</v>
      </c>
      <c r="FB135" s="227" t="s">
        <v>556</v>
      </c>
      <c r="FC135">
        <f t="shared" si="2"/>
        <v>53</v>
      </c>
    </row>
    <row r="136" spans="1:159" ht="17.25" thickBot="1" x14ac:dyDescent="0.3">
      <c r="A136" s="226">
        <v>46009</v>
      </c>
      <c r="B136" s="227" t="s">
        <v>175</v>
      </c>
      <c r="C136" s="227" t="s">
        <v>262</v>
      </c>
      <c r="D136" s="228">
        <v>275</v>
      </c>
      <c r="E136" s="228">
        <v>12</v>
      </c>
      <c r="F136" s="231">
        <v>3750.9</v>
      </c>
      <c r="G136" s="231">
        <v>3769.2</v>
      </c>
      <c r="H136" s="228">
        <v>-18.3</v>
      </c>
      <c r="I136" s="229">
        <v>-4.8999999999999998E-3</v>
      </c>
      <c r="J136" s="231">
        <v>3749.9</v>
      </c>
      <c r="K136" s="231">
        <v>3766.5</v>
      </c>
      <c r="L136" s="228">
        <v>-16.600000000000001</v>
      </c>
      <c r="M136" s="229">
        <v>-4.4000000000000003E-3</v>
      </c>
      <c r="N136" s="231">
        <v>3750.9</v>
      </c>
      <c r="O136" s="231">
        <v>3769.2</v>
      </c>
      <c r="P136" s="228">
        <v>-18.3</v>
      </c>
      <c r="Q136" s="229">
        <v>-4.8999999999999998E-3</v>
      </c>
      <c r="R136" s="231">
        <v>3775.5</v>
      </c>
      <c r="S136" s="231">
        <v>3791.7</v>
      </c>
      <c r="T136" s="228">
        <v>-16.2</v>
      </c>
      <c r="U136" s="229">
        <v>-4.3E-3</v>
      </c>
      <c r="V136" s="231">
        <v>3791.7</v>
      </c>
      <c r="W136" s="231">
        <v>3808.4</v>
      </c>
      <c r="X136" s="228">
        <v>-16.7</v>
      </c>
      <c r="Y136" s="229">
        <v>-4.4000000000000003E-3</v>
      </c>
      <c r="Z136" s="228">
        <v>1</v>
      </c>
      <c r="AA136" s="228">
        <v>2.7</v>
      </c>
      <c r="AB136" s="228">
        <v>-1.7</v>
      </c>
      <c r="AC136" s="229">
        <v>2.9999999999999997E-4</v>
      </c>
      <c r="AD136" s="228">
        <v>1</v>
      </c>
      <c r="AE136" s="228">
        <v>2.7</v>
      </c>
      <c r="AF136" s="228">
        <v>-1.7</v>
      </c>
      <c r="AG136" s="229">
        <v>2.9999999999999997E-4</v>
      </c>
      <c r="AH136" s="228">
        <v>25.6</v>
      </c>
      <c r="AI136" s="228">
        <v>25.2</v>
      </c>
      <c r="AJ136" s="228">
        <v>0.4</v>
      </c>
      <c r="AK136" s="229">
        <v>6.7999999999999996E-3</v>
      </c>
      <c r="AL136" s="228">
        <v>41.8</v>
      </c>
      <c r="AM136" s="228">
        <v>41.9</v>
      </c>
      <c r="AN136" s="228">
        <v>-0.1</v>
      </c>
      <c r="AO136" s="229">
        <v>1.11E-2</v>
      </c>
      <c r="AP136" s="231">
        <v>3753.59</v>
      </c>
      <c r="AQ136" s="231">
        <v>3782.38</v>
      </c>
      <c r="AR136" s="228">
        <v>0</v>
      </c>
      <c r="AS136" s="228">
        <v>433</v>
      </c>
      <c r="AT136" s="228">
        <v>518</v>
      </c>
      <c r="AU136" s="228">
        <v>-85</v>
      </c>
      <c r="AV136" s="229">
        <v>-0.16420000000000001</v>
      </c>
      <c r="AW136" s="228">
        <v>349</v>
      </c>
      <c r="AX136" s="228">
        <v>398</v>
      </c>
      <c r="AY136" s="228">
        <v>-50</v>
      </c>
      <c r="AZ136" s="229">
        <v>-0.12429999999999999</v>
      </c>
      <c r="BA136" s="228">
        <v>81</v>
      </c>
      <c r="BB136" s="228">
        <v>109</v>
      </c>
      <c r="BC136" s="228">
        <v>-28</v>
      </c>
      <c r="BD136" s="229">
        <v>-0.25800000000000001</v>
      </c>
      <c r="BE136" s="228">
        <v>3</v>
      </c>
      <c r="BF136" s="228">
        <v>10</v>
      </c>
      <c r="BG136" s="228">
        <v>-7</v>
      </c>
      <c r="BH136" s="229">
        <v>-0.73199999999999998</v>
      </c>
      <c r="BI136" s="230">
        <v>1383</v>
      </c>
      <c r="BJ136" s="230">
        <v>2590</v>
      </c>
      <c r="BK136" s="230">
        <v>-1207</v>
      </c>
      <c r="BL136" s="229">
        <v>-0.46589999999999998</v>
      </c>
      <c r="BM136" s="228">
        <v>959</v>
      </c>
      <c r="BN136" s="230">
        <v>1061</v>
      </c>
      <c r="BO136" s="228">
        <v>-102</v>
      </c>
      <c r="BP136" s="229">
        <v>-9.6500000000000002E-2</v>
      </c>
      <c r="BQ136" s="230">
        <v>2774</v>
      </c>
      <c r="BR136" s="230">
        <v>4168</v>
      </c>
      <c r="BS136" s="230">
        <v>-1394</v>
      </c>
      <c r="BT136" s="229">
        <v>-0.33439999999999998</v>
      </c>
      <c r="BU136" s="230">
        <v>348202</v>
      </c>
      <c r="BV136" s="230">
        <v>291470</v>
      </c>
      <c r="BW136" s="230">
        <v>56732</v>
      </c>
      <c r="BX136" s="229">
        <v>0.1946</v>
      </c>
      <c r="BY136" s="230">
        <v>1268</v>
      </c>
      <c r="BZ136" s="230">
        <v>1186</v>
      </c>
      <c r="CA136" s="228">
        <v>82</v>
      </c>
      <c r="CB136" s="229">
        <v>6.9099999999999995E-2</v>
      </c>
      <c r="CC136" s="230">
        <v>1091</v>
      </c>
      <c r="CD136" s="230">
        <v>1047</v>
      </c>
      <c r="CE136" s="228">
        <v>45</v>
      </c>
      <c r="CF136" s="229">
        <v>4.2900000000000001E-2</v>
      </c>
      <c r="CG136" s="228">
        <v>163</v>
      </c>
      <c r="CH136" s="228">
        <v>125</v>
      </c>
      <c r="CI136" s="228">
        <v>38</v>
      </c>
      <c r="CJ136" s="229">
        <v>0.30149999999999999</v>
      </c>
      <c r="CK136" s="228">
        <v>14</v>
      </c>
      <c r="CL136" s="228">
        <v>14</v>
      </c>
      <c r="CM136" s="228">
        <v>-1</v>
      </c>
      <c r="CN136" s="229">
        <v>-4.2900000000000001E-2</v>
      </c>
      <c r="CO136" s="230">
        <v>1276</v>
      </c>
      <c r="CP136" s="230">
        <v>1303</v>
      </c>
      <c r="CQ136" s="228">
        <v>-27</v>
      </c>
      <c r="CR136" s="229">
        <v>-2.0899999999999998E-2</v>
      </c>
      <c r="CS136" s="228">
        <v>659</v>
      </c>
      <c r="CT136" s="228">
        <v>679</v>
      </c>
      <c r="CU136" s="228">
        <v>-20</v>
      </c>
      <c r="CV136" s="229">
        <v>-2.93E-2</v>
      </c>
      <c r="CW136" s="230">
        <v>3203</v>
      </c>
      <c r="CX136" s="230">
        <v>3168</v>
      </c>
      <c r="CY136" s="228">
        <v>35</v>
      </c>
      <c r="CZ136" s="229">
        <v>1.0999999999999999E-2</v>
      </c>
      <c r="DA136" s="228">
        <v>23.18</v>
      </c>
      <c r="DB136" s="228">
        <v>24.12</v>
      </c>
      <c r="DC136" s="228">
        <v>-0.94</v>
      </c>
      <c r="DD136" s="228">
        <v>-0.94</v>
      </c>
      <c r="DE136" s="228">
        <v>36.270000000000003</v>
      </c>
      <c r="DF136" s="228">
        <v>36.36</v>
      </c>
      <c r="DG136" s="228">
        <v>-13.09</v>
      </c>
      <c r="DH136" s="228">
        <v>-0.09</v>
      </c>
      <c r="DI136" s="228">
        <v>23.01</v>
      </c>
      <c r="DJ136" s="228">
        <v>24.42</v>
      </c>
      <c r="DK136" s="228">
        <v>-1.41</v>
      </c>
      <c r="DL136" s="228">
        <v>-1.41</v>
      </c>
      <c r="DM136" s="228">
        <v>23.43</v>
      </c>
      <c r="DN136" s="228">
        <v>23.38</v>
      </c>
      <c r="DO136" s="228">
        <v>0.05</v>
      </c>
      <c r="DP136" s="228">
        <v>0.05</v>
      </c>
      <c r="DQ136" s="228">
        <v>0.52</v>
      </c>
      <c r="DR136" s="228">
        <v>0.52</v>
      </c>
      <c r="DS136" s="228">
        <v>0</v>
      </c>
      <c r="DT136" s="229">
        <v>0</v>
      </c>
      <c r="DU136" s="231">
        <v>3800</v>
      </c>
      <c r="DV136" s="231">
        <v>3700</v>
      </c>
      <c r="DW136" s="228">
        <v>0.69</v>
      </c>
      <c r="DX136" s="228">
        <v>0.41</v>
      </c>
      <c r="DY136" s="228">
        <v>0.28000000000000003</v>
      </c>
      <c r="DZ136" s="229">
        <v>0.68289999999999995</v>
      </c>
      <c r="EA136" s="229">
        <v>0.1394</v>
      </c>
      <c r="EB136" s="230">
        <v>372350</v>
      </c>
      <c r="EC136" s="229">
        <v>6.6E-3</v>
      </c>
      <c r="ED136" s="229">
        <v>0.1394</v>
      </c>
      <c r="EE136" s="228">
        <v>28.79</v>
      </c>
      <c r="EF136" s="229">
        <v>7.7000000000000002E-3</v>
      </c>
      <c r="EG136" s="230">
        <v>204425</v>
      </c>
      <c r="EH136" s="230">
        <v>144979</v>
      </c>
      <c r="EI136" s="229">
        <v>0.41</v>
      </c>
      <c r="EJ136" s="229">
        <v>0.58709999999999996</v>
      </c>
      <c r="EK136" s="231">
        <v>1441.54</v>
      </c>
      <c r="EL136" s="228">
        <v>946.67</v>
      </c>
      <c r="EM136" s="228">
        <v>433.46</v>
      </c>
      <c r="EN136" s="228">
        <v>37.03</v>
      </c>
      <c r="EO136" s="231">
        <v>2821.67</v>
      </c>
      <c r="EP136" s="231">
        <v>4332.7299999999996</v>
      </c>
      <c r="EQ136" s="231">
        <v>-1511.06</v>
      </c>
      <c r="ER136" s="229">
        <v>-0.3488</v>
      </c>
      <c r="ES136" s="231">
        <v>1317.68</v>
      </c>
      <c r="ET136" s="228">
        <v>633.94000000000005</v>
      </c>
      <c r="EU136" s="231">
        <v>1269.45</v>
      </c>
      <c r="EV136" s="231">
        <v>16050690</v>
      </c>
      <c r="EW136" s="231">
        <v>3221.07</v>
      </c>
      <c r="EX136" s="231">
        <v>3194.06</v>
      </c>
      <c r="EY136" s="228">
        <v>27.01</v>
      </c>
      <c r="EZ136" s="229">
        <v>8.5000000000000006E-3</v>
      </c>
      <c r="FA136" s="229">
        <v>0.53200000000000003</v>
      </c>
      <c r="FB136" s="227" t="s">
        <v>567</v>
      </c>
      <c r="FC136">
        <f t="shared" si="2"/>
        <v>177</v>
      </c>
    </row>
    <row r="137" spans="1:159" ht="17.25" thickBot="1" x14ac:dyDescent="0.3">
      <c r="A137" s="226">
        <v>46009</v>
      </c>
      <c r="B137" s="227" t="s">
        <v>227</v>
      </c>
      <c r="C137" s="227" t="s">
        <v>263</v>
      </c>
      <c r="D137" s="228">
        <v>3750</v>
      </c>
      <c r="E137" s="228">
        <v>12</v>
      </c>
      <c r="F137" s="228">
        <v>279.55</v>
      </c>
      <c r="G137" s="228">
        <v>279.7</v>
      </c>
      <c r="H137" s="228">
        <v>-0.15</v>
      </c>
      <c r="I137" s="229">
        <v>-5.0000000000000001E-4</v>
      </c>
      <c r="J137" s="228">
        <v>279.25</v>
      </c>
      <c r="K137" s="228">
        <v>279.45</v>
      </c>
      <c r="L137" s="228">
        <v>-0.2</v>
      </c>
      <c r="M137" s="229">
        <v>-6.9999999999999999E-4</v>
      </c>
      <c r="N137" s="228">
        <v>279.55</v>
      </c>
      <c r="O137" s="228">
        <v>279.7</v>
      </c>
      <c r="P137" s="228">
        <v>-0.15</v>
      </c>
      <c r="Q137" s="229">
        <v>-5.0000000000000001E-4</v>
      </c>
      <c r="R137" s="228">
        <v>281.14999999999998</v>
      </c>
      <c r="S137" s="228">
        <v>281.5</v>
      </c>
      <c r="T137" s="228">
        <v>-0.35</v>
      </c>
      <c r="U137" s="229">
        <v>-1.1999999999999999E-3</v>
      </c>
      <c r="V137" s="228">
        <v>279.55</v>
      </c>
      <c r="W137" s="228">
        <v>280</v>
      </c>
      <c r="X137" s="228">
        <v>-0.45</v>
      </c>
      <c r="Y137" s="229">
        <v>-1.6000000000000001E-3</v>
      </c>
      <c r="Z137" s="228">
        <v>0.3</v>
      </c>
      <c r="AA137" s="228">
        <v>0.25</v>
      </c>
      <c r="AB137" s="228">
        <v>0.05</v>
      </c>
      <c r="AC137" s="229">
        <v>1.1000000000000001E-3</v>
      </c>
      <c r="AD137" s="228">
        <v>0.3</v>
      </c>
      <c r="AE137" s="228">
        <v>0.25</v>
      </c>
      <c r="AF137" s="228">
        <v>0.05</v>
      </c>
      <c r="AG137" s="229">
        <v>1.1000000000000001E-3</v>
      </c>
      <c r="AH137" s="228">
        <v>1.9</v>
      </c>
      <c r="AI137" s="228">
        <v>2.0499999999999998</v>
      </c>
      <c r="AJ137" s="228">
        <v>-0.15</v>
      </c>
      <c r="AK137" s="229">
        <v>6.7999999999999996E-3</v>
      </c>
      <c r="AL137" s="228">
        <v>0.3</v>
      </c>
      <c r="AM137" s="228">
        <v>0.55000000000000004</v>
      </c>
      <c r="AN137" s="228">
        <v>-0.25</v>
      </c>
      <c r="AO137" s="229">
        <v>1.1000000000000001E-3</v>
      </c>
      <c r="AP137" s="228">
        <v>279.70999999999998</v>
      </c>
      <c r="AQ137" s="228">
        <v>281.61</v>
      </c>
      <c r="AR137" s="228">
        <v>0</v>
      </c>
      <c r="AS137" s="228">
        <v>493</v>
      </c>
      <c r="AT137" s="228">
        <v>438</v>
      </c>
      <c r="AU137" s="228">
        <v>55</v>
      </c>
      <c r="AV137" s="229">
        <v>0.1244</v>
      </c>
      <c r="AW137" s="228">
        <v>421</v>
      </c>
      <c r="AX137" s="228">
        <v>382</v>
      </c>
      <c r="AY137" s="228">
        <v>39</v>
      </c>
      <c r="AZ137" s="229">
        <v>0.1024</v>
      </c>
      <c r="BA137" s="228">
        <v>66</v>
      </c>
      <c r="BB137" s="228">
        <v>49</v>
      </c>
      <c r="BC137" s="228">
        <v>17</v>
      </c>
      <c r="BD137" s="229">
        <v>0.34889999999999999</v>
      </c>
      <c r="BE137" s="228">
        <v>5</v>
      </c>
      <c r="BF137" s="228">
        <v>7</v>
      </c>
      <c r="BG137" s="228">
        <v>-2</v>
      </c>
      <c r="BH137" s="229">
        <v>-0.25</v>
      </c>
      <c r="BI137" s="230">
        <v>1418</v>
      </c>
      <c r="BJ137" s="230">
        <v>1531</v>
      </c>
      <c r="BK137" s="228">
        <v>-113</v>
      </c>
      <c r="BL137" s="229">
        <v>-7.3800000000000004E-2</v>
      </c>
      <c r="BM137" s="228">
        <v>848</v>
      </c>
      <c r="BN137" s="228">
        <v>776</v>
      </c>
      <c r="BO137" s="228">
        <v>72</v>
      </c>
      <c r="BP137" s="229">
        <v>9.2799999999999994E-2</v>
      </c>
      <c r="BQ137" s="230">
        <v>2759</v>
      </c>
      <c r="BR137" s="230">
        <v>2745</v>
      </c>
      <c r="BS137" s="228">
        <v>14</v>
      </c>
      <c r="BT137" s="229">
        <v>5.0000000000000001E-3</v>
      </c>
      <c r="BU137" s="230">
        <v>8891669</v>
      </c>
      <c r="BV137" s="230">
        <v>9190687</v>
      </c>
      <c r="BW137" s="230">
        <v>-299018</v>
      </c>
      <c r="BX137" s="229">
        <v>-3.2500000000000001E-2</v>
      </c>
      <c r="BY137" s="230">
        <v>1588</v>
      </c>
      <c r="BZ137" s="230">
        <v>1664</v>
      </c>
      <c r="CA137" s="228">
        <v>-76</v>
      </c>
      <c r="CB137" s="229">
        <v>-4.5900000000000003E-2</v>
      </c>
      <c r="CC137" s="230">
        <v>1408</v>
      </c>
      <c r="CD137" s="230">
        <v>1496</v>
      </c>
      <c r="CE137" s="228">
        <v>-88</v>
      </c>
      <c r="CF137" s="229">
        <v>-5.91E-2</v>
      </c>
      <c r="CG137" s="228">
        <v>131</v>
      </c>
      <c r="CH137" s="228">
        <v>119</v>
      </c>
      <c r="CI137" s="228">
        <v>12</v>
      </c>
      <c r="CJ137" s="229">
        <v>0.1004</v>
      </c>
      <c r="CK137" s="228">
        <v>49</v>
      </c>
      <c r="CL137" s="228">
        <v>49</v>
      </c>
      <c r="CM137" s="228">
        <v>0</v>
      </c>
      <c r="CN137" s="229">
        <v>0</v>
      </c>
      <c r="CO137" s="228">
        <v>949</v>
      </c>
      <c r="CP137" s="228">
        <v>931</v>
      </c>
      <c r="CQ137" s="228">
        <v>18</v>
      </c>
      <c r="CR137" s="229">
        <v>1.9800000000000002E-2</v>
      </c>
      <c r="CS137" s="228">
        <v>831</v>
      </c>
      <c r="CT137" s="228">
        <v>789</v>
      </c>
      <c r="CU137" s="228">
        <v>42</v>
      </c>
      <c r="CV137" s="229">
        <v>5.2900000000000003E-2</v>
      </c>
      <c r="CW137" s="230">
        <v>3368</v>
      </c>
      <c r="CX137" s="230">
        <v>3384</v>
      </c>
      <c r="CY137" s="228">
        <v>-16</v>
      </c>
      <c r="CZ137" s="229">
        <v>-4.7999999999999996E-3</v>
      </c>
      <c r="DA137" s="228">
        <v>27.58</v>
      </c>
      <c r="DB137" s="228">
        <v>28.24</v>
      </c>
      <c r="DC137" s="228">
        <v>-0.66</v>
      </c>
      <c r="DD137" s="228">
        <v>-0.66</v>
      </c>
      <c r="DE137" s="228">
        <v>46.06</v>
      </c>
      <c r="DF137" s="228">
        <v>46.18</v>
      </c>
      <c r="DG137" s="228">
        <v>-18.48</v>
      </c>
      <c r="DH137" s="228">
        <v>-0.12</v>
      </c>
      <c r="DI137" s="228">
        <v>27.57</v>
      </c>
      <c r="DJ137" s="228">
        <v>28.15</v>
      </c>
      <c r="DK137" s="228">
        <v>-0.57999999999999996</v>
      </c>
      <c r="DL137" s="228">
        <v>-0.57999999999999996</v>
      </c>
      <c r="DM137" s="228">
        <v>27.6</v>
      </c>
      <c r="DN137" s="228">
        <v>28.42</v>
      </c>
      <c r="DO137" s="228">
        <v>-0.82</v>
      </c>
      <c r="DP137" s="228">
        <v>-0.82</v>
      </c>
      <c r="DQ137" s="228">
        <v>0.88</v>
      </c>
      <c r="DR137" s="228">
        <v>0.85</v>
      </c>
      <c r="DS137" s="228">
        <v>0.03</v>
      </c>
      <c r="DT137" s="229">
        <v>3.5299999999999998E-2</v>
      </c>
      <c r="DU137" s="228">
        <v>280</v>
      </c>
      <c r="DV137" s="228">
        <v>270</v>
      </c>
      <c r="DW137" s="228">
        <v>0.6</v>
      </c>
      <c r="DX137" s="228">
        <v>0.51</v>
      </c>
      <c r="DY137" s="228">
        <v>0.09</v>
      </c>
      <c r="DZ137" s="229">
        <v>0.17649999999999999</v>
      </c>
      <c r="EA137" s="229">
        <v>0.1134</v>
      </c>
      <c r="EB137" s="230">
        <v>6015000</v>
      </c>
      <c r="EC137" s="229">
        <v>5.7000000000000002E-3</v>
      </c>
      <c r="ED137" s="229">
        <v>0.1134</v>
      </c>
      <c r="EE137" s="228">
        <v>1.9</v>
      </c>
      <c r="EF137" s="229">
        <v>6.7999999999999996E-3</v>
      </c>
      <c r="EG137" s="230">
        <v>3920368</v>
      </c>
      <c r="EH137" s="230">
        <v>4032591</v>
      </c>
      <c r="EI137" s="229">
        <v>-2.7799999999999998E-2</v>
      </c>
      <c r="EJ137" s="229">
        <v>0.44090000000000001</v>
      </c>
      <c r="EK137" s="231">
        <v>1470.73</v>
      </c>
      <c r="EL137" s="228">
        <v>831.59</v>
      </c>
      <c r="EM137" s="228">
        <v>493.34</v>
      </c>
      <c r="EN137" s="228">
        <v>44.72</v>
      </c>
      <c r="EO137" s="231">
        <v>2795.66</v>
      </c>
      <c r="EP137" s="231">
        <v>2787.95</v>
      </c>
      <c r="EQ137" s="228">
        <v>7.72</v>
      </c>
      <c r="ER137" s="229">
        <v>2.8E-3</v>
      </c>
      <c r="ES137" s="228">
        <v>956.07</v>
      </c>
      <c r="ET137" s="228">
        <v>776.7</v>
      </c>
      <c r="EU137" s="231">
        <v>1588.52</v>
      </c>
      <c r="EV137" s="231">
        <v>134225816</v>
      </c>
      <c r="EW137" s="231">
        <v>3321.29</v>
      </c>
      <c r="EX137" s="231">
        <v>3335.74</v>
      </c>
      <c r="EY137" s="228">
        <v>-14.45</v>
      </c>
      <c r="EZ137" s="229">
        <v>-4.3E-3</v>
      </c>
      <c r="FA137" s="229">
        <v>0.89759999999999995</v>
      </c>
      <c r="FB137" s="227" t="s">
        <v>568</v>
      </c>
      <c r="FC137">
        <f t="shared" si="2"/>
        <v>180</v>
      </c>
    </row>
    <row r="138" spans="1:159" ht="17.25" thickBot="1" x14ac:dyDescent="0.3">
      <c r="A138" s="226">
        <v>46009</v>
      </c>
      <c r="B138" s="227" t="s">
        <v>615</v>
      </c>
      <c r="C138" s="227" t="s">
        <v>264</v>
      </c>
      <c r="D138" s="228">
        <v>375</v>
      </c>
      <c r="E138" s="228">
        <v>12</v>
      </c>
      <c r="F138" s="231">
        <v>1336.5</v>
      </c>
      <c r="G138" s="231">
        <v>1343.2</v>
      </c>
      <c r="H138" s="228">
        <v>-6.7</v>
      </c>
      <c r="I138" s="229">
        <v>-5.0000000000000001E-3</v>
      </c>
      <c r="J138" s="231">
        <v>1333.7</v>
      </c>
      <c r="K138" s="231">
        <v>1338.2</v>
      </c>
      <c r="L138" s="228">
        <v>-4.5</v>
      </c>
      <c r="M138" s="229">
        <v>-3.3999999999999998E-3</v>
      </c>
      <c r="N138" s="231">
        <v>1336.5</v>
      </c>
      <c r="O138" s="231">
        <v>1343.2</v>
      </c>
      <c r="P138" s="228">
        <v>-6.7</v>
      </c>
      <c r="Q138" s="229">
        <v>-5.0000000000000001E-3</v>
      </c>
      <c r="R138" s="231">
        <v>1345.2</v>
      </c>
      <c r="S138" s="231">
        <v>1350.8</v>
      </c>
      <c r="T138" s="228">
        <v>-5.6</v>
      </c>
      <c r="U138" s="229">
        <v>-4.1000000000000003E-3</v>
      </c>
      <c r="V138" s="231">
        <v>1355</v>
      </c>
      <c r="W138" s="231">
        <v>1358.2</v>
      </c>
      <c r="X138" s="228">
        <v>-3.2</v>
      </c>
      <c r="Y138" s="229">
        <v>-2.3999999999999998E-3</v>
      </c>
      <c r="Z138" s="228">
        <v>2.8</v>
      </c>
      <c r="AA138" s="228">
        <v>5</v>
      </c>
      <c r="AB138" s="228">
        <v>-2.2000000000000002</v>
      </c>
      <c r="AC138" s="229">
        <v>2.0999999999999999E-3</v>
      </c>
      <c r="AD138" s="228">
        <v>2.8</v>
      </c>
      <c r="AE138" s="228">
        <v>5</v>
      </c>
      <c r="AF138" s="228">
        <v>-2.2000000000000002</v>
      </c>
      <c r="AG138" s="229">
        <v>2.0999999999999999E-3</v>
      </c>
      <c r="AH138" s="228">
        <v>11.5</v>
      </c>
      <c r="AI138" s="228">
        <v>12.6</v>
      </c>
      <c r="AJ138" s="228">
        <v>-1.1000000000000001</v>
      </c>
      <c r="AK138" s="229">
        <v>8.6E-3</v>
      </c>
      <c r="AL138" s="228">
        <v>21.3</v>
      </c>
      <c r="AM138" s="228">
        <v>20</v>
      </c>
      <c r="AN138" s="228">
        <v>1.3</v>
      </c>
      <c r="AO138" s="229">
        <v>1.6E-2</v>
      </c>
      <c r="AP138" s="231">
        <v>1339.32</v>
      </c>
      <c r="AQ138" s="231">
        <v>1344.93</v>
      </c>
      <c r="AR138" s="228">
        <v>0</v>
      </c>
      <c r="AS138" s="228">
        <v>110</v>
      </c>
      <c r="AT138" s="228">
        <v>92</v>
      </c>
      <c r="AU138" s="228">
        <v>18</v>
      </c>
      <c r="AV138" s="229">
        <v>0.19409999999999999</v>
      </c>
      <c r="AW138" s="228">
        <v>89</v>
      </c>
      <c r="AX138" s="228">
        <v>70</v>
      </c>
      <c r="AY138" s="228">
        <v>19</v>
      </c>
      <c r="AZ138" s="229">
        <v>0.27929999999999999</v>
      </c>
      <c r="BA138" s="228">
        <v>20</v>
      </c>
      <c r="BB138" s="228">
        <v>22</v>
      </c>
      <c r="BC138" s="228">
        <v>-2</v>
      </c>
      <c r="BD138" s="229">
        <v>-8.9399999999999993E-2</v>
      </c>
      <c r="BE138" s="228">
        <v>1</v>
      </c>
      <c r="BF138" s="228">
        <v>1</v>
      </c>
      <c r="BG138" s="228">
        <v>0</v>
      </c>
      <c r="BH138" s="229">
        <v>0.7</v>
      </c>
      <c r="BI138" s="228">
        <v>271</v>
      </c>
      <c r="BJ138" s="228">
        <v>247</v>
      </c>
      <c r="BK138" s="228">
        <v>24</v>
      </c>
      <c r="BL138" s="229">
        <v>9.8599999999999993E-2</v>
      </c>
      <c r="BM138" s="228">
        <v>59</v>
      </c>
      <c r="BN138" s="228">
        <v>76</v>
      </c>
      <c r="BO138" s="228">
        <v>-17</v>
      </c>
      <c r="BP138" s="229">
        <v>-0.2228</v>
      </c>
      <c r="BQ138" s="228">
        <v>440</v>
      </c>
      <c r="BR138" s="228">
        <v>415</v>
      </c>
      <c r="BS138" s="228">
        <v>25</v>
      </c>
      <c r="BT138" s="229">
        <v>6.0900000000000003E-2</v>
      </c>
      <c r="BU138" s="230">
        <v>437484</v>
      </c>
      <c r="BV138" s="230">
        <v>397391</v>
      </c>
      <c r="BW138" s="230">
        <v>40093</v>
      </c>
      <c r="BX138" s="229">
        <v>0.1009</v>
      </c>
      <c r="BY138" s="230">
        <v>1141</v>
      </c>
      <c r="BZ138" s="230">
        <v>1136</v>
      </c>
      <c r="CA138" s="228">
        <v>5</v>
      </c>
      <c r="CB138" s="229">
        <v>4.4999999999999997E-3</v>
      </c>
      <c r="CC138" s="230">
        <v>1052</v>
      </c>
      <c r="CD138" s="230">
        <v>1055</v>
      </c>
      <c r="CE138" s="228">
        <v>-3</v>
      </c>
      <c r="CF138" s="229">
        <v>-3.0000000000000001E-3</v>
      </c>
      <c r="CG138" s="228">
        <v>85</v>
      </c>
      <c r="CH138" s="228">
        <v>77</v>
      </c>
      <c r="CI138" s="228">
        <v>9</v>
      </c>
      <c r="CJ138" s="229">
        <v>0.1139</v>
      </c>
      <c r="CK138" s="228">
        <v>4</v>
      </c>
      <c r="CL138" s="228">
        <v>5</v>
      </c>
      <c r="CM138" s="228">
        <v>0</v>
      </c>
      <c r="CN138" s="229">
        <v>-8.6999999999999994E-2</v>
      </c>
      <c r="CO138" s="228">
        <v>372</v>
      </c>
      <c r="CP138" s="228">
        <v>371</v>
      </c>
      <c r="CQ138" s="228">
        <v>1</v>
      </c>
      <c r="CR138" s="229">
        <v>1.5E-3</v>
      </c>
      <c r="CS138" s="228">
        <v>300</v>
      </c>
      <c r="CT138" s="228">
        <v>310</v>
      </c>
      <c r="CU138" s="228">
        <v>-10</v>
      </c>
      <c r="CV138" s="229">
        <v>-3.3399999999999999E-2</v>
      </c>
      <c r="CW138" s="230">
        <v>1813</v>
      </c>
      <c r="CX138" s="230">
        <v>1818</v>
      </c>
      <c r="CY138" s="228">
        <v>-5</v>
      </c>
      <c r="CZ138" s="229">
        <v>-2.5999999999999999E-3</v>
      </c>
      <c r="DA138" s="228">
        <v>25.72</v>
      </c>
      <c r="DB138" s="228">
        <v>26.16</v>
      </c>
      <c r="DC138" s="228">
        <v>-0.44</v>
      </c>
      <c r="DD138" s="228">
        <v>-0.44</v>
      </c>
      <c r="DE138" s="228">
        <v>36.36</v>
      </c>
      <c r="DF138" s="228">
        <v>36.450000000000003</v>
      </c>
      <c r="DG138" s="228">
        <v>-10.64</v>
      </c>
      <c r="DH138" s="228">
        <v>-0.09</v>
      </c>
      <c r="DI138" s="228">
        <v>25.62</v>
      </c>
      <c r="DJ138" s="228">
        <v>26.04</v>
      </c>
      <c r="DK138" s="228">
        <v>-0.42</v>
      </c>
      <c r="DL138" s="228">
        <v>-0.42</v>
      </c>
      <c r="DM138" s="228">
        <v>26.19</v>
      </c>
      <c r="DN138" s="228">
        <v>26.56</v>
      </c>
      <c r="DO138" s="228">
        <v>-0.37</v>
      </c>
      <c r="DP138" s="228">
        <v>-0.37</v>
      </c>
      <c r="DQ138" s="228">
        <v>0.81</v>
      </c>
      <c r="DR138" s="228">
        <v>0.84</v>
      </c>
      <c r="DS138" s="228">
        <v>-0.03</v>
      </c>
      <c r="DT138" s="229">
        <v>-3.5700000000000003E-2</v>
      </c>
      <c r="DU138" s="231">
        <v>1400</v>
      </c>
      <c r="DV138" s="231">
        <v>1280</v>
      </c>
      <c r="DW138" s="228">
        <v>0.22</v>
      </c>
      <c r="DX138" s="228">
        <v>0.31</v>
      </c>
      <c r="DY138" s="228">
        <v>-0.09</v>
      </c>
      <c r="DZ138" s="229">
        <v>-0.2903</v>
      </c>
      <c r="EA138" s="229">
        <v>7.8399999999999997E-2</v>
      </c>
      <c r="EB138" s="230">
        <v>607500</v>
      </c>
      <c r="EC138" s="229">
        <v>6.4999999999999997E-3</v>
      </c>
      <c r="ED138" s="229">
        <v>7.8399999999999997E-2</v>
      </c>
      <c r="EE138" s="228">
        <v>5.61</v>
      </c>
      <c r="EF138" s="229">
        <v>4.1999999999999997E-3</v>
      </c>
      <c r="EG138" s="230">
        <v>258795</v>
      </c>
      <c r="EH138" s="230">
        <v>249381</v>
      </c>
      <c r="EI138" s="229">
        <v>3.7699999999999997E-2</v>
      </c>
      <c r="EJ138" s="229">
        <v>0.59160000000000001</v>
      </c>
      <c r="EK138" s="228">
        <v>286.75</v>
      </c>
      <c r="EL138" s="228">
        <v>57.52</v>
      </c>
      <c r="EM138" s="228">
        <v>110.39</v>
      </c>
      <c r="EN138" s="228">
        <v>21.97</v>
      </c>
      <c r="EO138" s="228">
        <v>454.65</v>
      </c>
      <c r="EP138" s="228">
        <v>427.68</v>
      </c>
      <c r="EQ138" s="228">
        <v>26.97</v>
      </c>
      <c r="ER138" s="229">
        <v>6.3100000000000003E-2</v>
      </c>
      <c r="ES138" s="228">
        <v>393.03</v>
      </c>
      <c r="ET138" s="228">
        <v>292.45</v>
      </c>
      <c r="EU138" s="231">
        <v>1141.92</v>
      </c>
      <c r="EV138" s="231">
        <v>60530911</v>
      </c>
      <c r="EW138" s="231">
        <v>1827.4</v>
      </c>
      <c r="EX138" s="231">
        <v>1838.35</v>
      </c>
      <c r="EY138" s="228">
        <v>-10.95</v>
      </c>
      <c r="EZ138" s="229">
        <v>-6.0000000000000001E-3</v>
      </c>
      <c r="FA138" s="229">
        <v>0.22409999999999999</v>
      </c>
      <c r="FB138" s="227" t="s">
        <v>567</v>
      </c>
      <c r="FC138">
        <f t="shared" si="2"/>
        <v>89</v>
      </c>
    </row>
    <row r="139" spans="1:159" ht="17.25" thickBot="1" x14ac:dyDescent="0.3">
      <c r="A139" s="226">
        <v>46009</v>
      </c>
      <c r="B139" s="227" t="s">
        <v>206</v>
      </c>
      <c r="C139" s="227" t="s">
        <v>550</v>
      </c>
      <c r="D139" s="228">
        <v>6500</v>
      </c>
      <c r="E139" s="228">
        <v>12</v>
      </c>
      <c r="F139" s="228">
        <v>108.37</v>
      </c>
      <c r="G139" s="228">
        <v>109.71</v>
      </c>
      <c r="H139" s="228">
        <v>-1.34</v>
      </c>
      <c r="I139" s="229">
        <v>-1.2200000000000001E-2</v>
      </c>
      <c r="J139" s="228">
        <v>108.26</v>
      </c>
      <c r="K139" s="228">
        <v>109.56</v>
      </c>
      <c r="L139" s="228">
        <v>-1.3</v>
      </c>
      <c r="M139" s="229">
        <v>-1.1900000000000001E-2</v>
      </c>
      <c r="N139" s="228">
        <v>108.37</v>
      </c>
      <c r="O139" s="228">
        <v>109.71</v>
      </c>
      <c r="P139" s="228">
        <v>-1.34</v>
      </c>
      <c r="Q139" s="229">
        <v>-1.2200000000000001E-2</v>
      </c>
      <c r="R139" s="228">
        <v>109.06</v>
      </c>
      <c r="S139" s="228">
        <v>110.37</v>
      </c>
      <c r="T139" s="228">
        <v>-1.31</v>
      </c>
      <c r="U139" s="229">
        <v>-1.1900000000000001E-2</v>
      </c>
      <c r="V139" s="228">
        <v>109.59</v>
      </c>
      <c r="W139" s="228">
        <v>110.58</v>
      </c>
      <c r="X139" s="228">
        <v>-0.99</v>
      </c>
      <c r="Y139" s="229">
        <v>-8.9999999999999993E-3</v>
      </c>
      <c r="Z139" s="228">
        <v>0.11</v>
      </c>
      <c r="AA139" s="228">
        <v>0.15</v>
      </c>
      <c r="AB139" s="228">
        <v>-0.04</v>
      </c>
      <c r="AC139" s="229">
        <v>1E-3</v>
      </c>
      <c r="AD139" s="228">
        <v>0.11</v>
      </c>
      <c r="AE139" s="228">
        <v>0.15</v>
      </c>
      <c r="AF139" s="228">
        <v>-0.04</v>
      </c>
      <c r="AG139" s="229">
        <v>1E-3</v>
      </c>
      <c r="AH139" s="228">
        <v>0.8</v>
      </c>
      <c r="AI139" s="228">
        <v>0.81</v>
      </c>
      <c r="AJ139" s="228">
        <v>-0.01</v>
      </c>
      <c r="AK139" s="229">
        <v>7.4000000000000003E-3</v>
      </c>
      <c r="AL139" s="228">
        <v>1.33</v>
      </c>
      <c r="AM139" s="228">
        <v>1.02</v>
      </c>
      <c r="AN139" s="228">
        <v>0.31</v>
      </c>
      <c r="AO139" s="229">
        <v>1.23E-2</v>
      </c>
      <c r="AP139" s="228">
        <v>108.13</v>
      </c>
      <c r="AQ139" s="228">
        <v>108.81</v>
      </c>
      <c r="AR139" s="228">
        <v>0</v>
      </c>
      <c r="AS139" s="228">
        <v>150</v>
      </c>
      <c r="AT139" s="228">
        <v>170</v>
      </c>
      <c r="AU139" s="228">
        <v>-20</v>
      </c>
      <c r="AV139" s="229">
        <v>-0.1171</v>
      </c>
      <c r="AW139" s="228">
        <v>113</v>
      </c>
      <c r="AX139" s="228">
        <v>144</v>
      </c>
      <c r="AY139" s="228">
        <v>-31</v>
      </c>
      <c r="AZ139" s="229">
        <v>-0.21249999999999999</v>
      </c>
      <c r="BA139" s="228">
        <v>35</v>
      </c>
      <c r="BB139" s="228">
        <v>25</v>
      </c>
      <c r="BC139" s="228">
        <v>10</v>
      </c>
      <c r="BD139" s="229">
        <v>0.38869999999999999</v>
      </c>
      <c r="BE139" s="228">
        <v>2</v>
      </c>
      <c r="BF139" s="228">
        <v>1</v>
      </c>
      <c r="BG139" s="228">
        <v>1</v>
      </c>
      <c r="BH139" s="229">
        <v>0.86670000000000003</v>
      </c>
      <c r="BI139" s="228">
        <v>524</v>
      </c>
      <c r="BJ139" s="228">
        <v>539</v>
      </c>
      <c r="BK139" s="228">
        <v>-14</v>
      </c>
      <c r="BL139" s="229">
        <v>-2.6700000000000002E-2</v>
      </c>
      <c r="BM139" s="228">
        <v>184</v>
      </c>
      <c r="BN139" s="228">
        <v>151</v>
      </c>
      <c r="BO139" s="228">
        <v>33</v>
      </c>
      <c r="BP139" s="229">
        <v>0.21510000000000001</v>
      </c>
      <c r="BQ139" s="228">
        <v>858</v>
      </c>
      <c r="BR139" s="228">
        <v>860</v>
      </c>
      <c r="BS139" s="228">
        <v>-2</v>
      </c>
      <c r="BT139" s="229">
        <v>-2E-3</v>
      </c>
      <c r="BU139" s="230">
        <v>10521811</v>
      </c>
      <c r="BV139" s="230">
        <v>13170799</v>
      </c>
      <c r="BW139" s="230">
        <v>-2648988</v>
      </c>
      <c r="BX139" s="229">
        <v>-0.2011</v>
      </c>
      <c r="BY139" s="228">
        <v>972</v>
      </c>
      <c r="BZ139" s="228">
        <v>954</v>
      </c>
      <c r="CA139" s="228">
        <v>18</v>
      </c>
      <c r="CB139" s="229">
        <v>1.9E-2</v>
      </c>
      <c r="CC139" s="228">
        <v>897</v>
      </c>
      <c r="CD139" s="228">
        <v>894</v>
      </c>
      <c r="CE139" s="228">
        <v>3</v>
      </c>
      <c r="CF139" s="229">
        <v>3.5999999999999999E-3</v>
      </c>
      <c r="CG139" s="228">
        <v>69</v>
      </c>
      <c r="CH139" s="228">
        <v>55</v>
      </c>
      <c r="CI139" s="228">
        <v>14</v>
      </c>
      <c r="CJ139" s="229">
        <v>0.2586</v>
      </c>
      <c r="CK139" s="228">
        <v>6</v>
      </c>
      <c r="CL139" s="228">
        <v>5</v>
      </c>
      <c r="CM139" s="228">
        <v>1</v>
      </c>
      <c r="CN139" s="229">
        <v>0.1429</v>
      </c>
      <c r="CO139" s="228">
        <v>675</v>
      </c>
      <c r="CP139" s="228">
        <v>626</v>
      </c>
      <c r="CQ139" s="228">
        <v>49</v>
      </c>
      <c r="CR139" s="229">
        <v>7.8E-2</v>
      </c>
      <c r="CS139" s="228">
        <v>263</v>
      </c>
      <c r="CT139" s="228">
        <v>253</v>
      </c>
      <c r="CU139" s="228">
        <v>11</v>
      </c>
      <c r="CV139" s="229">
        <v>4.1799999999999997E-2</v>
      </c>
      <c r="CW139" s="230">
        <v>1910</v>
      </c>
      <c r="CX139" s="230">
        <v>1833</v>
      </c>
      <c r="CY139" s="228">
        <v>78</v>
      </c>
      <c r="CZ139" s="229">
        <v>4.2299999999999997E-2</v>
      </c>
      <c r="DA139" s="228">
        <v>32.56</v>
      </c>
      <c r="DB139" s="228">
        <v>32.85</v>
      </c>
      <c r="DC139" s="228">
        <v>-0.28999999999999998</v>
      </c>
      <c r="DD139" s="228">
        <v>-0.28999999999999998</v>
      </c>
      <c r="DE139" s="228">
        <v>50.97</v>
      </c>
      <c r="DF139" s="228">
        <v>51.07</v>
      </c>
      <c r="DG139" s="228">
        <v>-18.41</v>
      </c>
      <c r="DH139" s="228">
        <v>-0.1</v>
      </c>
      <c r="DI139" s="228">
        <v>33.86</v>
      </c>
      <c r="DJ139" s="228">
        <v>33.76</v>
      </c>
      <c r="DK139" s="228">
        <v>0.1</v>
      </c>
      <c r="DL139" s="228">
        <v>0.1</v>
      </c>
      <c r="DM139" s="228">
        <v>28.85</v>
      </c>
      <c r="DN139" s="228">
        <v>29.63</v>
      </c>
      <c r="DO139" s="228">
        <v>-0.78</v>
      </c>
      <c r="DP139" s="228">
        <v>-0.78</v>
      </c>
      <c r="DQ139" s="228">
        <v>0.39</v>
      </c>
      <c r="DR139" s="228">
        <v>0.4</v>
      </c>
      <c r="DS139" s="228">
        <v>-0.01</v>
      </c>
      <c r="DT139" s="229">
        <v>-2.5000000000000001E-2</v>
      </c>
      <c r="DU139" s="228">
        <v>120</v>
      </c>
      <c r="DV139" s="228">
        <v>110</v>
      </c>
      <c r="DW139" s="228">
        <v>0.35</v>
      </c>
      <c r="DX139" s="228">
        <v>0.28000000000000003</v>
      </c>
      <c r="DY139" s="228">
        <v>7.0000000000000007E-2</v>
      </c>
      <c r="DZ139" s="229">
        <v>0.25</v>
      </c>
      <c r="EA139" s="229">
        <v>7.6999999999999999E-2</v>
      </c>
      <c r="EB139" s="230">
        <v>5531500</v>
      </c>
      <c r="EC139" s="229">
        <v>6.4000000000000003E-3</v>
      </c>
      <c r="ED139" s="229">
        <v>7.6999999999999999E-2</v>
      </c>
      <c r="EE139" s="228">
        <v>0.68</v>
      </c>
      <c r="EF139" s="229">
        <v>6.3E-3</v>
      </c>
      <c r="EG139" s="230">
        <v>2948897</v>
      </c>
      <c r="EH139" s="230">
        <v>4084607</v>
      </c>
      <c r="EI139" s="229">
        <v>-0.27800000000000002</v>
      </c>
      <c r="EJ139" s="229">
        <v>0.28029999999999999</v>
      </c>
      <c r="EK139" s="228">
        <v>563.01</v>
      </c>
      <c r="EL139" s="228">
        <v>185.35</v>
      </c>
      <c r="EM139" s="228">
        <v>149.66999999999999</v>
      </c>
      <c r="EN139" s="228">
        <v>33.53</v>
      </c>
      <c r="EO139" s="228">
        <v>898.02</v>
      </c>
      <c r="EP139" s="228">
        <v>914.38</v>
      </c>
      <c r="EQ139" s="228">
        <v>-16.36</v>
      </c>
      <c r="ER139" s="229">
        <v>-1.7899999999999999E-2</v>
      </c>
      <c r="ES139" s="228">
        <v>732.55</v>
      </c>
      <c r="ET139" s="228">
        <v>264.92</v>
      </c>
      <c r="EU139" s="228">
        <v>972.72</v>
      </c>
      <c r="EV139" s="231">
        <v>154894704</v>
      </c>
      <c r="EW139" s="231">
        <v>1970.19</v>
      </c>
      <c r="EX139" s="231">
        <v>1904.83</v>
      </c>
      <c r="EY139" s="228">
        <v>65.36</v>
      </c>
      <c r="EZ139" s="229">
        <v>3.4299999999999997E-2</v>
      </c>
      <c r="FA139" s="229">
        <v>1.1378999999999999</v>
      </c>
      <c r="FB139" s="227" t="s">
        <v>567</v>
      </c>
      <c r="FC139">
        <f t="shared" si="2"/>
        <v>75</v>
      </c>
    </row>
    <row r="140" spans="1:159" ht="17.25" thickBot="1" x14ac:dyDescent="0.3">
      <c r="A140" s="226">
        <v>46009</v>
      </c>
      <c r="B140" s="227" t="s">
        <v>215</v>
      </c>
      <c r="C140" s="227" t="s">
        <v>591</v>
      </c>
      <c r="D140" s="228">
        <v>2700</v>
      </c>
      <c r="E140" s="228">
        <v>12</v>
      </c>
      <c r="F140" s="228">
        <v>153.30000000000001</v>
      </c>
      <c r="G140" s="228">
        <v>155.97</v>
      </c>
      <c r="H140" s="228">
        <v>-2.67</v>
      </c>
      <c r="I140" s="229">
        <v>-1.7100000000000001E-2</v>
      </c>
      <c r="J140" s="228">
        <v>153.07</v>
      </c>
      <c r="K140" s="228">
        <v>155.32</v>
      </c>
      <c r="L140" s="228">
        <v>-2.25</v>
      </c>
      <c r="M140" s="229">
        <v>-1.4500000000000001E-2</v>
      </c>
      <c r="N140" s="228">
        <v>153.30000000000001</v>
      </c>
      <c r="O140" s="228">
        <v>155.97</v>
      </c>
      <c r="P140" s="228">
        <v>-2.67</v>
      </c>
      <c r="Q140" s="229">
        <v>-1.7100000000000001E-2</v>
      </c>
      <c r="R140" s="228">
        <v>0</v>
      </c>
      <c r="S140" s="228">
        <v>0</v>
      </c>
      <c r="T140" s="228">
        <v>0</v>
      </c>
      <c r="U140" s="229">
        <v>0</v>
      </c>
      <c r="V140" s="228">
        <v>0</v>
      </c>
      <c r="W140" s="228">
        <v>0</v>
      </c>
      <c r="X140" s="228">
        <v>0</v>
      </c>
      <c r="Y140" s="229">
        <v>0</v>
      </c>
      <c r="Z140" s="228">
        <v>0.23</v>
      </c>
      <c r="AA140" s="228">
        <v>0.65</v>
      </c>
      <c r="AB140" s="228">
        <v>-0.42</v>
      </c>
      <c r="AC140" s="229">
        <v>1.5E-3</v>
      </c>
      <c r="AD140" s="228">
        <v>0.23</v>
      </c>
      <c r="AE140" s="228">
        <v>0.65</v>
      </c>
      <c r="AF140" s="228">
        <v>-0.42</v>
      </c>
      <c r="AG140" s="229">
        <v>1.5E-3</v>
      </c>
      <c r="AH140" s="228">
        <v>0</v>
      </c>
      <c r="AI140" s="228">
        <v>0</v>
      </c>
      <c r="AJ140" s="228">
        <v>0</v>
      </c>
      <c r="AK140" s="229">
        <v>0</v>
      </c>
      <c r="AL140" s="228">
        <v>0</v>
      </c>
      <c r="AM140" s="228">
        <v>0</v>
      </c>
      <c r="AN140" s="228">
        <v>0</v>
      </c>
      <c r="AO140" s="229">
        <v>0</v>
      </c>
      <c r="AP140" s="228">
        <v>154.35</v>
      </c>
      <c r="AQ140" s="228">
        <v>0</v>
      </c>
      <c r="AR140" s="228">
        <v>0</v>
      </c>
      <c r="AS140" s="228">
        <v>57</v>
      </c>
      <c r="AT140" s="228">
        <v>49</v>
      </c>
      <c r="AU140" s="228">
        <v>8</v>
      </c>
      <c r="AV140" s="229">
        <v>0.16470000000000001</v>
      </c>
      <c r="AW140" s="228">
        <v>57</v>
      </c>
      <c r="AX140" s="228">
        <v>49</v>
      </c>
      <c r="AY140" s="228">
        <v>8</v>
      </c>
      <c r="AZ140" s="229">
        <v>0.16470000000000001</v>
      </c>
      <c r="BA140" s="228">
        <v>0</v>
      </c>
      <c r="BB140" s="228">
        <v>0</v>
      </c>
      <c r="BC140" s="228">
        <v>0</v>
      </c>
      <c r="BD140" s="229">
        <v>0</v>
      </c>
      <c r="BE140" s="228">
        <v>0</v>
      </c>
      <c r="BF140" s="228">
        <v>0</v>
      </c>
      <c r="BG140" s="228">
        <v>0</v>
      </c>
      <c r="BH140" s="229">
        <v>0</v>
      </c>
      <c r="BI140" s="228">
        <v>176</v>
      </c>
      <c r="BJ140" s="228">
        <v>180</v>
      </c>
      <c r="BK140" s="228">
        <v>-4</v>
      </c>
      <c r="BL140" s="229">
        <v>-2.3E-2</v>
      </c>
      <c r="BM140" s="228">
        <v>96</v>
      </c>
      <c r="BN140" s="228">
        <v>80</v>
      </c>
      <c r="BO140" s="228">
        <v>16</v>
      </c>
      <c r="BP140" s="229">
        <v>0.20399999999999999</v>
      </c>
      <c r="BQ140" s="228">
        <v>329</v>
      </c>
      <c r="BR140" s="228">
        <v>309</v>
      </c>
      <c r="BS140" s="228">
        <v>20</v>
      </c>
      <c r="BT140" s="229">
        <v>6.5799999999999997E-2</v>
      </c>
      <c r="BU140" s="230">
        <v>2893730</v>
      </c>
      <c r="BV140" s="230">
        <v>3741337</v>
      </c>
      <c r="BW140" s="230">
        <v>-847607</v>
      </c>
      <c r="BX140" s="229">
        <v>-0.2266</v>
      </c>
      <c r="BY140" s="228">
        <v>334</v>
      </c>
      <c r="BZ140" s="228">
        <v>343</v>
      </c>
      <c r="CA140" s="228">
        <v>-8</v>
      </c>
      <c r="CB140" s="229">
        <v>-2.4400000000000002E-2</v>
      </c>
      <c r="CC140" s="228">
        <v>334</v>
      </c>
      <c r="CD140" s="228">
        <v>343</v>
      </c>
      <c r="CE140" s="228">
        <v>-8</v>
      </c>
      <c r="CF140" s="229">
        <v>-2.4400000000000002E-2</v>
      </c>
      <c r="CG140" s="228">
        <v>0</v>
      </c>
      <c r="CH140" s="228">
        <v>0</v>
      </c>
      <c r="CI140" s="228">
        <v>0</v>
      </c>
      <c r="CJ140" s="229">
        <v>0</v>
      </c>
      <c r="CK140" s="228">
        <v>0</v>
      </c>
      <c r="CL140" s="228">
        <v>0</v>
      </c>
      <c r="CM140" s="228">
        <v>0</v>
      </c>
      <c r="CN140" s="229">
        <v>0</v>
      </c>
      <c r="CO140" s="228">
        <v>372</v>
      </c>
      <c r="CP140" s="228">
        <v>363</v>
      </c>
      <c r="CQ140" s="228">
        <v>9</v>
      </c>
      <c r="CR140" s="229">
        <v>2.53E-2</v>
      </c>
      <c r="CS140" s="228">
        <v>155</v>
      </c>
      <c r="CT140" s="228">
        <v>152</v>
      </c>
      <c r="CU140" s="228">
        <v>2</v>
      </c>
      <c r="CV140" s="229">
        <v>1.44E-2</v>
      </c>
      <c r="CW140" s="228">
        <v>861</v>
      </c>
      <c r="CX140" s="228">
        <v>858</v>
      </c>
      <c r="CY140" s="228">
        <v>3</v>
      </c>
      <c r="CZ140" s="229">
        <v>3.5000000000000001E-3</v>
      </c>
      <c r="DA140" s="228">
        <v>31.09</v>
      </c>
      <c r="DB140" s="228">
        <v>31.9</v>
      </c>
      <c r="DC140" s="228">
        <v>-0.81</v>
      </c>
      <c r="DD140" s="228">
        <v>-0.81</v>
      </c>
      <c r="DE140" s="228">
        <v>44.97</v>
      </c>
      <c r="DF140" s="228">
        <v>45.03</v>
      </c>
      <c r="DG140" s="228">
        <v>-13.88</v>
      </c>
      <c r="DH140" s="228">
        <v>-0.06</v>
      </c>
      <c r="DI140" s="228">
        <v>32</v>
      </c>
      <c r="DJ140" s="228">
        <v>33.26</v>
      </c>
      <c r="DK140" s="228">
        <v>-1.26</v>
      </c>
      <c r="DL140" s="228">
        <v>-1.26</v>
      </c>
      <c r="DM140" s="228">
        <v>29.44</v>
      </c>
      <c r="DN140" s="228">
        <v>28.85</v>
      </c>
      <c r="DO140" s="228">
        <v>0.59</v>
      </c>
      <c r="DP140" s="228">
        <v>0.59</v>
      </c>
      <c r="DQ140" s="228">
        <v>0.42</v>
      </c>
      <c r="DR140" s="228">
        <v>0.42</v>
      </c>
      <c r="DS140" s="228">
        <v>0</v>
      </c>
      <c r="DT140" s="229">
        <v>0</v>
      </c>
      <c r="DU140" s="228">
        <v>180</v>
      </c>
      <c r="DV140" s="228">
        <v>160</v>
      </c>
      <c r="DW140" s="228">
        <v>0.55000000000000004</v>
      </c>
      <c r="DX140" s="228">
        <v>0.45</v>
      </c>
      <c r="DY140" s="228">
        <v>0.1</v>
      </c>
      <c r="DZ140" s="229">
        <v>0.22220000000000001</v>
      </c>
      <c r="EA140" s="229">
        <v>0</v>
      </c>
      <c r="EB140" s="228">
        <v>0</v>
      </c>
      <c r="EC140" s="229">
        <v>0</v>
      </c>
      <c r="ED140" s="229">
        <v>0</v>
      </c>
      <c r="EE140" s="228">
        <v>0</v>
      </c>
      <c r="EF140" s="229">
        <v>0</v>
      </c>
      <c r="EG140" s="230">
        <v>1137046</v>
      </c>
      <c r="EH140" s="230">
        <v>1386358</v>
      </c>
      <c r="EI140" s="229">
        <v>-0.17979999999999999</v>
      </c>
      <c r="EJ140" s="229">
        <v>0.39290000000000003</v>
      </c>
      <c r="EK140" s="228">
        <v>189.81</v>
      </c>
      <c r="EL140" s="228">
        <v>97.11</v>
      </c>
      <c r="EM140" s="228">
        <v>57.76</v>
      </c>
      <c r="EN140" s="228">
        <v>11.32</v>
      </c>
      <c r="EO140" s="228">
        <v>344.67</v>
      </c>
      <c r="EP140" s="228">
        <v>332.47</v>
      </c>
      <c r="EQ140" s="228">
        <v>12.2</v>
      </c>
      <c r="ER140" s="229">
        <v>3.6700000000000003E-2</v>
      </c>
      <c r="ES140" s="228">
        <v>431.35</v>
      </c>
      <c r="ET140" s="228">
        <v>165.79</v>
      </c>
      <c r="EU140" s="228">
        <v>334.44</v>
      </c>
      <c r="EV140" s="231">
        <v>72342848</v>
      </c>
      <c r="EW140" s="228">
        <v>931.57</v>
      </c>
      <c r="EX140" s="228">
        <v>936.99</v>
      </c>
      <c r="EY140" s="228">
        <v>-5.42</v>
      </c>
      <c r="EZ140" s="229">
        <v>-5.7999999999999996E-3</v>
      </c>
      <c r="FA140" s="229">
        <v>0.77680000000000005</v>
      </c>
      <c r="FB140" s="227" t="s">
        <v>568</v>
      </c>
      <c r="FC140">
        <f t="shared" si="2"/>
        <v>0</v>
      </c>
    </row>
    <row r="141" spans="1:159" ht="17.25" thickBot="1" x14ac:dyDescent="0.3">
      <c r="A141" s="226">
        <v>46009</v>
      </c>
      <c r="B141" s="227" t="s">
        <v>168</v>
      </c>
      <c r="C141" s="227" t="s">
        <v>265</v>
      </c>
      <c r="D141" s="228">
        <v>500</v>
      </c>
      <c r="E141" s="228">
        <v>12</v>
      </c>
      <c r="F141" s="231">
        <v>1236.8</v>
      </c>
      <c r="G141" s="231">
        <v>1235.9000000000001</v>
      </c>
      <c r="H141" s="228">
        <v>0.9</v>
      </c>
      <c r="I141" s="229">
        <v>6.9999999999999999E-4</v>
      </c>
      <c r="J141" s="231">
        <v>1233.5</v>
      </c>
      <c r="K141" s="231">
        <v>1234.5999999999999</v>
      </c>
      <c r="L141" s="228">
        <v>-1.1000000000000001</v>
      </c>
      <c r="M141" s="229">
        <v>-8.9999999999999998E-4</v>
      </c>
      <c r="N141" s="231">
        <v>1236.8</v>
      </c>
      <c r="O141" s="231">
        <v>1235.9000000000001</v>
      </c>
      <c r="P141" s="228">
        <v>0.9</v>
      </c>
      <c r="Q141" s="229">
        <v>6.9999999999999999E-4</v>
      </c>
      <c r="R141" s="231">
        <v>1244.9000000000001</v>
      </c>
      <c r="S141" s="231">
        <v>1243.5</v>
      </c>
      <c r="T141" s="228">
        <v>1.4</v>
      </c>
      <c r="U141" s="229">
        <v>1.1000000000000001E-3</v>
      </c>
      <c r="V141" s="231">
        <v>1244.7</v>
      </c>
      <c r="W141" s="231">
        <v>1245.7</v>
      </c>
      <c r="X141" s="228">
        <v>-1</v>
      </c>
      <c r="Y141" s="229">
        <v>-8.0000000000000004E-4</v>
      </c>
      <c r="Z141" s="228">
        <v>3.3</v>
      </c>
      <c r="AA141" s="228">
        <v>1.3</v>
      </c>
      <c r="AB141" s="228">
        <v>2</v>
      </c>
      <c r="AC141" s="229">
        <v>2.7000000000000001E-3</v>
      </c>
      <c r="AD141" s="228">
        <v>3.3</v>
      </c>
      <c r="AE141" s="228">
        <v>1.3</v>
      </c>
      <c r="AF141" s="228">
        <v>2</v>
      </c>
      <c r="AG141" s="229">
        <v>2.7000000000000001E-3</v>
      </c>
      <c r="AH141" s="228">
        <v>11.4</v>
      </c>
      <c r="AI141" s="228">
        <v>8.9</v>
      </c>
      <c r="AJ141" s="228">
        <v>2.5</v>
      </c>
      <c r="AK141" s="229">
        <v>9.1999999999999998E-3</v>
      </c>
      <c r="AL141" s="228">
        <v>11.2</v>
      </c>
      <c r="AM141" s="228">
        <v>11.1</v>
      </c>
      <c r="AN141" s="228">
        <v>0.1</v>
      </c>
      <c r="AO141" s="229">
        <v>9.1000000000000004E-3</v>
      </c>
      <c r="AP141" s="231">
        <v>1238.5</v>
      </c>
      <c r="AQ141" s="231">
        <v>1246.3800000000001</v>
      </c>
      <c r="AR141" s="228">
        <v>0</v>
      </c>
      <c r="AS141" s="228">
        <v>192</v>
      </c>
      <c r="AT141" s="228">
        <v>326</v>
      </c>
      <c r="AU141" s="228">
        <v>-134</v>
      </c>
      <c r="AV141" s="229">
        <v>-0.4098</v>
      </c>
      <c r="AW141" s="228">
        <v>135</v>
      </c>
      <c r="AX141" s="228">
        <v>213</v>
      </c>
      <c r="AY141" s="228">
        <v>-79</v>
      </c>
      <c r="AZ141" s="229">
        <v>-0.36849999999999999</v>
      </c>
      <c r="BA141" s="228">
        <v>55</v>
      </c>
      <c r="BB141" s="228">
        <v>112</v>
      </c>
      <c r="BC141" s="228">
        <v>-56</v>
      </c>
      <c r="BD141" s="229">
        <v>-0.50470000000000004</v>
      </c>
      <c r="BE141" s="228">
        <v>2</v>
      </c>
      <c r="BF141" s="228">
        <v>1</v>
      </c>
      <c r="BG141" s="228">
        <v>1</v>
      </c>
      <c r="BH141" s="229">
        <v>1.4375</v>
      </c>
      <c r="BI141" s="228">
        <v>425</v>
      </c>
      <c r="BJ141" s="228">
        <v>529</v>
      </c>
      <c r="BK141" s="228">
        <v>-104</v>
      </c>
      <c r="BL141" s="229">
        <v>-0.19700000000000001</v>
      </c>
      <c r="BM141" s="228">
        <v>110</v>
      </c>
      <c r="BN141" s="228">
        <v>192</v>
      </c>
      <c r="BO141" s="228">
        <v>-82</v>
      </c>
      <c r="BP141" s="229">
        <v>-0.42720000000000002</v>
      </c>
      <c r="BQ141" s="228">
        <v>727</v>
      </c>
      <c r="BR141" s="230">
        <v>1047</v>
      </c>
      <c r="BS141" s="228">
        <v>-320</v>
      </c>
      <c r="BT141" s="229">
        <v>-0.3054</v>
      </c>
      <c r="BU141" s="230">
        <v>739287</v>
      </c>
      <c r="BV141" s="230">
        <v>538361</v>
      </c>
      <c r="BW141" s="230">
        <v>200926</v>
      </c>
      <c r="BX141" s="229">
        <v>0.37319999999999998</v>
      </c>
      <c r="BY141" s="230">
        <v>2047</v>
      </c>
      <c r="BZ141" s="230">
        <v>2040</v>
      </c>
      <c r="CA141" s="228">
        <v>7</v>
      </c>
      <c r="CB141" s="229">
        <v>3.2000000000000002E-3</v>
      </c>
      <c r="CC141" s="230">
        <v>1763</v>
      </c>
      <c r="CD141" s="230">
        <v>1799</v>
      </c>
      <c r="CE141" s="228">
        <v>-37</v>
      </c>
      <c r="CF141" s="229">
        <v>-2.0400000000000001E-2</v>
      </c>
      <c r="CG141" s="228">
        <v>273</v>
      </c>
      <c r="CH141" s="228">
        <v>231</v>
      </c>
      <c r="CI141" s="228">
        <v>42</v>
      </c>
      <c r="CJ141" s="229">
        <v>0.1817</v>
      </c>
      <c r="CK141" s="228">
        <v>11</v>
      </c>
      <c r="CL141" s="228">
        <v>10</v>
      </c>
      <c r="CM141" s="228">
        <v>1</v>
      </c>
      <c r="CN141" s="229">
        <v>0.13039999999999999</v>
      </c>
      <c r="CO141" s="228">
        <v>905</v>
      </c>
      <c r="CP141" s="228">
        <v>901</v>
      </c>
      <c r="CQ141" s="228">
        <v>4</v>
      </c>
      <c r="CR141" s="229">
        <v>4.1999999999999997E-3</v>
      </c>
      <c r="CS141" s="228">
        <v>281</v>
      </c>
      <c r="CT141" s="228">
        <v>284</v>
      </c>
      <c r="CU141" s="228">
        <v>-3</v>
      </c>
      <c r="CV141" s="229">
        <v>-9.5999999999999992E-3</v>
      </c>
      <c r="CW141" s="230">
        <v>3232</v>
      </c>
      <c r="CX141" s="230">
        <v>3224</v>
      </c>
      <c r="CY141" s="228">
        <v>8</v>
      </c>
      <c r="CZ141" s="229">
        <v>2.3999999999999998E-3</v>
      </c>
      <c r="DA141" s="228">
        <v>17.5</v>
      </c>
      <c r="DB141" s="228">
        <v>18.63</v>
      </c>
      <c r="DC141" s="228">
        <v>-1.1299999999999999</v>
      </c>
      <c r="DD141" s="228">
        <v>-1.1299999999999999</v>
      </c>
      <c r="DE141" s="228">
        <v>22.93</v>
      </c>
      <c r="DF141" s="228">
        <v>22.99</v>
      </c>
      <c r="DG141" s="228">
        <v>-5.43</v>
      </c>
      <c r="DH141" s="228">
        <v>-0.06</v>
      </c>
      <c r="DI141" s="228">
        <v>17.82</v>
      </c>
      <c r="DJ141" s="228">
        <v>19.09</v>
      </c>
      <c r="DK141" s="228">
        <v>-1.27</v>
      </c>
      <c r="DL141" s="228">
        <v>-1.27</v>
      </c>
      <c r="DM141" s="228">
        <v>16.28</v>
      </c>
      <c r="DN141" s="228">
        <v>17.350000000000001</v>
      </c>
      <c r="DO141" s="228">
        <v>-1.07</v>
      </c>
      <c r="DP141" s="228">
        <v>-1.07</v>
      </c>
      <c r="DQ141" s="228">
        <v>0.31</v>
      </c>
      <c r="DR141" s="228">
        <v>0.31</v>
      </c>
      <c r="DS141" s="228">
        <v>0</v>
      </c>
      <c r="DT141" s="229">
        <v>0</v>
      </c>
      <c r="DU141" s="231">
        <v>1320</v>
      </c>
      <c r="DV141" s="231">
        <v>1180</v>
      </c>
      <c r="DW141" s="228">
        <v>0.26</v>
      </c>
      <c r="DX141" s="228">
        <v>0.36</v>
      </c>
      <c r="DY141" s="228">
        <v>-0.1</v>
      </c>
      <c r="DZ141" s="229">
        <v>-0.27779999999999999</v>
      </c>
      <c r="EA141" s="229">
        <v>0.13880000000000001</v>
      </c>
      <c r="EB141" s="230">
        <v>1946500</v>
      </c>
      <c r="EC141" s="229">
        <v>6.4999999999999997E-3</v>
      </c>
      <c r="ED141" s="229">
        <v>0.13880000000000001</v>
      </c>
      <c r="EE141" s="228">
        <v>7.88</v>
      </c>
      <c r="EF141" s="229">
        <v>6.4000000000000003E-3</v>
      </c>
      <c r="EG141" s="230">
        <v>459968</v>
      </c>
      <c r="EH141" s="230">
        <v>294244</v>
      </c>
      <c r="EI141" s="229">
        <v>0.56320000000000003</v>
      </c>
      <c r="EJ141" s="229">
        <v>0.62219999999999998</v>
      </c>
      <c r="EK141" s="228">
        <v>438.06</v>
      </c>
      <c r="EL141" s="228">
        <v>109.39</v>
      </c>
      <c r="EM141" s="228">
        <v>193.02</v>
      </c>
      <c r="EN141" s="228">
        <v>33.880000000000003</v>
      </c>
      <c r="EO141" s="228">
        <v>740.47</v>
      </c>
      <c r="EP141" s="231">
        <v>1067.58</v>
      </c>
      <c r="EQ141" s="228">
        <v>-327.11</v>
      </c>
      <c r="ER141" s="229">
        <v>-0.30640000000000001</v>
      </c>
      <c r="ES141" s="228">
        <v>953.57</v>
      </c>
      <c r="ET141" s="228">
        <v>276.02999999999997</v>
      </c>
      <c r="EU141" s="231">
        <v>2048.39</v>
      </c>
      <c r="EV141" s="231">
        <v>71801274</v>
      </c>
      <c r="EW141" s="231">
        <v>3277.99</v>
      </c>
      <c r="EX141" s="231">
        <v>3268.35</v>
      </c>
      <c r="EY141" s="228">
        <v>9.64</v>
      </c>
      <c r="EZ141" s="229">
        <v>2.8999999999999998E-3</v>
      </c>
      <c r="FA141" s="229">
        <v>0.3639</v>
      </c>
      <c r="FB141" s="227" t="s">
        <v>555</v>
      </c>
      <c r="FC141">
        <f t="shared" si="2"/>
        <v>284</v>
      </c>
    </row>
    <row r="142" spans="1:159" ht="17.25" thickBot="1" x14ac:dyDescent="0.3">
      <c r="A142" s="226">
        <v>46009</v>
      </c>
      <c r="B142" s="227" t="s">
        <v>161</v>
      </c>
      <c r="C142" s="227" t="s">
        <v>585</v>
      </c>
      <c r="D142" s="228">
        <v>6400</v>
      </c>
      <c r="E142" s="228">
        <v>12</v>
      </c>
      <c r="F142" s="228">
        <v>75.239999999999995</v>
      </c>
      <c r="G142" s="228">
        <v>75.569999999999993</v>
      </c>
      <c r="H142" s="228">
        <v>-0.33</v>
      </c>
      <c r="I142" s="229">
        <v>-4.4000000000000003E-3</v>
      </c>
      <c r="J142" s="228">
        <v>75.040000000000006</v>
      </c>
      <c r="K142" s="228">
        <v>75.39</v>
      </c>
      <c r="L142" s="228">
        <v>-0.35</v>
      </c>
      <c r="M142" s="229">
        <v>-4.5999999999999999E-3</v>
      </c>
      <c r="N142" s="228">
        <v>75.239999999999995</v>
      </c>
      <c r="O142" s="228">
        <v>75.569999999999993</v>
      </c>
      <c r="P142" s="228">
        <v>-0.33</v>
      </c>
      <c r="Q142" s="229">
        <v>-4.4000000000000003E-3</v>
      </c>
      <c r="R142" s="228">
        <v>75.75</v>
      </c>
      <c r="S142" s="228">
        <v>76.03</v>
      </c>
      <c r="T142" s="228">
        <v>-0.28000000000000003</v>
      </c>
      <c r="U142" s="229">
        <v>-3.7000000000000002E-3</v>
      </c>
      <c r="V142" s="228">
        <v>75.31</v>
      </c>
      <c r="W142" s="228">
        <v>75.760000000000005</v>
      </c>
      <c r="X142" s="228">
        <v>-0.45</v>
      </c>
      <c r="Y142" s="229">
        <v>-5.8999999999999999E-3</v>
      </c>
      <c r="Z142" s="228">
        <v>0.2</v>
      </c>
      <c r="AA142" s="228">
        <v>0.18</v>
      </c>
      <c r="AB142" s="228">
        <v>0.02</v>
      </c>
      <c r="AC142" s="229">
        <v>2.7000000000000001E-3</v>
      </c>
      <c r="AD142" s="228">
        <v>0.2</v>
      </c>
      <c r="AE142" s="228">
        <v>0.18</v>
      </c>
      <c r="AF142" s="228">
        <v>0.02</v>
      </c>
      <c r="AG142" s="229">
        <v>2.7000000000000001E-3</v>
      </c>
      <c r="AH142" s="228">
        <v>0.71</v>
      </c>
      <c r="AI142" s="228">
        <v>0.64</v>
      </c>
      <c r="AJ142" s="228">
        <v>7.0000000000000007E-2</v>
      </c>
      <c r="AK142" s="229">
        <v>9.4999999999999998E-3</v>
      </c>
      <c r="AL142" s="228">
        <v>0.27</v>
      </c>
      <c r="AM142" s="228">
        <v>0.37</v>
      </c>
      <c r="AN142" s="228">
        <v>-0.1</v>
      </c>
      <c r="AO142" s="229">
        <v>3.5999999999999999E-3</v>
      </c>
      <c r="AP142" s="228">
        <v>75.08</v>
      </c>
      <c r="AQ142" s="228">
        <v>75.53</v>
      </c>
      <c r="AR142" s="228">
        <v>0</v>
      </c>
      <c r="AS142" s="228">
        <v>82</v>
      </c>
      <c r="AT142" s="228">
        <v>76</v>
      </c>
      <c r="AU142" s="228">
        <v>6</v>
      </c>
      <c r="AV142" s="229">
        <v>7.9000000000000001E-2</v>
      </c>
      <c r="AW142" s="228">
        <v>53</v>
      </c>
      <c r="AX142" s="228">
        <v>57</v>
      </c>
      <c r="AY142" s="228">
        <v>-4</v>
      </c>
      <c r="AZ142" s="229">
        <v>-6.6600000000000006E-2</v>
      </c>
      <c r="BA142" s="228">
        <v>23</v>
      </c>
      <c r="BB142" s="228">
        <v>14</v>
      </c>
      <c r="BC142" s="228">
        <v>9</v>
      </c>
      <c r="BD142" s="229">
        <v>0.60129999999999995</v>
      </c>
      <c r="BE142" s="228">
        <v>5</v>
      </c>
      <c r="BF142" s="228">
        <v>4</v>
      </c>
      <c r="BG142" s="228">
        <v>1</v>
      </c>
      <c r="BH142" s="229">
        <v>0.26829999999999998</v>
      </c>
      <c r="BI142" s="228">
        <v>188</v>
      </c>
      <c r="BJ142" s="228">
        <v>164</v>
      </c>
      <c r="BK142" s="228">
        <v>24</v>
      </c>
      <c r="BL142" s="229">
        <v>0.14560000000000001</v>
      </c>
      <c r="BM142" s="228">
        <v>51</v>
      </c>
      <c r="BN142" s="228">
        <v>49</v>
      </c>
      <c r="BO142" s="228">
        <v>2</v>
      </c>
      <c r="BP142" s="229">
        <v>4.9099999999999998E-2</v>
      </c>
      <c r="BQ142" s="228">
        <v>321</v>
      </c>
      <c r="BR142" s="228">
        <v>288</v>
      </c>
      <c r="BS142" s="228">
        <v>32</v>
      </c>
      <c r="BT142" s="229">
        <v>0.11169999999999999</v>
      </c>
      <c r="BU142" s="230">
        <v>6481974</v>
      </c>
      <c r="BV142" s="230">
        <v>5980681</v>
      </c>
      <c r="BW142" s="230">
        <v>501293</v>
      </c>
      <c r="BX142" s="229">
        <v>8.3799999999999999E-2</v>
      </c>
      <c r="BY142" s="228">
        <v>565</v>
      </c>
      <c r="BZ142" s="228">
        <v>558</v>
      </c>
      <c r="CA142" s="228">
        <v>7</v>
      </c>
      <c r="CB142" s="229">
        <v>1.21E-2</v>
      </c>
      <c r="CC142" s="228">
        <v>494</v>
      </c>
      <c r="CD142" s="228">
        <v>500</v>
      </c>
      <c r="CE142" s="228">
        <v>-7</v>
      </c>
      <c r="CF142" s="229">
        <v>-1.32E-2</v>
      </c>
      <c r="CG142" s="228">
        <v>56</v>
      </c>
      <c r="CH142" s="228">
        <v>45</v>
      </c>
      <c r="CI142" s="228">
        <v>12</v>
      </c>
      <c r="CJ142" s="229">
        <v>0.26540000000000002</v>
      </c>
      <c r="CK142" s="228">
        <v>14</v>
      </c>
      <c r="CL142" s="228">
        <v>13</v>
      </c>
      <c r="CM142" s="228">
        <v>1</v>
      </c>
      <c r="CN142" s="229">
        <v>0.11700000000000001</v>
      </c>
      <c r="CO142" s="228">
        <v>360</v>
      </c>
      <c r="CP142" s="228">
        <v>353</v>
      </c>
      <c r="CQ142" s="228">
        <v>7</v>
      </c>
      <c r="CR142" s="229">
        <v>2.0500000000000001E-2</v>
      </c>
      <c r="CS142" s="228">
        <v>158</v>
      </c>
      <c r="CT142" s="228">
        <v>157</v>
      </c>
      <c r="CU142" s="228">
        <v>1</v>
      </c>
      <c r="CV142" s="229">
        <v>6.4000000000000003E-3</v>
      </c>
      <c r="CW142" s="230">
        <v>1083</v>
      </c>
      <c r="CX142" s="230">
        <v>1068</v>
      </c>
      <c r="CY142" s="228">
        <v>15</v>
      </c>
      <c r="CZ142" s="229">
        <v>1.4E-2</v>
      </c>
      <c r="DA142" s="228">
        <v>25.4</v>
      </c>
      <c r="DB142" s="228">
        <v>24.71</v>
      </c>
      <c r="DC142" s="228">
        <v>0.69</v>
      </c>
      <c r="DD142" s="228">
        <v>0.69</v>
      </c>
      <c r="DE142" s="228">
        <v>36.630000000000003</v>
      </c>
      <c r="DF142" s="228">
        <v>36.72</v>
      </c>
      <c r="DG142" s="228">
        <v>-11.23</v>
      </c>
      <c r="DH142" s="228">
        <v>-0.09</v>
      </c>
      <c r="DI142" s="228">
        <v>25.98</v>
      </c>
      <c r="DJ142" s="228">
        <v>25.2</v>
      </c>
      <c r="DK142" s="228">
        <v>0.78</v>
      </c>
      <c r="DL142" s="228">
        <v>0.78</v>
      </c>
      <c r="DM142" s="228">
        <v>23.29</v>
      </c>
      <c r="DN142" s="228">
        <v>23.06</v>
      </c>
      <c r="DO142" s="228">
        <v>0.23</v>
      </c>
      <c r="DP142" s="228">
        <v>0.23</v>
      </c>
      <c r="DQ142" s="228">
        <v>0.44</v>
      </c>
      <c r="DR142" s="228">
        <v>0.45</v>
      </c>
      <c r="DS142" s="228">
        <v>-0.01</v>
      </c>
      <c r="DT142" s="229">
        <v>-2.2200000000000001E-2</v>
      </c>
      <c r="DU142" s="228">
        <v>80</v>
      </c>
      <c r="DV142" s="228">
        <v>72</v>
      </c>
      <c r="DW142" s="228">
        <v>0.27</v>
      </c>
      <c r="DX142" s="228">
        <v>0.3</v>
      </c>
      <c r="DY142" s="228">
        <v>-0.03</v>
      </c>
      <c r="DZ142" s="229">
        <v>-0.1</v>
      </c>
      <c r="EA142" s="229">
        <v>0.12529999999999999</v>
      </c>
      <c r="EB142" s="230">
        <v>7628800</v>
      </c>
      <c r="EC142" s="229">
        <v>6.7999999999999996E-3</v>
      </c>
      <c r="ED142" s="229">
        <v>0.12529999999999999</v>
      </c>
      <c r="EE142" s="228">
        <v>0.45</v>
      </c>
      <c r="EF142" s="229">
        <v>6.0000000000000001E-3</v>
      </c>
      <c r="EG142" s="230">
        <v>2700632</v>
      </c>
      <c r="EH142" s="230">
        <v>2290076</v>
      </c>
      <c r="EI142" s="229">
        <v>0.17929999999999999</v>
      </c>
      <c r="EJ142" s="229">
        <v>0.41660000000000003</v>
      </c>
      <c r="EK142" s="228">
        <v>200</v>
      </c>
      <c r="EL142" s="228">
        <v>50.82</v>
      </c>
      <c r="EM142" s="228">
        <v>81.540000000000006</v>
      </c>
      <c r="EN142" s="228">
        <v>12.23</v>
      </c>
      <c r="EO142" s="228">
        <v>332.36</v>
      </c>
      <c r="EP142" s="228">
        <v>298.72000000000003</v>
      </c>
      <c r="EQ142" s="228">
        <v>33.64</v>
      </c>
      <c r="ER142" s="229">
        <v>0.11260000000000001</v>
      </c>
      <c r="ES142" s="228">
        <v>388.04</v>
      </c>
      <c r="ET142" s="228">
        <v>158.81</v>
      </c>
      <c r="EU142" s="228">
        <v>564.95000000000005</v>
      </c>
      <c r="EV142" s="231">
        <v>398201603</v>
      </c>
      <c r="EW142" s="231">
        <v>1111.79</v>
      </c>
      <c r="EX142" s="231">
        <v>1099.8699999999999</v>
      </c>
      <c r="EY142" s="228">
        <v>11.92</v>
      </c>
      <c r="EZ142" s="229">
        <v>1.0800000000000001E-2</v>
      </c>
      <c r="FA142" s="229">
        <v>0.3614</v>
      </c>
      <c r="FB142" s="227" t="s">
        <v>567</v>
      </c>
      <c r="FC142">
        <f t="shared" si="2"/>
        <v>71</v>
      </c>
    </row>
    <row r="143" spans="1:159" ht="17.25" thickBot="1" x14ac:dyDescent="0.3">
      <c r="A143" s="226">
        <v>46009</v>
      </c>
      <c r="B143" s="227" t="s">
        <v>181</v>
      </c>
      <c r="C143" s="227" t="s">
        <v>266</v>
      </c>
      <c r="D143" s="228">
        <v>75</v>
      </c>
      <c r="E143" s="228">
        <v>12</v>
      </c>
      <c r="F143" s="231">
        <v>25880.6</v>
      </c>
      <c r="G143" s="231">
        <v>25897.8</v>
      </c>
      <c r="H143" s="228">
        <v>-17.2</v>
      </c>
      <c r="I143" s="229">
        <v>-6.9999999999999999E-4</v>
      </c>
      <c r="J143" s="231">
        <v>25815.55</v>
      </c>
      <c r="K143" s="231">
        <v>25818.55</v>
      </c>
      <c r="L143" s="228">
        <v>-3</v>
      </c>
      <c r="M143" s="229">
        <v>-1E-4</v>
      </c>
      <c r="N143" s="231">
        <v>25880.6</v>
      </c>
      <c r="O143" s="231">
        <v>25897.8</v>
      </c>
      <c r="P143" s="228">
        <v>-17.2</v>
      </c>
      <c r="Q143" s="229">
        <v>-6.9999999999999999E-4</v>
      </c>
      <c r="R143" s="231">
        <v>26049.1</v>
      </c>
      <c r="S143" s="231">
        <v>26061.8</v>
      </c>
      <c r="T143" s="228">
        <v>-12.7</v>
      </c>
      <c r="U143" s="229">
        <v>-5.0000000000000001E-4</v>
      </c>
      <c r="V143" s="231">
        <v>26196.2</v>
      </c>
      <c r="W143" s="231">
        <v>26212.400000000001</v>
      </c>
      <c r="X143" s="228">
        <v>-16.2</v>
      </c>
      <c r="Y143" s="229">
        <v>-5.9999999999999995E-4</v>
      </c>
      <c r="Z143" s="228">
        <v>65.05</v>
      </c>
      <c r="AA143" s="228">
        <v>79.25</v>
      </c>
      <c r="AB143" s="228">
        <v>-14.2</v>
      </c>
      <c r="AC143" s="229">
        <v>2.5000000000000001E-3</v>
      </c>
      <c r="AD143" s="228">
        <v>65.05</v>
      </c>
      <c r="AE143" s="228">
        <v>79.25</v>
      </c>
      <c r="AF143" s="228">
        <v>-14.2</v>
      </c>
      <c r="AG143" s="229">
        <v>2.5000000000000001E-3</v>
      </c>
      <c r="AH143" s="228">
        <v>233.55</v>
      </c>
      <c r="AI143" s="228">
        <v>243.25</v>
      </c>
      <c r="AJ143" s="228">
        <v>-9.6999999999999993</v>
      </c>
      <c r="AK143" s="229">
        <v>8.9999999999999993E-3</v>
      </c>
      <c r="AL143" s="228">
        <v>380.65</v>
      </c>
      <c r="AM143" s="228">
        <v>393.85</v>
      </c>
      <c r="AN143" s="228">
        <v>-13.2</v>
      </c>
      <c r="AO143" s="229">
        <v>1.47E-2</v>
      </c>
      <c r="AP143" s="231">
        <v>25901.18</v>
      </c>
      <c r="AQ143" s="231">
        <v>26060.27</v>
      </c>
      <c r="AR143" s="228">
        <v>0</v>
      </c>
      <c r="AS143" s="230">
        <v>14847</v>
      </c>
      <c r="AT143" s="230">
        <v>10648</v>
      </c>
      <c r="AU143" s="230">
        <v>4199</v>
      </c>
      <c r="AV143" s="229">
        <v>0.39439999999999997</v>
      </c>
      <c r="AW143" s="230">
        <v>13236</v>
      </c>
      <c r="AX143" s="230">
        <v>9341</v>
      </c>
      <c r="AY143" s="230">
        <v>3895</v>
      </c>
      <c r="AZ143" s="229">
        <v>0.41689999999999999</v>
      </c>
      <c r="BA143" s="230">
        <v>1169</v>
      </c>
      <c r="BB143" s="228">
        <v>987</v>
      </c>
      <c r="BC143" s="228">
        <v>183</v>
      </c>
      <c r="BD143" s="229">
        <v>0.18529999999999999</v>
      </c>
      <c r="BE143" s="228">
        <v>442</v>
      </c>
      <c r="BF143" s="228">
        <v>320</v>
      </c>
      <c r="BG143" s="228">
        <v>122</v>
      </c>
      <c r="BH143" s="229">
        <v>0.38</v>
      </c>
      <c r="BI143" s="230">
        <v>5668392</v>
      </c>
      <c r="BJ143" s="230">
        <v>4618690</v>
      </c>
      <c r="BK143" s="230">
        <v>1049702</v>
      </c>
      <c r="BL143" s="229">
        <v>0.2273</v>
      </c>
      <c r="BM143" s="230">
        <v>5168137</v>
      </c>
      <c r="BN143" s="230">
        <v>4542029</v>
      </c>
      <c r="BO143" s="230">
        <v>626108</v>
      </c>
      <c r="BP143" s="229">
        <v>0.13780000000000001</v>
      </c>
      <c r="BQ143" s="230">
        <v>10851376</v>
      </c>
      <c r="BR143" s="230">
        <v>9171367</v>
      </c>
      <c r="BS143" s="230">
        <v>1680010</v>
      </c>
      <c r="BT143" s="229">
        <v>0.1832</v>
      </c>
      <c r="BU143" s="228">
        <v>0</v>
      </c>
      <c r="BV143" s="228">
        <v>0</v>
      </c>
      <c r="BW143" s="228">
        <v>0</v>
      </c>
      <c r="BX143" s="229">
        <v>0</v>
      </c>
      <c r="BY143" s="230">
        <v>47359</v>
      </c>
      <c r="BZ143" s="230">
        <v>48058</v>
      </c>
      <c r="CA143" s="228">
        <v>-699</v>
      </c>
      <c r="CB143" s="229">
        <v>-1.4500000000000001E-2</v>
      </c>
      <c r="CC143" s="230">
        <v>41520</v>
      </c>
      <c r="CD143" s="230">
        <v>42482</v>
      </c>
      <c r="CE143" s="228">
        <v>-962</v>
      </c>
      <c r="CF143" s="229">
        <v>-2.2599999999999999E-2</v>
      </c>
      <c r="CG143" s="230">
        <v>4255</v>
      </c>
      <c r="CH143" s="230">
        <v>4104</v>
      </c>
      <c r="CI143" s="228">
        <v>151</v>
      </c>
      <c r="CJ143" s="229">
        <v>3.6799999999999999E-2</v>
      </c>
      <c r="CK143" s="230">
        <v>1583</v>
      </c>
      <c r="CL143" s="230">
        <v>1471</v>
      </c>
      <c r="CM143" s="228">
        <v>112</v>
      </c>
      <c r="CN143" s="229">
        <v>7.5999999999999998E-2</v>
      </c>
      <c r="CO143" s="230">
        <v>661101</v>
      </c>
      <c r="CP143" s="230">
        <v>635922</v>
      </c>
      <c r="CQ143" s="230">
        <v>25179</v>
      </c>
      <c r="CR143" s="229">
        <v>3.9600000000000003E-2</v>
      </c>
      <c r="CS143" s="230">
        <v>549617</v>
      </c>
      <c r="CT143" s="230">
        <v>488549</v>
      </c>
      <c r="CU143" s="230">
        <v>61069</v>
      </c>
      <c r="CV143" s="229">
        <v>0.125</v>
      </c>
      <c r="CW143" s="230">
        <v>1258077</v>
      </c>
      <c r="CX143" s="230">
        <v>1172529</v>
      </c>
      <c r="CY143" s="230">
        <v>85548</v>
      </c>
      <c r="CZ143" s="229">
        <v>7.2999999999999995E-2</v>
      </c>
      <c r="DA143" s="228">
        <v>9.4</v>
      </c>
      <c r="DB143" s="228">
        <v>9.8000000000000007</v>
      </c>
      <c r="DC143" s="228">
        <v>-0.4</v>
      </c>
      <c r="DD143" s="228">
        <v>-0.4</v>
      </c>
      <c r="DE143" s="228">
        <v>14.1</v>
      </c>
      <c r="DF143" s="228">
        <v>14.13</v>
      </c>
      <c r="DG143" s="228">
        <v>-4.7</v>
      </c>
      <c r="DH143" s="228">
        <v>-0.03</v>
      </c>
      <c r="DI143" s="228">
        <v>9.1199999999999992</v>
      </c>
      <c r="DJ143" s="228">
        <v>9.86</v>
      </c>
      <c r="DK143" s="228">
        <v>-0.74</v>
      </c>
      <c r="DL143" s="228">
        <v>-0.74</v>
      </c>
      <c r="DM143" s="228">
        <v>9.73</v>
      </c>
      <c r="DN143" s="228">
        <v>9.74</v>
      </c>
      <c r="DO143" s="228">
        <v>-0.01</v>
      </c>
      <c r="DP143" s="228">
        <v>-0.01</v>
      </c>
      <c r="DQ143" s="228">
        <v>0.83</v>
      </c>
      <c r="DR143" s="228">
        <v>0.77</v>
      </c>
      <c r="DS143" s="228">
        <v>0.06</v>
      </c>
      <c r="DT143" s="229">
        <v>7.7899999999999997E-2</v>
      </c>
      <c r="DU143" s="231">
        <v>26000</v>
      </c>
      <c r="DV143" s="231">
        <v>25500</v>
      </c>
      <c r="DW143" s="228">
        <v>0.91</v>
      </c>
      <c r="DX143" s="228">
        <v>0.98</v>
      </c>
      <c r="DY143" s="228">
        <v>-7.0000000000000007E-2</v>
      </c>
      <c r="DZ143" s="229">
        <v>-7.1400000000000005E-2</v>
      </c>
      <c r="EA143" s="229">
        <v>0.12330000000000001</v>
      </c>
      <c r="EB143" s="230">
        <v>2154360</v>
      </c>
      <c r="EC143" s="229">
        <v>6.4999999999999997E-3</v>
      </c>
      <c r="ED143" s="229">
        <v>0.12330000000000001</v>
      </c>
      <c r="EE143" s="228">
        <v>159.09</v>
      </c>
      <c r="EF143" s="229">
        <v>6.1000000000000004E-3</v>
      </c>
      <c r="EG143" s="228">
        <v>0</v>
      </c>
      <c r="EH143" s="228">
        <v>0</v>
      </c>
      <c r="EI143" s="229">
        <v>0</v>
      </c>
      <c r="EJ143" s="229">
        <v>0</v>
      </c>
      <c r="EK143" s="231">
        <v>5738139.7400000002</v>
      </c>
      <c r="EL143" s="231">
        <v>5112427.03</v>
      </c>
      <c r="EM143" s="231">
        <v>14654.75</v>
      </c>
      <c r="EN143" s="228">
        <v>694.54</v>
      </c>
      <c r="EO143" s="231">
        <v>10865221.52</v>
      </c>
      <c r="EP143" s="231">
        <v>9199740.3200000003</v>
      </c>
      <c r="EQ143" s="231">
        <v>1665481.21</v>
      </c>
      <c r="ER143" s="229">
        <v>0.18099999999999999</v>
      </c>
      <c r="ES143" s="231">
        <v>676626.11</v>
      </c>
      <c r="ET143" s="231">
        <v>535188.61</v>
      </c>
      <c r="EU143" s="231">
        <v>47405.7</v>
      </c>
      <c r="EV143" s="228">
        <v>0</v>
      </c>
      <c r="EW143" s="231">
        <v>1259220.42</v>
      </c>
      <c r="EX143" s="231">
        <v>1175549.49</v>
      </c>
      <c r="EY143" s="231">
        <v>83670.929999999993</v>
      </c>
      <c r="EZ143" s="229">
        <v>7.1199999999999999E-2</v>
      </c>
      <c r="FA143" s="229">
        <v>0</v>
      </c>
      <c r="FB143" s="227" t="s">
        <v>568</v>
      </c>
      <c r="FC143">
        <f t="shared" si="2"/>
        <v>5839</v>
      </c>
    </row>
    <row r="144" spans="1:159" ht="17.25" thickBot="1" x14ac:dyDescent="0.3">
      <c r="A144" s="226">
        <v>46009</v>
      </c>
      <c r="B144" s="227" t="s">
        <v>181</v>
      </c>
      <c r="C144" s="227" t="s">
        <v>566</v>
      </c>
      <c r="D144" s="228">
        <v>25</v>
      </c>
      <c r="E144" s="228">
        <v>12</v>
      </c>
      <c r="F144" s="231">
        <v>67881</v>
      </c>
      <c r="G144" s="231">
        <v>68220</v>
      </c>
      <c r="H144" s="228">
        <v>-339</v>
      </c>
      <c r="I144" s="229">
        <v>-5.0000000000000001E-3</v>
      </c>
      <c r="J144" s="231">
        <v>67830.25</v>
      </c>
      <c r="K144" s="231">
        <v>68076.850000000006</v>
      </c>
      <c r="L144" s="228">
        <v>-246.6</v>
      </c>
      <c r="M144" s="229">
        <v>-3.5999999999999999E-3</v>
      </c>
      <c r="N144" s="231">
        <v>67881</v>
      </c>
      <c r="O144" s="231">
        <v>68220</v>
      </c>
      <c r="P144" s="228">
        <v>-339</v>
      </c>
      <c r="Q144" s="229">
        <v>-5.0000000000000001E-3</v>
      </c>
      <c r="R144" s="231">
        <v>68327</v>
      </c>
      <c r="S144" s="231">
        <v>68597</v>
      </c>
      <c r="T144" s="228">
        <v>-270</v>
      </c>
      <c r="U144" s="229">
        <v>-3.8999999999999998E-3</v>
      </c>
      <c r="V144" s="228">
        <v>0</v>
      </c>
      <c r="W144" s="228">
        <v>0</v>
      </c>
      <c r="X144" s="228">
        <v>0</v>
      </c>
      <c r="Y144" s="229">
        <v>0</v>
      </c>
      <c r="Z144" s="228">
        <v>50.75</v>
      </c>
      <c r="AA144" s="228">
        <v>143.15</v>
      </c>
      <c r="AB144" s="228">
        <v>-92.4</v>
      </c>
      <c r="AC144" s="229">
        <v>6.9999999999999999E-4</v>
      </c>
      <c r="AD144" s="228">
        <v>50.75</v>
      </c>
      <c r="AE144" s="228">
        <v>143.15</v>
      </c>
      <c r="AF144" s="228">
        <v>-92.4</v>
      </c>
      <c r="AG144" s="229">
        <v>6.9999999999999999E-4</v>
      </c>
      <c r="AH144" s="228">
        <v>496.75</v>
      </c>
      <c r="AI144" s="228">
        <v>520.15</v>
      </c>
      <c r="AJ144" s="228">
        <v>-23.4</v>
      </c>
      <c r="AK144" s="229">
        <v>7.3000000000000001E-3</v>
      </c>
      <c r="AL144" s="228">
        <v>0</v>
      </c>
      <c r="AM144" s="228">
        <v>0</v>
      </c>
      <c r="AN144" s="228">
        <v>0</v>
      </c>
      <c r="AO144" s="229">
        <v>0</v>
      </c>
      <c r="AP144" s="231">
        <v>67798.5</v>
      </c>
      <c r="AQ144" s="231">
        <v>68165.16</v>
      </c>
      <c r="AR144" s="228">
        <v>0</v>
      </c>
      <c r="AS144" s="228">
        <v>87</v>
      </c>
      <c r="AT144" s="228">
        <v>38</v>
      </c>
      <c r="AU144" s="228">
        <v>49</v>
      </c>
      <c r="AV144" s="229">
        <v>1.2972999999999999</v>
      </c>
      <c r="AW144" s="228">
        <v>81</v>
      </c>
      <c r="AX144" s="228">
        <v>31</v>
      </c>
      <c r="AY144" s="228">
        <v>50</v>
      </c>
      <c r="AZ144" s="229">
        <v>1.5891999999999999</v>
      </c>
      <c r="BA144" s="228">
        <v>5</v>
      </c>
      <c r="BB144" s="228">
        <v>6</v>
      </c>
      <c r="BC144" s="228">
        <v>-1</v>
      </c>
      <c r="BD144" s="229">
        <v>-0.16220000000000001</v>
      </c>
      <c r="BE144" s="228">
        <v>0</v>
      </c>
      <c r="BF144" s="228">
        <v>0</v>
      </c>
      <c r="BG144" s="228">
        <v>0</v>
      </c>
      <c r="BH144" s="229">
        <v>0</v>
      </c>
      <c r="BI144" s="228">
        <v>105</v>
      </c>
      <c r="BJ144" s="228">
        <v>61</v>
      </c>
      <c r="BK144" s="228">
        <v>44</v>
      </c>
      <c r="BL144" s="229">
        <v>0.72219999999999995</v>
      </c>
      <c r="BM144" s="228">
        <v>74</v>
      </c>
      <c r="BN144" s="228">
        <v>83</v>
      </c>
      <c r="BO144" s="228">
        <v>-9</v>
      </c>
      <c r="BP144" s="229">
        <v>-0.1104</v>
      </c>
      <c r="BQ144" s="228">
        <v>266</v>
      </c>
      <c r="BR144" s="228">
        <v>182</v>
      </c>
      <c r="BS144" s="228">
        <v>84</v>
      </c>
      <c r="BT144" s="229">
        <v>0.46129999999999999</v>
      </c>
      <c r="BU144" s="228">
        <v>0</v>
      </c>
      <c r="BV144" s="228">
        <v>0</v>
      </c>
      <c r="BW144" s="228">
        <v>0</v>
      </c>
      <c r="BX144" s="229">
        <v>0</v>
      </c>
      <c r="BY144" s="228">
        <v>213</v>
      </c>
      <c r="BZ144" s="228">
        <v>201</v>
      </c>
      <c r="CA144" s="228">
        <v>12</v>
      </c>
      <c r="CB144" s="229">
        <v>6.1699999999999998E-2</v>
      </c>
      <c r="CC144" s="228">
        <v>187</v>
      </c>
      <c r="CD144" s="228">
        <v>178</v>
      </c>
      <c r="CE144" s="228">
        <v>9</v>
      </c>
      <c r="CF144" s="229">
        <v>5.1400000000000001E-2</v>
      </c>
      <c r="CG144" s="228">
        <v>26</v>
      </c>
      <c r="CH144" s="228">
        <v>23</v>
      </c>
      <c r="CI144" s="228">
        <v>3</v>
      </c>
      <c r="CJ144" s="229">
        <v>0.14180000000000001</v>
      </c>
      <c r="CK144" s="228">
        <v>0</v>
      </c>
      <c r="CL144" s="228">
        <v>0</v>
      </c>
      <c r="CM144" s="228">
        <v>0</v>
      </c>
      <c r="CN144" s="229">
        <v>0</v>
      </c>
      <c r="CO144" s="228">
        <v>123</v>
      </c>
      <c r="CP144" s="228">
        <v>110</v>
      </c>
      <c r="CQ144" s="228">
        <v>14</v>
      </c>
      <c r="CR144" s="229">
        <v>0.12540000000000001</v>
      </c>
      <c r="CS144" s="228">
        <v>104</v>
      </c>
      <c r="CT144" s="228">
        <v>101</v>
      </c>
      <c r="CU144" s="228">
        <v>2</v>
      </c>
      <c r="CV144" s="229">
        <v>2.1700000000000001E-2</v>
      </c>
      <c r="CW144" s="228">
        <v>440</v>
      </c>
      <c r="CX144" s="228">
        <v>412</v>
      </c>
      <c r="CY144" s="228">
        <v>28</v>
      </c>
      <c r="CZ144" s="229">
        <v>6.88E-2</v>
      </c>
      <c r="DA144" s="228">
        <v>13.51</v>
      </c>
      <c r="DB144" s="228">
        <v>14.41</v>
      </c>
      <c r="DC144" s="228">
        <v>-0.9</v>
      </c>
      <c r="DD144" s="228">
        <v>-0.9</v>
      </c>
      <c r="DE144" s="228">
        <v>19.899999999999999</v>
      </c>
      <c r="DF144" s="228">
        <v>19.940000000000001</v>
      </c>
      <c r="DG144" s="228">
        <v>-6.39</v>
      </c>
      <c r="DH144" s="228">
        <v>-0.04</v>
      </c>
      <c r="DI144" s="228">
        <v>13.35</v>
      </c>
      <c r="DJ144" s="228">
        <v>13.51</v>
      </c>
      <c r="DK144" s="228">
        <v>-0.16</v>
      </c>
      <c r="DL144" s="228">
        <v>-0.16</v>
      </c>
      <c r="DM144" s="228">
        <v>13.75</v>
      </c>
      <c r="DN144" s="228">
        <v>15.06</v>
      </c>
      <c r="DO144" s="228">
        <v>-1.31</v>
      </c>
      <c r="DP144" s="228">
        <v>-1.31</v>
      </c>
      <c r="DQ144" s="228">
        <v>0.84</v>
      </c>
      <c r="DR144" s="228">
        <v>0.93</v>
      </c>
      <c r="DS144" s="228">
        <v>-0.09</v>
      </c>
      <c r="DT144" s="229">
        <v>-9.6799999999999997E-2</v>
      </c>
      <c r="DU144" s="231">
        <v>70500</v>
      </c>
      <c r="DV144" s="231">
        <v>66000</v>
      </c>
      <c r="DW144" s="228">
        <v>0.7</v>
      </c>
      <c r="DX144" s="228">
        <v>1.36</v>
      </c>
      <c r="DY144" s="228">
        <v>-0.66</v>
      </c>
      <c r="DZ144" s="229">
        <v>-0.48530000000000001</v>
      </c>
      <c r="EA144" s="229">
        <v>0.1217</v>
      </c>
      <c r="EB144" s="230">
        <v>3350</v>
      </c>
      <c r="EC144" s="229">
        <v>6.6E-3</v>
      </c>
      <c r="ED144" s="229">
        <v>0.1217</v>
      </c>
      <c r="EE144" s="228">
        <v>366.66</v>
      </c>
      <c r="EF144" s="229">
        <v>5.4000000000000003E-3</v>
      </c>
      <c r="EG144" s="228">
        <v>0</v>
      </c>
      <c r="EH144" s="228">
        <v>0</v>
      </c>
      <c r="EI144" s="229">
        <v>0</v>
      </c>
      <c r="EJ144" s="229">
        <v>0</v>
      </c>
      <c r="EK144" s="228">
        <v>107.14</v>
      </c>
      <c r="EL144" s="228">
        <v>73.680000000000007</v>
      </c>
      <c r="EM144" s="228">
        <v>86.47</v>
      </c>
      <c r="EN144" s="228">
        <v>0</v>
      </c>
      <c r="EO144" s="228">
        <v>267.3</v>
      </c>
      <c r="EP144" s="228">
        <v>183.77</v>
      </c>
      <c r="EQ144" s="228">
        <v>83.53</v>
      </c>
      <c r="ER144" s="229">
        <v>0.45450000000000002</v>
      </c>
      <c r="ES144" s="228">
        <v>125.62</v>
      </c>
      <c r="ET144" s="228">
        <v>102.16</v>
      </c>
      <c r="EU144" s="228">
        <v>213.49</v>
      </c>
      <c r="EV144" s="228">
        <v>0</v>
      </c>
      <c r="EW144" s="228">
        <v>441.27</v>
      </c>
      <c r="EX144" s="228">
        <v>414.08</v>
      </c>
      <c r="EY144" s="228">
        <v>27.19</v>
      </c>
      <c r="EZ144" s="229">
        <v>6.5699999999999995E-2</v>
      </c>
      <c r="FA144" s="229">
        <v>0</v>
      </c>
      <c r="FB144" s="227" t="s">
        <v>567</v>
      </c>
      <c r="FC144">
        <f t="shared" si="2"/>
        <v>26</v>
      </c>
    </row>
    <row r="145" spans="1:159" ht="17.25" thickBot="1" x14ac:dyDescent="0.3">
      <c r="A145" s="226">
        <v>46009</v>
      </c>
      <c r="B145" s="227" t="s">
        <v>227</v>
      </c>
      <c r="C145" s="227" t="s">
        <v>267</v>
      </c>
      <c r="D145" s="228">
        <v>6750</v>
      </c>
      <c r="E145" s="228">
        <v>12</v>
      </c>
      <c r="F145" s="228">
        <v>76.72</v>
      </c>
      <c r="G145" s="228">
        <v>77.349999999999994</v>
      </c>
      <c r="H145" s="228">
        <v>-0.63</v>
      </c>
      <c r="I145" s="229">
        <v>-8.0999999999999996E-3</v>
      </c>
      <c r="J145" s="228">
        <v>76.510000000000005</v>
      </c>
      <c r="K145" s="228">
        <v>77.28</v>
      </c>
      <c r="L145" s="228">
        <v>-0.77</v>
      </c>
      <c r="M145" s="229">
        <v>-0.01</v>
      </c>
      <c r="N145" s="228">
        <v>76.72</v>
      </c>
      <c r="O145" s="228">
        <v>77.349999999999994</v>
      </c>
      <c r="P145" s="228">
        <v>-0.63</v>
      </c>
      <c r="Q145" s="229">
        <v>-8.0999999999999996E-3</v>
      </c>
      <c r="R145" s="228">
        <v>77.12</v>
      </c>
      <c r="S145" s="228">
        <v>77.66</v>
      </c>
      <c r="T145" s="228">
        <v>-0.54</v>
      </c>
      <c r="U145" s="229">
        <v>-7.0000000000000001E-3</v>
      </c>
      <c r="V145" s="228">
        <v>77.38</v>
      </c>
      <c r="W145" s="228">
        <v>78.06</v>
      </c>
      <c r="X145" s="228">
        <v>-0.68</v>
      </c>
      <c r="Y145" s="229">
        <v>-8.6999999999999994E-3</v>
      </c>
      <c r="Z145" s="228">
        <v>0.21</v>
      </c>
      <c r="AA145" s="228">
        <v>7.0000000000000007E-2</v>
      </c>
      <c r="AB145" s="228">
        <v>0.14000000000000001</v>
      </c>
      <c r="AC145" s="229">
        <v>2.7000000000000001E-3</v>
      </c>
      <c r="AD145" s="228">
        <v>0.21</v>
      </c>
      <c r="AE145" s="228">
        <v>7.0000000000000007E-2</v>
      </c>
      <c r="AF145" s="228">
        <v>0.14000000000000001</v>
      </c>
      <c r="AG145" s="229">
        <v>2.7000000000000001E-3</v>
      </c>
      <c r="AH145" s="228">
        <v>0.61</v>
      </c>
      <c r="AI145" s="228">
        <v>0.38</v>
      </c>
      <c r="AJ145" s="228">
        <v>0.23</v>
      </c>
      <c r="AK145" s="229">
        <v>8.0000000000000002E-3</v>
      </c>
      <c r="AL145" s="228">
        <v>0.87</v>
      </c>
      <c r="AM145" s="228">
        <v>0.78</v>
      </c>
      <c r="AN145" s="228">
        <v>0.09</v>
      </c>
      <c r="AO145" s="229">
        <v>1.14E-2</v>
      </c>
      <c r="AP145" s="228">
        <v>77.099999999999994</v>
      </c>
      <c r="AQ145" s="228">
        <v>77.44</v>
      </c>
      <c r="AR145" s="228">
        <v>0</v>
      </c>
      <c r="AS145" s="228">
        <v>208</v>
      </c>
      <c r="AT145" s="228">
        <v>222</v>
      </c>
      <c r="AU145" s="228">
        <v>-14</v>
      </c>
      <c r="AV145" s="229">
        <v>-6.4600000000000005E-2</v>
      </c>
      <c r="AW145" s="228">
        <v>157</v>
      </c>
      <c r="AX145" s="228">
        <v>171</v>
      </c>
      <c r="AY145" s="228">
        <v>-13</v>
      </c>
      <c r="AZ145" s="229">
        <v>-7.7399999999999997E-2</v>
      </c>
      <c r="BA145" s="228">
        <v>47</v>
      </c>
      <c r="BB145" s="228">
        <v>47</v>
      </c>
      <c r="BC145" s="228">
        <v>0</v>
      </c>
      <c r="BD145" s="229">
        <v>1.1000000000000001E-3</v>
      </c>
      <c r="BE145" s="228">
        <v>3</v>
      </c>
      <c r="BF145" s="228">
        <v>5</v>
      </c>
      <c r="BG145" s="228">
        <v>-1</v>
      </c>
      <c r="BH145" s="229">
        <v>-0.25840000000000002</v>
      </c>
      <c r="BI145" s="228">
        <v>371</v>
      </c>
      <c r="BJ145" s="228">
        <v>544</v>
      </c>
      <c r="BK145" s="228">
        <v>-173</v>
      </c>
      <c r="BL145" s="229">
        <v>-0.31719999999999998</v>
      </c>
      <c r="BM145" s="228">
        <v>199</v>
      </c>
      <c r="BN145" s="228">
        <v>175</v>
      </c>
      <c r="BO145" s="228">
        <v>24</v>
      </c>
      <c r="BP145" s="229">
        <v>0.13489999999999999</v>
      </c>
      <c r="BQ145" s="228">
        <v>778</v>
      </c>
      <c r="BR145" s="228">
        <v>941</v>
      </c>
      <c r="BS145" s="228">
        <v>-163</v>
      </c>
      <c r="BT145" s="229">
        <v>-0.1734</v>
      </c>
      <c r="BU145" s="230">
        <v>9357110</v>
      </c>
      <c r="BV145" s="230">
        <v>8935807</v>
      </c>
      <c r="BW145" s="230">
        <v>421303</v>
      </c>
      <c r="BX145" s="229">
        <v>4.7100000000000003E-2</v>
      </c>
      <c r="BY145" s="230">
        <v>2610</v>
      </c>
      <c r="BZ145" s="230">
        <v>2600</v>
      </c>
      <c r="CA145" s="228">
        <v>10</v>
      </c>
      <c r="CB145" s="229">
        <v>3.8E-3</v>
      </c>
      <c r="CC145" s="230">
        <v>2468</v>
      </c>
      <c r="CD145" s="230">
        <v>2474</v>
      </c>
      <c r="CE145" s="228">
        <v>-6</v>
      </c>
      <c r="CF145" s="229">
        <v>-2.5999999999999999E-3</v>
      </c>
      <c r="CG145" s="228">
        <v>130</v>
      </c>
      <c r="CH145" s="228">
        <v>114</v>
      </c>
      <c r="CI145" s="228">
        <v>16</v>
      </c>
      <c r="CJ145" s="229">
        <v>0.1391</v>
      </c>
      <c r="CK145" s="228">
        <v>12</v>
      </c>
      <c r="CL145" s="228">
        <v>12</v>
      </c>
      <c r="CM145" s="228">
        <v>0</v>
      </c>
      <c r="CN145" s="229">
        <v>2.69E-2</v>
      </c>
      <c r="CO145" s="228">
        <v>816</v>
      </c>
      <c r="CP145" s="228">
        <v>818</v>
      </c>
      <c r="CQ145" s="228">
        <v>-2</v>
      </c>
      <c r="CR145" s="229">
        <v>-2E-3</v>
      </c>
      <c r="CS145" s="228">
        <v>557</v>
      </c>
      <c r="CT145" s="228">
        <v>555</v>
      </c>
      <c r="CU145" s="228">
        <v>2</v>
      </c>
      <c r="CV145" s="229">
        <v>3.8E-3</v>
      </c>
      <c r="CW145" s="230">
        <v>3984</v>
      </c>
      <c r="CX145" s="230">
        <v>3973</v>
      </c>
      <c r="CY145" s="228">
        <v>10</v>
      </c>
      <c r="CZ145" s="229">
        <v>2.5999999999999999E-3</v>
      </c>
      <c r="DA145" s="228">
        <v>23.41</v>
      </c>
      <c r="DB145" s="228">
        <v>23.65</v>
      </c>
      <c r="DC145" s="228">
        <v>-0.24</v>
      </c>
      <c r="DD145" s="228">
        <v>-0.24</v>
      </c>
      <c r="DE145" s="228">
        <v>37.15</v>
      </c>
      <c r="DF145" s="228">
        <v>37.229999999999997</v>
      </c>
      <c r="DG145" s="228">
        <v>-13.74</v>
      </c>
      <c r="DH145" s="228">
        <v>-0.08</v>
      </c>
      <c r="DI145" s="228">
        <v>23.52</v>
      </c>
      <c r="DJ145" s="228">
        <v>23.55</v>
      </c>
      <c r="DK145" s="228">
        <v>-0.03</v>
      </c>
      <c r="DL145" s="228">
        <v>-0.03</v>
      </c>
      <c r="DM145" s="228">
        <v>23.2</v>
      </c>
      <c r="DN145" s="228">
        <v>23.98</v>
      </c>
      <c r="DO145" s="228">
        <v>-0.78</v>
      </c>
      <c r="DP145" s="228">
        <v>-0.78</v>
      </c>
      <c r="DQ145" s="228">
        <v>0.68</v>
      </c>
      <c r="DR145" s="228">
        <v>0.68</v>
      </c>
      <c r="DS145" s="228">
        <v>0</v>
      </c>
      <c r="DT145" s="229">
        <v>0</v>
      </c>
      <c r="DU145" s="228">
        <v>80</v>
      </c>
      <c r="DV145" s="228">
        <v>85</v>
      </c>
      <c r="DW145" s="228">
        <v>0.54</v>
      </c>
      <c r="DX145" s="228">
        <v>0.32</v>
      </c>
      <c r="DY145" s="228">
        <v>0.22</v>
      </c>
      <c r="DZ145" s="229">
        <v>0.6875</v>
      </c>
      <c r="EA145" s="229">
        <v>5.4399999999999997E-2</v>
      </c>
      <c r="EB145" s="230">
        <v>16402500</v>
      </c>
      <c r="EC145" s="229">
        <v>5.1999999999999998E-3</v>
      </c>
      <c r="ED145" s="229">
        <v>5.4399999999999997E-2</v>
      </c>
      <c r="EE145" s="228">
        <v>0.34</v>
      </c>
      <c r="EF145" s="229">
        <v>4.4000000000000003E-3</v>
      </c>
      <c r="EG145" s="230">
        <v>4295202</v>
      </c>
      <c r="EH145" s="230">
        <v>3938182</v>
      </c>
      <c r="EI145" s="229">
        <v>9.0700000000000003E-2</v>
      </c>
      <c r="EJ145" s="229">
        <v>0.45900000000000002</v>
      </c>
      <c r="EK145" s="228">
        <v>387.03</v>
      </c>
      <c r="EL145" s="228">
        <v>197.35</v>
      </c>
      <c r="EM145" s="228">
        <v>208.88</v>
      </c>
      <c r="EN145" s="228">
        <v>50.2</v>
      </c>
      <c r="EO145" s="228">
        <v>793.26</v>
      </c>
      <c r="EP145" s="228">
        <v>965.48</v>
      </c>
      <c r="EQ145" s="228">
        <v>-172.22</v>
      </c>
      <c r="ER145" s="229">
        <v>-0.1784</v>
      </c>
      <c r="ES145" s="228">
        <v>844.75</v>
      </c>
      <c r="ET145" s="228">
        <v>539.21</v>
      </c>
      <c r="EU145" s="231">
        <v>2610.85</v>
      </c>
      <c r="EV145" s="231">
        <v>517037525</v>
      </c>
      <c r="EW145" s="231">
        <v>3994.8</v>
      </c>
      <c r="EX145" s="231">
        <v>4005.92</v>
      </c>
      <c r="EY145" s="228">
        <v>-11.12</v>
      </c>
      <c r="EZ145" s="229">
        <v>-2.8E-3</v>
      </c>
      <c r="FA145" s="229">
        <v>1.0043</v>
      </c>
      <c r="FB145" s="227" t="s">
        <v>567</v>
      </c>
      <c r="FC145">
        <f t="shared" si="2"/>
        <v>142</v>
      </c>
    </row>
    <row r="146" spans="1:159" ht="17.25" thickBot="1" x14ac:dyDescent="0.3">
      <c r="A146" s="226">
        <v>46009</v>
      </c>
      <c r="B146" s="227" t="s">
        <v>161</v>
      </c>
      <c r="C146" s="227" t="s">
        <v>268</v>
      </c>
      <c r="D146" s="228">
        <v>1500</v>
      </c>
      <c r="E146" s="228">
        <v>12</v>
      </c>
      <c r="F146" s="228">
        <v>319.10000000000002</v>
      </c>
      <c r="G146" s="228">
        <v>321.5</v>
      </c>
      <c r="H146" s="228">
        <v>-2.4</v>
      </c>
      <c r="I146" s="229">
        <v>-7.4999999999999997E-3</v>
      </c>
      <c r="J146" s="228">
        <v>318.5</v>
      </c>
      <c r="K146" s="228">
        <v>321.25</v>
      </c>
      <c r="L146" s="228">
        <v>-2.75</v>
      </c>
      <c r="M146" s="229">
        <v>-8.6E-3</v>
      </c>
      <c r="N146" s="228">
        <v>319.10000000000002</v>
      </c>
      <c r="O146" s="228">
        <v>321.5</v>
      </c>
      <c r="P146" s="228">
        <v>-2.4</v>
      </c>
      <c r="Q146" s="229">
        <v>-7.4999999999999997E-3</v>
      </c>
      <c r="R146" s="228">
        <v>321.10000000000002</v>
      </c>
      <c r="S146" s="228">
        <v>323.5</v>
      </c>
      <c r="T146" s="228">
        <v>-2.4</v>
      </c>
      <c r="U146" s="229">
        <v>-7.4000000000000003E-3</v>
      </c>
      <c r="V146" s="228">
        <v>320.75</v>
      </c>
      <c r="W146" s="228">
        <v>323</v>
      </c>
      <c r="X146" s="228">
        <v>-2.25</v>
      </c>
      <c r="Y146" s="229">
        <v>-7.0000000000000001E-3</v>
      </c>
      <c r="Z146" s="228">
        <v>0.6</v>
      </c>
      <c r="AA146" s="228">
        <v>0.25</v>
      </c>
      <c r="AB146" s="228">
        <v>0.35</v>
      </c>
      <c r="AC146" s="229">
        <v>1.9E-3</v>
      </c>
      <c r="AD146" s="228">
        <v>0.6</v>
      </c>
      <c r="AE146" s="228">
        <v>0.25</v>
      </c>
      <c r="AF146" s="228">
        <v>0.35</v>
      </c>
      <c r="AG146" s="229">
        <v>1.9E-3</v>
      </c>
      <c r="AH146" s="228">
        <v>2.6</v>
      </c>
      <c r="AI146" s="228">
        <v>2.25</v>
      </c>
      <c r="AJ146" s="228">
        <v>0.35</v>
      </c>
      <c r="AK146" s="229">
        <v>8.2000000000000007E-3</v>
      </c>
      <c r="AL146" s="228">
        <v>2.25</v>
      </c>
      <c r="AM146" s="228">
        <v>1.75</v>
      </c>
      <c r="AN146" s="228">
        <v>0.5</v>
      </c>
      <c r="AO146" s="229">
        <v>7.1000000000000004E-3</v>
      </c>
      <c r="AP146" s="228">
        <v>318.97000000000003</v>
      </c>
      <c r="AQ146" s="228">
        <v>320.88</v>
      </c>
      <c r="AR146" s="228">
        <v>0</v>
      </c>
      <c r="AS146" s="228">
        <v>317</v>
      </c>
      <c r="AT146" s="228">
        <v>177</v>
      </c>
      <c r="AU146" s="228">
        <v>141</v>
      </c>
      <c r="AV146" s="229">
        <v>0.79690000000000005</v>
      </c>
      <c r="AW146" s="228">
        <v>207</v>
      </c>
      <c r="AX146" s="228">
        <v>154</v>
      </c>
      <c r="AY146" s="228">
        <v>52</v>
      </c>
      <c r="AZ146" s="229">
        <v>0.33750000000000002</v>
      </c>
      <c r="BA146" s="228">
        <v>105</v>
      </c>
      <c r="BB146" s="228">
        <v>20</v>
      </c>
      <c r="BC146" s="228">
        <v>85</v>
      </c>
      <c r="BD146" s="229">
        <v>4.1886999999999999</v>
      </c>
      <c r="BE146" s="228">
        <v>5</v>
      </c>
      <c r="BF146" s="228">
        <v>2</v>
      </c>
      <c r="BG146" s="228">
        <v>4</v>
      </c>
      <c r="BH146" s="229">
        <v>2</v>
      </c>
      <c r="BI146" s="228">
        <v>726</v>
      </c>
      <c r="BJ146" s="228">
        <v>463</v>
      </c>
      <c r="BK146" s="228">
        <v>263</v>
      </c>
      <c r="BL146" s="229">
        <v>0.5675</v>
      </c>
      <c r="BM146" s="228">
        <v>408</v>
      </c>
      <c r="BN146" s="228">
        <v>239</v>
      </c>
      <c r="BO146" s="228">
        <v>169</v>
      </c>
      <c r="BP146" s="229">
        <v>0.70830000000000004</v>
      </c>
      <c r="BQ146" s="230">
        <v>1452</v>
      </c>
      <c r="BR146" s="228">
        <v>879</v>
      </c>
      <c r="BS146" s="228">
        <v>573</v>
      </c>
      <c r="BT146" s="229">
        <v>0.65180000000000005</v>
      </c>
      <c r="BU146" s="230">
        <v>6203679</v>
      </c>
      <c r="BV146" s="230">
        <v>5153393</v>
      </c>
      <c r="BW146" s="230">
        <v>1050286</v>
      </c>
      <c r="BX146" s="229">
        <v>0.20380000000000001</v>
      </c>
      <c r="BY146" s="230">
        <v>2947</v>
      </c>
      <c r="BZ146" s="230">
        <v>2920</v>
      </c>
      <c r="CA146" s="228">
        <v>27</v>
      </c>
      <c r="CB146" s="229">
        <v>9.1999999999999998E-3</v>
      </c>
      <c r="CC146" s="230">
        <v>2602</v>
      </c>
      <c r="CD146" s="230">
        <v>2664</v>
      </c>
      <c r="CE146" s="228">
        <v>-62</v>
      </c>
      <c r="CF146" s="229">
        <v>-2.3199999999999998E-2</v>
      </c>
      <c r="CG146" s="228">
        <v>323</v>
      </c>
      <c r="CH146" s="228">
        <v>237</v>
      </c>
      <c r="CI146" s="228">
        <v>86</v>
      </c>
      <c r="CJ146" s="229">
        <v>0.36330000000000001</v>
      </c>
      <c r="CK146" s="228">
        <v>22</v>
      </c>
      <c r="CL146" s="228">
        <v>19</v>
      </c>
      <c r="CM146" s="228">
        <v>3</v>
      </c>
      <c r="CN146" s="229">
        <v>0.1447</v>
      </c>
      <c r="CO146" s="230">
        <v>1165</v>
      </c>
      <c r="CP146" s="230">
        <v>1124</v>
      </c>
      <c r="CQ146" s="228">
        <v>41</v>
      </c>
      <c r="CR146" s="229">
        <v>3.6499999999999998E-2</v>
      </c>
      <c r="CS146" s="228">
        <v>704</v>
      </c>
      <c r="CT146" s="228">
        <v>695</v>
      </c>
      <c r="CU146" s="228">
        <v>10</v>
      </c>
      <c r="CV146" s="229">
        <v>1.4200000000000001E-2</v>
      </c>
      <c r="CW146" s="230">
        <v>4816</v>
      </c>
      <c r="CX146" s="230">
        <v>4738</v>
      </c>
      <c r="CY146" s="228">
        <v>78</v>
      </c>
      <c r="CZ146" s="229">
        <v>1.6400000000000001E-2</v>
      </c>
      <c r="DA146" s="228">
        <v>14.75</v>
      </c>
      <c r="DB146" s="228">
        <v>14.38</v>
      </c>
      <c r="DC146" s="228">
        <v>0.37</v>
      </c>
      <c r="DD146" s="228">
        <v>0.37</v>
      </c>
      <c r="DE146" s="228">
        <v>26.66</v>
      </c>
      <c r="DF146" s="228">
        <v>26.7</v>
      </c>
      <c r="DG146" s="228">
        <v>-11.91</v>
      </c>
      <c r="DH146" s="228">
        <v>-0.04</v>
      </c>
      <c r="DI146" s="228">
        <v>14.77</v>
      </c>
      <c r="DJ146" s="228">
        <v>14.53</v>
      </c>
      <c r="DK146" s="228">
        <v>0.24</v>
      </c>
      <c r="DL146" s="228">
        <v>0.24</v>
      </c>
      <c r="DM146" s="228">
        <v>14.71</v>
      </c>
      <c r="DN146" s="228">
        <v>14.1</v>
      </c>
      <c r="DO146" s="228">
        <v>0.61</v>
      </c>
      <c r="DP146" s="228">
        <v>0.61</v>
      </c>
      <c r="DQ146" s="228">
        <v>0.6</v>
      </c>
      <c r="DR146" s="228">
        <v>0.62</v>
      </c>
      <c r="DS146" s="228">
        <v>-0.02</v>
      </c>
      <c r="DT146" s="229">
        <v>-3.2300000000000002E-2</v>
      </c>
      <c r="DU146" s="228">
        <v>325</v>
      </c>
      <c r="DV146" s="228">
        <v>320</v>
      </c>
      <c r="DW146" s="228">
        <v>0.56000000000000005</v>
      </c>
      <c r="DX146" s="228">
        <v>0.52</v>
      </c>
      <c r="DY146" s="228">
        <v>0.04</v>
      </c>
      <c r="DZ146" s="229">
        <v>7.6899999999999996E-2</v>
      </c>
      <c r="EA146" s="229">
        <v>0.1168</v>
      </c>
      <c r="EB146" s="230">
        <v>8007000</v>
      </c>
      <c r="EC146" s="229">
        <v>6.3E-3</v>
      </c>
      <c r="ED146" s="229">
        <v>0.1168</v>
      </c>
      <c r="EE146" s="228">
        <v>1.91</v>
      </c>
      <c r="EF146" s="229">
        <v>6.0000000000000001E-3</v>
      </c>
      <c r="EG146" s="230">
        <v>3948619</v>
      </c>
      <c r="EH146" s="230">
        <v>3813774</v>
      </c>
      <c r="EI146" s="229">
        <v>3.5400000000000001E-2</v>
      </c>
      <c r="EJ146" s="229">
        <v>0.63649999999999995</v>
      </c>
      <c r="EK146" s="228">
        <v>742.17</v>
      </c>
      <c r="EL146" s="228">
        <v>410.7</v>
      </c>
      <c r="EM146" s="228">
        <v>317.72000000000003</v>
      </c>
      <c r="EN146" s="228">
        <v>41.28</v>
      </c>
      <c r="EO146" s="231">
        <v>1470.6</v>
      </c>
      <c r="EP146" s="228">
        <v>896.64</v>
      </c>
      <c r="EQ146" s="228">
        <v>573.96</v>
      </c>
      <c r="ER146" s="229">
        <v>0.6401</v>
      </c>
      <c r="ES146" s="231">
        <v>1221.42</v>
      </c>
      <c r="ET146" s="228">
        <v>712.16</v>
      </c>
      <c r="EU146" s="231">
        <v>2948.8</v>
      </c>
      <c r="EV146" s="231">
        <v>572782298</v>
      </c>
      <c r="EW146" s="231">
        <v>4882.38</v>
      </c>
      <c r="EX146" s="231">
        <v>4826.96</v>
      </c>
      <c r="EY146" s="228">
        <v>55.42</v>
      </c>
      <c r="EZ146" s="229">
        <v>1.15E-2</v>
      </c>
      <c r="FA146" s="229">
        <v>0.26350000000000001</v>
      </c>
      <c r="FB146" s="227" t="s">
        <v>567</v>
      </c>
      <c r="FC146">
        <f t="shared" si="2"/>
        <v>345</v>
      </c>
    </row>
    <row r="147" spans="1:159" ht="17.25" thickBot="1" x14ac:dyDescent="0.3">
      <c r="A147" s="226">
        <v>46009</v>
      </c>
      <c r="B147" s="227" t="s">
        <v>175</v>
      </c>
      <c r="C147" s="227" t="s">
        <v>686</v>
      </c>
      <c r="D147" s="228">
        <v>75</v>
      </c>
      <c r="E147" s="228">
        <v>12</v>
      </c>
      <c r="F147" s="231">
        <v>7331.5</v>
      </c>
      <c r="G147" s="231">
        <v>7201.5</v>
      </c>
      <c r="H147" s="228">
        <v>130</v>
      </c>
      <c r="I147" s="229">
        <v>1.8100000000000002E-2</v>
      </c>
      <c r="J147" s="231">
        <v>7301.5</v>
      </c>
      <c r="K147" s="231">
        <v>7171</v>
      </c>
      <c r="L147" s="228">
        <v>130.5</v>
      </c>
      <c r="M147" s="229">
        <v>1.8200000000000001E-2</v>
      </c>
      <c r="N147" s="231">
        <v>7331.5</v>
      </c>
      <c r="O147" s="231">
        <v>7201.5</v>
      </c>
      <c r="P147" s="228">
        <v>130</v>
      </c>
      <c r="Q147" s="229">
        <v>1.8100000000000002E-2</v>
      </c>
      <c r="R147" s="231">
        <v>7352.5</v>
      </c>
      <c r="S147" s="231">
        <v>7239.5</v>
      </c>
      <c r="T147" s="228">
        <v>113</v>
      </c>
      <c r="U147" s="229">
        <v>1.5599999999999999E-2</v>
      </c>
      <c r="V147" s="231">
        <v>7360</v>
      </c>
      <c r="W147" s="231">
        <v>7252</v>
      </c>
      <c r="X147" s="228">
        <v>108</v>
      </c>
      <c r="Y147" s="229">
        <v>1.49E-2</v>
      </c>
      <c r="Z147" s="228">
        <v>30</v>
      </c>
      <c r="AA147" s="228">
        <v>30.5</v>
      </c>
      <c r="AB147" s="228">
        <v>-0.5</v>
      </c>
      <c r="AC147" s="229">
        <v>4.1000000000000003E-3</v>
      </c>
      <c r="AD147" s="228">
        <v>30</v>
      </c>
      <c r="AE147" s="228">
        <v>30.5</v>
      </c>
      <c r="AF147" s="228">
        <v>-0.5</v>
      </c>
      <c r="AG147" s="229">
        <v>4.1000000000000003E-3</v>
      </c>
      <c r="AH147" s="228">
        <v>51</v>
      </c>
      <c r="AI147" s="228">
        <v>68.5</v>
      </c>
      <c r="AJ147" s="228">
        <v>-17.5</v>
      </c>
      <c r="AK147" s="229">
        <v>7.0000000000000001E-3</v>
      </c>
      <c r="AL147" s="228">
        <v>58.5</v>
      </c>
      <c r="AM147" s="228">
        <v>81</v>
      </c>
      <c r="AN147" s="228">
        <v>-22.5</v>
      </c>
      <c r="AO147" s="229">
        <v>8.0000000000000002E-3</v>
      </c>
      <c r="AP147" s="231">
        <v>7370.52</v>
      </c>
      <c r="AQ147" s="231">
        <v>7406.43</v>
      </c>
      <c r="AR147" s="228">
        <v>0</v>
      </c>
      <c r="AS147" s="228">
        <v>252</v>
      </c>
      <c r="AT147" s="228">
        <v>55</v>
      </c>
      <c r="AU147" s="228">
        <v>197</v>
      </c>
      <c r="AV147" s="229">
        <v>3.5855999999999999</v>
      </c>
      <c r="AW147" s="228">
        <v>230</v>
      </c>
      <c r="AX147" s="228">
        <v>48</v>
      </c>
      <c r="AY147" s="228">
        <v>183</v>
      </c>
      <c r="AZ147" s="229">
        <v>3.8292999999999999</v>
      </c>
      <c r="BA147" s="228">
        <v>21</v>
      </c>
      <c r="BB147" s="228">
        <v>7</v>
      </c>
      <c r="BC147" s="228">
        <v>14</v>
      </c>
      <c r="BD147" s="229">
        <v>1.9318</v>
      </c>
      <c r="BE147" s="228">
        <v>0</v>
      </c>
      <c r="BF147" s="228">
        <v>0</v>
      </c>
      <c r="BG147" s="228">
        <v>0</v>
      </c>
      <c r="BH147" s="229">
        <v>0</v>
      </c>
      <c r="BI147" s="230">
        <v>2793</v>
      </c>
      <c r="BJ147" s="228">
        <v>182</v>
      </c>
      <c r="BK147" s="230">
        <v>2612</v>
      </c>
      <c r="BL147" s="229">
        <v>14.3794</v>
      </c>
      <c r="BM147" s="228">
        <v>867</v>
      </c>
      <c r="BN147" s="228">
        <v>169</v>
      </c>
      <c r="BO147" s="228">
        <v>697</v>
      </c>
      <c r="BP147" s="229">
        <v>4.1148999999999996</v>
      </c>
      <c r="BQ147" s="230">
        <v>3912</v>
      </c>
      <c r="BR147" s="228">
        <v>406</v>
      </c>
      <c r="BS147" s="230">
        <v>3506</v>
      </c>
      <c r="BT147" s="229">
        <v>8.6354000000000006</v>
      </c>
      <c r="BU147" s="230">
        <v>344360</v>
      </c>
      <c r="BV147" s="230">
        <v>42147</v>
      </c>
      <c r="BW147" s="230">
        <v>302213</v>
      </c>
      <c r="BX147" s="229">
        <v>7.1704999999999997</v>
      </c>
      <c r="BY147" s="228">
        <v>314</v>
      </c>
      <c r="BZ147" s="228">
        <v>276</v>
      </c>
      <c r="CA147" s="228">
        <v>38</v>
      </c>
      <c r="CB147" s="229">
        <v>0.13650000000000001</v>
      </c>
      <c r="CC147" s="228">
        <v>295</v>
      </c>
      <c r="CD147" s="228">
        <v>263</v>
      </c>
      <c r="CE147" s="228">
        <v>32</v>
      </c>
      <c r="CF147" s="229">
        <v>0.1216</v>
      </c>
      <c r="CG147" s="228">
        <v>17</v>
      </c>
      <c r="CH147" s="228">
        <v>12</v>
      </c>
      <c r="CI147" s="228">
        <v>5</v>
      </c>
      <c r="CJ147" s="229">
        <v>0.45960000000000001</v>
      </c>
      <c r="CK147" s="228">
        <v>2</v>
      </c>
      <c r="CL147" s="228">
        <v>1</v>
      </c>
      <c r="CM147" s="228">
        <v>0</v>
      </c>
      <c r="CN147" s="229">
        <v>0.23530000000000001</v>
      </c>
      <c r="CO147" s="228">
        <v>329</v>
      </c>
      <c r="CP147" s="228">
        <v>228</v>
      </c>
      <c r="CQ147" s="228">
        <v>101</v>
      </c>
      <c r="CR147" s="229">
        <v>0.44069999999999998</v>
      </c>
      <c r="CS147" s="228">
        <v>170</v>
      </c>
      <c r="CT147" s="228">
        <v>143</v>
      </c>
      <c r="CU147" s="228">
        <v>27</v>
      </c>
      <c r="CV147" s="229">
        <v>0.18970000000000001</v>
      </c>
      <c r="CW147" s="228">
        <v>812</v>
      </c>
      <c r="CX147" s="228">
        <v>647</v>
      </c>
      <c r="CY147" s="228">
        <v>165</v>
      </c>
      <c r="CZ147" s="229">
        <v>0.2555</v>
      </c>
      <c r="DA147" s="228">
        <v>31.05</v>
      </c>
      <c r="DB147" s="228">
        <v>30.96</v>
      </c>
      <c r="DC147" s="228">
        <v>0.09</v>
      </c>
      <c r="DD147" s="228">
        <v>0.09</v>
      </c>
      <c r="DE147" s="228">
        <v>48.89</v>
      </c>
      <c r="DF147" s="228">
        <v>48.95</v>
      </c>
      <c r="DG147" s="228">
        <v>-17.84</v>
      </c>
      <c r="DH147" s="228">
        <v>-0.06</v>
      </c>
      <c r="DI147" s="228">
        <v>30.6</v>
      </c>
      <c r="DJ147" s="228">
        <v>29.27</v>
      </c>
      <c r="DK147" s="228">
        <v>1.33</v>
      </c>
      <c r="DL147" s="228">
        <v>1.33</v>
      </c>
      <c r="DM147" s="228">
        <v>32.49</v>
      </c>
      <c r="DN147" s="228">
        <v>32.76</v>
      </c>
      <c r="DO147" s="228">
        <v>-0.27</v>
      </c>
      <c r="DP147" s="228">
        <v>-0.27</v>
      </c>
      <c r="DQ147" s="228">
        <v>0.52</v>
      </c>
      <c r="DR147" s="228">
        <v>0.62</v>
      </c>
      <c r="DS147" s="228">
        <v>-0.1</v>
      </c>
      <c r="DT147" s="229">
        <v>-0.1613</v>
      </c>
      <c r="DU147" s="231">
        <v>7500</v>
      </c>
      <c r="DV147" s="231">
        <v>6500</v>
      </c>
      <c r="DW147" s="228">
        <v>0.31</v>
      </c>
      <c r="DX147" s="228">
        <v>0.93</v>
      </c>
      <c r="DY147" s="228">
        <v>-0.62</v>
      </c>
      <c r="DZ147" s="229">
        <v>-0.66669999999999996</v>
      </c>
      <c r="EA147" s="229">
        <v>5.9799999999999999E-2</v>
      </c>
      <c r="EB147" s="230">
        <v>17800</v>
      </c>
      <c r="EC147" s="229">
        <v>2.8999999999999998E-3</v>
      </c>
      <c r="ED147" s="229">
        <v>5.9799999999999999E-2</v>
      </c>
      <c r="EE147" s="228">
        <v>35.909999999999997</v>
      </c>
      <c r="EF147" s="229">
        <v>4.8999999999999998E-3</v>
      </c>
      <c r="EG147" s="230">
        <v>69328</v>
      </c>
      <c r="EH147" s="230">
        <v>17750</v>
      </c>
      <c r="EI147" s="229">
        <v>2.9058000000000002</v>
      </c>
      <c r="EJ147" s="229">
        <v>0.20130000000000001</v>
      </c>
      <c r="EK147" s="231">
        <v>2933.14</v>
      </c>
      <c r="EL147" s="228">
        <v>850.73</v>
      </c>
      <c r="EM147" s="228">
        <v>260.64</v>
      </c>
      <c r="EN147" s="228">
        <v>12.17</v>
      </c>
      <c r="EO147" s="231">
        <v>4044.51</v>
      </c>
      <c r="EP147" s="228">
        <v>409.08</v>
      </c>
      <c r="EQ147" s="231">
        <v>3635.43</v>
      </c>
      <c r="ER147" s="229">
        <v>8.8867999999999991</v>
      </c>
      <c r="ES147" s="228">
        <v>340.82</v>
      </c>
      <c r="ET147" s="228">
        <v>161.94999999999999</v>
      </c>
      <c r="EU147" s="228">
        <v>314.10000000000002</v>
      </c>
      <c r="EV147" s="231">
        <v>2444664</v>
      </c>
      <c r="EW147" s="228">
        <v>816.87</v>
      </c>
      <c r="EX147" s="228">
        <v>642.41999999999996</v>
      </c>
      <c r="EY147" s="228">
        <v>174.45</v>
      </c>
      <c r="EZ147" s="229">
        <v>0.27160000000000001</v>
      </c>
      <c r="FA147" s="229">
        <v>0.45329999999999998</v>
      </c>
      <c r="FB147" s="227" t="s">
        <v>555</v>
      </c>
      <c r="FC147">
        <f t="shared" si="2"/>
        <v>19</v>
      </c>
    </row>
    <row r="148" spans="1:159" ht="17.25" thickBot="1" x14ac:dyDescent="0.3">
      <c r="A148" s="226">
        <v>46009</v>
      </c>
      <c r="B148" s="227" t="s">
        <v>615</v>
      </c>
      <c r="C148" s="227" t="s">
        <v>613</v>
      </c>
      <c r="D148" s="228">
        <v>3125</v>
      </c>
      <c r="E148" s="228">
        <v>12</v>
      </c>
      <c r="F148" s="228">
        <v>245.05</v>
      </c>
      <c r="G148" s="228">
        <v>246.05</v>
      </c>
      <c r="H148" s="228">
        <v>-1</v>
      </c>
      <c r="I148" s="229">
        <v>-4.1000000000000003E-3</v>
      </c>
      <c r="J148" s="228">
        <v>244.1</v>
      </c>
      <c r="K148" s="228">
        <v>245.1</v>
      </c>
      <c r="L148" s="228">
        <v>-1</v>
      </c>
      <c r="M148" s="229">
        <v>-4.1000000000000003E-3</v>
      </c>
      <c r="N148" s="228">
        <v>245.05</v>
      </c>
      <c r="O148" s="228">
        <v>246.05</v>
      </c>
      <c r="P148" s="228">
        <v>-1</v>
      </c>
      <c r="Q148" s="229">
        <v>-4.1000000000000003E-3</v>
      </c>
      <c r="R148" s="228">
        <v>245.6</v>
      </c>
      <c r="S148" s="228">
        <v>246.2</v>
      </c>
      <c r="T148" s="228">
        <v>-0.6</v>
      </c>
      <c r="U148" s="229">
        <v>-2.3999999999999998E-3</v>
      </c>
      <c r="V148" s="228">
        <v>244.25</v>
      </c>
      <c r="W148" s="228">
        <v>244.8</v>
      </c>
      <c r="X148" s="228">
        <v>-0.55000000000000004</v>
      </c>
      <c r="Y148" s="229">
        <v>-2.2000000000000001E-3</v>
      </c>
      <c r="Z148" s="228">
        <v>0.95</v>
      </c>
      <c r="AA148" s="228">
        <v>0.95</v>
      </c>
      <c r="AB148" s="228">
        <v>0</v>
      </c>
      <c r="AC148" s="229">
        <v>3.8999999999999998E-3</v>
      </c>
      <c r="AD148" s="228">
        <v>0.95</v>
      </c>
      <c r="AE148" s="228">
        <v>0.95</v>
      </c>
      <c r="AF148" s="228">
        <v>0</v>
      </c>
      <c r="AG148" s="229">
        <v>3.8999999999999998E-3</v>
      </c>
      <c r="AH148" s="228">
        <v>1.5</v>
      </c>
      <c r="AI148" s="228">
        <v>1.1000000000000001</v>
      </c>
      <c r="AJ148" s="228">
        <v>0.4</v>
      </c>
      <c r="AK148" s="229">
        <v>6.1000000000000004E-3</v>
      </c>
      <c r="AL148" s="228">
        <v>0.15</v>
      </c>
      <c r="AM148" s="228">
        <v>-0.3</v>
      </c>
      <c r="AN148" s="228">
        <v>0.45</v>
      </c>
      <c r="AO148" s="229">
        <v>5.9999999999999995E-4</v>
      </c>
      <c r="AP148" s="228">
        <v>244.45</v>
      </c>
      <c r="AQ148" s="228">
        <v>244.98</v>
      </c>
      <c r="AR148" s="228">
        <v>0</v>
      </c>
      <c r="AS148" s="228">
        <v>182</v>
      </c>
      <c r="AT148" s="228">
        <v>125</v>
      </c>
      <c r="AU148" s="228">
        <v>56</v>
      </c>
      <c r="AV148" s="229">
        <v>0.44929999999999998</v>
      </c>
      <c r="AW148" s="228">
        <v>154</v>
      </c>
      <c r="AX148" s="228">
        <v>104</v>
      </c>
      <c r="AY148" s="228">
        <v>50</v>
      </c>
      <c r="AZ148" s="229">
        <v>0.48120000000000002</v>
      </c>
      <c r="BA148" s="228">
        <v>27</v>
      </c>
      <c r="BB148" s="228">
        <v>20</v>
      </c>
      <c r="BC148" s="228">
        <v>7</v>
      </c>
      <c r="BD148" s="229">
        <v>0.34499999999999997</v>
      </c>
      <c r="BE148" s="228">
        <v>1</v>
      </c>
      <c r="BF148" s="228">
        <v>2</v>
      </c>
      <c r="BG148" s="228">
        <v>0</v>
      </c>
      <c r="BH148" s="229">
        <v>-0.26090000000000002</v>
      </c>
      <c r="BI148" s="228">
        <v>458</v>
      </c>
      <c r="BJ148" s="228">
        <v>269</v>
      </c>
      <c r="BK148" s="228">
        <v>190</v>
      </c>
      <c r="BL148" s="229">
        <v>0.70589999999999997</v>
      </c>
      <c r="BM148" s="228">
        <v>208</v>
      </c>
      <c r="BN148" s="228">
        <v>126</v>
      </c>
      <c r="BO148" s="228">
        <v>82</v>
      </c>
      <c r="BP148" s="229">
        <v>0.65529999999999999</v>
      </c>
      <c r="BQ148" s="228">
        <v>848</v>
      </c>
      <c r="BR148" s="228">
        <v>520</v>
      </c>
      <c r="BS148" s="228">
        <v>328</v>
      </c>
      <c r="BT148" s="229">
        <v>0.63180000000000003</v>
      </c>
      <c r="BU148" s="230">
        <v>5276105</v>
      </c>
      <c r="BV148" s="230">
        <v>4219679</v>
      </c>
      <c r="BW148" s="230">
        <v>1056426</v>
      </c>
      <c r="BX148" s="229">
        <v>0.25040000000000001</v>
      </c>
      <c r="BY148" s="230">
        <v>1400</v>
      </c>
      <c r="BZ148" s="230">
        <v>1386</v>
      </c>
      <c r="CA148" s="228">
        <v>14</v>
      </c>
      <c r="CB148" s="229">
        <v>1.0200000000000001E-2</v>
      </c>
      <c r="CC148" s="230">
        <v>1326</v>
      </c>
      <c r="CD148" s="230">
        <v>1322</v>
      </c>
      <c r="CE148" s="228">
        <v>4</v>
      </c>
      <c r="CF148" s="229">
        <v>3.3E-3</v>
      </c>
      <c r="CG148" s="228">
        <v>71</v>
      </c>
      <c r="CH148" s="228">
        <v>61</v>
      </c>
      <c r="CI148" s="228">
        <v>10</v>
      </c>
      <c r="CJ148" s="229">
        <v>0.15859999999999999</v>
      </c>
      <c r="CK148" s="228">
        <v>3</v>
      </c>
      <c r="CL148" s="228">
        <v>3</v>
      </c>
      <c r="CM148" s="228">
        <v>0</v>
      </c>
      <c r="CN148" s="229">
        <v>0</v>
      </c>
      <c r="CO148" s="228">
        <v>562</v>
      </c>
      <c r="CP148" s="228">
        <v>547</v>
      </c>
      <c r="CQ148" s="228">
        <v>15</v>
      </c>
      <c r="CR148" s="229">
        <v>2.7E-2</v>
      </c>
      <c r="CS148" s="228">
        <v>231</v>
      </c>
      <c r="CT148" s="228">
        <v>225</v>
      </c>
      <c r="CU148" s="228">
        <v>6</v>
      </c>
      <c r="CV148" s="229">
        <v>2.6200000000000001E-2</v>
      </c>
      <c r="CW148" s="230">
        <v>2194</v>
      </c>
      <c r="CX148" s="230">
        <v>2159</v>
      </c>
      <c r="CY148" s="228">
        <v>35</v>
      </c>
      <c r="CZ148" s="229">
        <v>1.61E-2</v>
      </c>
      <c r="DA148" s="228">
        <v>24.89</v>
      </c>
      <c r="DB148" s="228">
        <v>26.65</v>
      </c>
      <c r="DC148" s="228">
        <v>-1.76</v>
      </c>
      <c r="DD148" s="228">
        <v>-1.76</v>
      </c>
      <c r="DE148" s="228">
        <v>35.99</v>
      </c>
      <c r="DF148" s="228">
        <v>36.08</v>
      </c>
      <c r="DG148" s="228">
        <v>-11.1</v>
      </c>
      <c r="DH148" s="228">
        <v>-0.09</v>
      </c>
      <c r="DI148" s="228">
        <v>25.68</v>
      </c>
      <c r="DJ148" s="228">
        <v>27.16</v>
      </c>
      <c r="DK148" s="228">
        <v>-1.48</v>
      </c>
      <c r="DL148" s="228">
        <v>-1.48</v>
      </c>
      <c r="DM148" s="228">
        <v>23.14</v>
      </c>
      <c r="DN148" s="228">
        <v>25.55</v>
      </c>
      <c r="DO148" s="228">
        <v>-2.41</v>
      </c>
      <c r="DP148" s="228">
        <v>-2.41</v>
      </c>
      <c r="DQ148" s="228">
        <v>0.41</v>
      </c>
      <c r="DR148" s="228">
        <v>0.41</v>
      </c>
      <c r="DS148" s="228">
        <v>0</v>
      </c>
      <c r="DT148" s="229">
        <v>0</v>
      </c>
      <c r="DU148" s="228">
        <v>270</v>
      </c>
      <c r="DV148" s="228">
        <v>240</v>
      </c>
      <c r="DW148" s="228">
        <v>0.45</v>
      </c>
      <c r="DX148" s="228">
        <v>0.47</v>
      </c>
      <c r="DY148" s="228">
        <v>-0.02</v>
      </c>
      <c r="DZ148" s="229">
        <v>-4.2599999999999999E-2</v>
      </c>
      <c r="EA148" s="229">
        <v>5.2900000000000003E-2</v>
      </c>
      <c r="EB148" s="230">
        <v>2628125</v>
      </c>
      <c r="EC148" s="229">
        <v>2.2000000000000001E-3</v>
      </c>
      <c r="ED148" s="229">
        <v>5.2900000000000003E-2</v>
      </c>
      <c r="EE148" s="228">
        <v>0.53</v>
      </c>
      <c r="EF148" s="229">
        <v>2.2000000000000001E-3</v>
      </c>
      <c r="EG148" s="230">
        <v>3429835</v>
      </c>
      <c r="EH148" s="230">
        <v>2536163</v>
      </c>
      <c r="EI148" s="229">
        <v>0.35239999999999999</v>
      </c>
      <c r="EJ148" s="229">
        <v>0.65010000000000001</v>
      </c>
      <c r="EK148" s="228">
        <v>486.22</v>
      </c>
      <c r="EL148" s="228">
        <v>207.28</v>
      </c>
      <c r="EM148" s="228">
        <v>181.18</v>
      </c>
      <c r="EN148" s="228">
        <v>21.48</v>
      </c>
      <c r="EO148" s="228">
        <v>874.67</v>
      </c>
      <c r="EP148" s="228">
        <v>537.34</v>
      </c>
      <c r="EQ148" s="228">
        <v>337.33</v>
      </c>
      <c r="ER148" s="229">
        <v>0.62780000000000002</v>
      </c>
      <c r="ES148" s="228">
        <v>616.16</v>
      </c>
      <c r="ET148" s="228">
        <v>234.31</v>
      </c>
      <c r="EU148" s="231">
        <v>1400.46</v>
      </c>
      <c r="EV148" s="231">
        <v>205324177</v>
      </c>
      <c r="EW148" s="231">
        <v>2250.9299999999998</v>
      </c>
      <c r="EX148" s="231">
        <v>2224.9</v>
      </c>
      <c r="EY148" s="228">
        <v>26.03</v>
      </c>
      <c r="EZ148" s="229">
        <v>1.17E-2</v>
      </c>
      <c r="FA148" s="229">
        <v>0.436</v>
      </c>
      <c r="FB148" s="227" t="s">
        <v>567</v>
      </c>
      <c r="FC148">
        <f>BY216-CC216</f>
        <v>0</v>
      </c>
    </row>
    <row r="149" spans="1:159" ht="17.25" thickBot="1" x14ac:dyDescent="0.3">
      <c r="A149" s="226">
        <v>46009</v>
      </c>
      <c r="B149" s="227" t="s">
        <v>206</v>
      </c>
      <c r="C149" s="227" t="s">
        <v>528</v>
      </c>
      <c r="D149" s="228">
        <v>350</v>
      </c>
      <c r="E149" s="228">
        <v>12</v>
      </c>
      <c r="F149" s="231">
        <v>1653.8</v>
      </c>
      <c r="G149" s="231">
        <v>1609.6</v>
      </c>
      <c r="H149" s="228">
        <v>44.2</v>
      </c>
      <c r="I149" s="229">
        <v>2.75E-2</v>
      </c>
      <c r="J149" s="231">
        <v>1658.2</v>
      </c>
      <c r="K149" s="231">
        <v>1609.9</v>
      </c>
      <c r="L149" s="228">
        <v>48.3</v>
      </c>
      <c r="M149" s="229">
        <v>0.03</v>
      </c>
      <c r="N149" s="231">
        <v>1653.8</v>
      </c>
      <c r="O149" s="231">
        <v>1609.6</v>
      </c>
      <c r="P149" s="228">
        <v>44.2</v>
      </c>
      <c r="Q149" s="229">
        <v>2.75E-2</v>
      </c>
      <c r="R149" s="231">
        <v>1644.8</v>
      </c>
      <c r="S149" s="231">
        <v>1602.4</v>
      </c>
      <c r="T149" s="228">
        <v>42.4</v>
      </c>
      <c r="U149" s="229">
        <v>2.6499999999999999E-2</v>
      </c>
      <c r="V149" s="231">
        <v>1630.6</v>
      </c>
      <c r="W149" s="231">
        <v>1595</v>
      </c>
      <c r="X149" s="228">
        <v>35.6</v>
      </c>
      <c r="Y149" s="229">
        <v>2.23E-2</v>
      </c>
      <c r="Z149" s="228">
        <v>-4.4000000000000004</v>
      </c>
      <c r="AA149" s="228">
        <v>-0.3</v>
      </c>
      <c r="AB149" s="228">
        <v>-4.0999999999999996</v>
      </c>
      <c r="AC149" s="229">
        <v>-2.7000000000000001E-3</v>
      </c>
      <c r="AD149" s="228">
        <v>-4.4000000000000004</v>
      </c>
      <c r="AE149" s="228">
        <v>-0.3</v>
      </c>
      <c r="AF149" s="228">
        <v>-4.0999999999999996</v>
      </c>
      <c r="AG149" s="229">
        <v>-2.7000000000000001E-3</v>
      </c>
      <c r="AH149" s="228">
        <v>-13.4</v>
      </c>
      <c r="AI149" s="228">
        <v>-7.5</v>
      </c>
      <c r="AJ149" s="228">
        <v>-5.9</v>
      </c>
      <c r="AK149" s="229">
        <v>-8.0999999999999996E-3</v>
      </c>
      <c r="AL149" s="228">
        <v>-27.6</v>
      </c>
      <c r="AM149" s="228">
        <v>-14.9</v>
      </c>
      <c r="AN149" s="228">
        <v>-12.7</v>
      </c>
      <c r="AO149" s="229">
        <v>-1.66E-2</v>
      </c>
      <c r="AP149" s="231">
        <v>1641.05</v>
      </c>
      <c r="AQ149" s="231">
        <v>1630.44</v>
      </c>
      <c r="AR149" s="228">
        <v>0</v>
      </c>
      <c r="AS149" s="228">
        <v>192</v>
      </c>
      <c r="AT149" s="228">
        <v>85</v>
      </c>
      <c r="AU149" s="228">
        <v>107</v>
      </c>
      <c r="AV149" s="229">
        <v>1.2647999999999999</v>
      </c>
      <c r="AW149" s="228">
        <v>157</v>
      </c>
      <c r="AX149" s="228">
        <v>75</v>
      </c>
      <c r="AY149" s="228">
        <v>82</v>
      </c>
      <c r="AZ149" s="229">
        <v>1.0941000000000001</v>
      </c>
      <c r="BA149" s="228">
        <v>34</v>
      </c>
      <c r="BB149" s="228">
        <v>10</v>
      </c>
      <c r="BC149" s="228">
        <v>25</v>
      </c>
      <c r="BD149" s="229">
        <v>2.5602</v>
      </c>
      <c r="BE149" s="228">
        <v>1</v>
      </c>
      <c r="BF149" s="228">
        <v>0</v>
      </c>
      <c r="BG149" s="228">
        <v>1</v>
      </c>
      <c r="BH149" s="229">
        <v>4.5</v>
      </c>
      <c r="BI149" s="228">
        <v>512</v>
      </c>
      <c r="BJ149" s="228">
        <v>191</v>
      </c>
      <c r="BK149" s="228">
        <v>321</v>
      </c>
      <c r="BL149" s="229">
        <v>1.6806000000000001</v>
      </c>
      <c r="BM149" s="228">
        <v>295</v>
      </c>
      <c r="BN149" s="228">
        <v>136</v>
      </c>
      <c r="BO149" s="228">
        <v>159</v>
      </c>
      <c r="BP149" s="229">
        <v>1.1657</v>
      </c>
      <c r="BQ149" s="228">
        <v>999</v>
      </c>
      <c r="BR149" s="228">
        <v>412</v>
      </c>
      <c r="BS149" s="228">
        <v>587</v>
      </c>
      <c r="BT149" s="229">
        <v>1.4247000000000001</v>
      </c>
      <c r="BU149" s="230">
        <v>523587</v>
      </c>
      <c r="BV149" s="230">
        <v>360675</v>
      </c>
      <c r="BW149" s="230">
        <v>162912</v>
      </c>
      <c r="BX149" s="229">
        <v>0.45169999999999999</v>
      </c>
      <c r="BY149" s="228">
        <v>799</v>
      </c>
      <c r="BZ149" s="228">
        <v>790</v>
      </c>
      <c r="CA149" s="228">
        <v>8</v>
      </c>
      <c r="CB149" s="229">
        <v>1.03E-2</v>
      </c>
      <c r="CC149" s="228">
        <v>738</v>
      </c>
      <c r="CD149" s="228">
        <v>743</v>
      </c>
      <c r="CE149" s="228">
        <v>-5</v>
      </c>
      <c r="CF149" s="229">
        <v>-6.8999999999999999E-3</v>
      </c>
      <c r="CG149" s="228">
        <v>59</v>
      </c>
      <c r="CH149" s="228">
        <v>45</v>
      </c>
      <c r="CI149" s="228">
        <v>14</v>
      </c>
      <c r="CJ149" s="229">
        <v>0.30059999999999998</v>
      </c>
      <c r="CK149" s="228">
        <v>2</v>
      </c>
      <c r="CL149" s="228">
        <v>2</v>
      </c>
      <c r="CM149" s="228">
        <v>0</v>
      </c>
      <c r="CN149" s="229">
        <v>-0.16220000000000001</v>
      </c>
      <c r="CO149" s="228">
        <v>315</v>
      </c>
      <c r="CP149" s="228">
        <v>350</v>
      </c>
      <c r="CQ149" s="228">
        <v>-35</v>
      </c>
      <c r="CR149" s="229">
        <v>-0.1008</v>
      </c>
      <c r="CS149" s="228">
        <v>226</v>
      </c>
      <c r="CT149" s="228">
        <v>217</v>
      </c>
      <c r="CU149" s="228">
        <v>9</v>
      </c>
      <c r="CV149" s="229">
        <v>4.1399999999999999E-2</v>
      </c>
      <c r="CW149" s="230">
        <v>1339</v>
      </c>
      <c r="CX149" s="230">
        <v>1357</v>
      </c>
      <c r="CY149" s="228">
        <v>-18</v>
      </c>
      <c r="CZ149" s="229">
        <v>-1.34E-2</v>
      </c>
      <c r="DA149" s="228">
        <v>24.17</v>
      </c>
      <c r="DB149" s="228">
        <v>24.35</v>
      </c>
      <c r="DC149" s="228">
        <v>-0.18</v>
      </c>
      <c r="DD149" s="228">
        <v>-0.18</v>
      </c>
      <c r="DE149" s="228">
        <v>36.909999999999997</v>
      </c>
      <c r="DF149" s="228">
        <v>36.799999999999997</v>
      </c>
      <c r="DG149" s="228">
        <v>-12.74</v>
      </c>
      <c r="DH149" s="228">
        <v>0.11</v>
      </c>
      <c r="DI149" s="228">
        <v>23.45</v>
      </c>
      <c r="DJ149" s="228">
        <v>24.67</v>
      </c>
      <c r="DK149" s="228">
        <v>-1.22</v>
      </c>
      <c r="DL149" s="228">
        <v>-1.22</v>
      </c>
      <c r="DM149" s="228">
        <v>25.42</v>
      </c>
      <c r="DN149" s="228">
        <v>23.9</v>
      </c>
      <c r="DO149" s="228">
        <v>1.52</v>
      </c>
      <c r="DP149" s="228">
        <v>1.52</v>
      </c>
      <c r="DQ149" s="228">
        <v>0.72</v>
      </c>
      <c r="DR149" s="228">
        <v>0.62</v>
      </c>
      <c r="DS149" s="228">
        <v>0.1</v>
      </c>
      <c r="DT149" s="229">
        <v>0.1613</v>
      </c>
      <c r="DU149" s="231">
        <v>1700</v>
      </c>
      <c r="DV149" s="231">
        <v>1600</v>
      </c>
      <c r="DW149" s="228">
        <v>0.57999999999999996</v>
      </c>
      <c r="DX149" s="228">
        <v>0.71</v>
      </c>
      <c r="DY149" s="228">
        <v>-0.13</v>
      </c>
      <c r="DZ149" s="229">
        <v>-0.18310000000000001</v>
      </c>
      <c r="EA149" s="229">
        <v>7.6200000000000004E-2</v>
      </c>
      <c r="EB149" s="230">
        <v>287700</v>
      </c>
      <c r="EC149" s="229">
        <v>-5.4000000000000003E-3</v>
      </c>
      <c r="ED149" s="229">
        <v>7.6200000000000004E-2</v>
      </c>
      <c r="EE149" s="228">
        <v>-10.61</v>
      </c>
      <c r="EF149" s="229">
        <v>-6.4999999999999997E-3</v>
      </c>
      <c r="EG149" s="230">
        <v>258100</v>
      </c>
      <c r="EH149" s="230">
        <v>223347</v>
      </c>
      <c r="EI149" s="229">
        <v>0.15559999999999999</v>
      </c>
      <c r="EJ149" s="229">
        <v>0.4929</v>
      </c>
      <c r="EK149" s="228">
        <v>526.78</v>
      </c>
      <c r="EL149" s="228">
        <v>284.27999999999997</v>
      </c>
      <c r="EM149" s="228">
        <v>190.35</v>
      </c>
      <c r="EN149" s="228">
        <v>18.850000000000001</v>
      </c>
      <c r="EO149" s="231">
        <v>1001.41</v>
      </c>
      <c r="EP149" s="228">
        <v>410.29</v>
      </c>
      <c r="EQ149" s="228">
        <v>591.12</v>
      </c>
      <c r="ER149" s="229">
        <v>1.4408000000000001</v>
      </c>
      <c r="ES149" s="228">
        <v>327.11</v>
      </c>
      <c r="ET149" s="228">
        <v>218.58</v>
      </c>
      <c r="EU149" s="228">
        <v>798.26</v>
      </c>
      <c r="EV149" s="231">
        <v>17614093</v>
      </c>
      <c r="EW149" s="231">
        <v>1343.95</v>
      </c>
      <c r="EX149" s="231">
        <v>1340.3</v>
      </c>
      <c r="EY149" s="228">
        <v>3.65</v>
      </c>
      <c r="EZ149" s="229">
        <v>2.7000000000000001E-3</v>
      </c>
      <c r="FA149" s="229">
        <v>0.4597</v>
      </c>
      <c r="FB149" s="227" t="s">
        <v>555</v>
      </c>
      <c r="FC149">
        <f t="shared" ref="FC149:FC194" si="3">BY215-CC215</f>
        <v>76</v>
      </c>
    </row>
    <row r="150" spans="1:159" ht="17.25" thickBot="1" x14ac:dyDescent="0.3">
      <c r="A150" s="226">
        <v>46009</v>
      </c>
      <c r="B150" s="227" t="s">
        <v>221</v>
      </c>
      <c r="C150" s="227" t="s">
        <v>518</v>
      </c>
      <c r="D150" s="228">
        <v>75</v>
      </c>
      <c r="E150" s="228">
        <v>12</v>
      </c>
      <c r="F150" s="231">
        <v>7684.5</v>
      </c>
      <c r="G150" s="231">
        <v>7727.5</v>
      </c>
      <c r="H150" s="228">
        <v>-43</v>
      </c>
      <c r="I150" s="229">
        <v>-5.5999999999999999E-3</v>
      </c>
      <c r="J150" s="231">
        <v>7662.5</v>
      </c>
      <c r="K150" s="231">
        <v>7712.5</v>
      </c>
      <c r="L150" s="228">
        <v>-50</v>
      </c>
      <c r="M150" s="229">
        <v>-6.4999999999999997E-3</v>
      </c>
      <c r="N150" s="231">
        <v>7684.5</v>
      </c>
      <c r="O150" s="231">
        <v>7727.5</v>
      </c>
      <c r="P150" s="228">
        <v>-43</v>
      </c>
      <c r="Q150" s="229">
        <v>-5.5999999999999999E-3</v>
      </c>
      <c r="R150" s="231">
        <v>7722</v>
      </c>
      <c r="S150" s="231">
        <v>7762.5</v>
      </c>
      <c r="T150" s="228">
        <v>-40.5</v>
      </c>
      <c r="U150" s="229">
        <v>-5.1999999999999998E-3</v>
      </c>
      <c r="V150" s="231">
        <v>7761.5</v>
      </c>
      <c r="W150" s="231">
        <v>7805</v>
      </c>
      <c r="X150" s="228">
        <v>-43.5</v>
      </c>
      <c r="Y150" s="229">
        <v>-5.5999999999999999E-3</v>
      </c>
      <c r="Z150" s="228">
        <v>22</v>
      </c>
      <c r="AA150" s="228">
        <v>15</v>
      </c>
      <c r="AB150" s="228">
        <v>7</v>
      </c>
      <c r="AC150" s="229">
        <v>2.8999999999999998E-3</v>
      </c>
      <c r="AD150" s="228">
        <v>22</v>
      </c>
      <c r="AE150" s="228">
        <v>15</v>
      </c>
      <c r="AF150" s="228">
        <v>7</v>
      </c>
      <c r="AG150" s="229">
        <v>2.8999999999999998E-3</v>
      </c>
      <c r="AH150" s="228">
        <v>59.5</v>
      </c>
      <c r="AI150" s="228">
        <v>50</v>
      </c>
      <c r="AJ150" s="228">
        <v>9.5</v>
      </c>
      <c r="AK150" s="229">
        <v>7.7999999999999996E-3</v>
      </c>
      <c r="AL150" s="228">
        <v>99</v>
      </c>
      <c r="AM150" s="228">
        <v>92.5</v>
      </c>
      <c r="AN150" s="228">
        <v>6.5</v>
      </c>
      <c r="AO150" s="229">
        <v>1.29E-2</v>
      </c>
      <c r="AP150" s="231">
        <v>7707.89</v>
      </c>
      <c r="AQ150" s="231">
        <v>7744.67</v>
      </c>
      <c r="AR150" s="228">
        <v>0</v>
      </c>
      <c r="AS150" s="228">
        <v>197</v>
      </c>
      <c r="AT150" s="228">
        <v>173</v>
      </c>
      <c r="AU150" s="228">
        <v>24</v>
      </c>
      <c r="AV150" s="229">
        <v>0.13800000000000001</v>
      </c>
      <c r="AW150" s="228">
        <v>165</v>
      </c>
      <c r="AX150" s="228">
        <v>138</v>
      </c>
      <c r="AY150" s="228">
        <v>27</v>
      </c>
      <c r="AZ150" s="229">
        <v>0.1966</v>
      </c>
      <c r="BA150" s="228">
        <v>30</v>
      </c>
      <c r="BB150" s="228">
        <v>33</v>
      </c>
      <c r="BC150" s="228">
        <v>-3</v>
      </c>
      <c r="BD150" s="229">
        <v>-9.1899999999999996E-2</v>
      </c>
      <c r="BE150" s="228">
        <v>3</v>
      </c>
      <c r="BF150" s="228">
        <v>3</v>
      </c>
      <c r="BG150" s="228">
        <v>0</v>
      </c>
      <c r="BH150" s="229">
        <v>-5.8799999999999998E-2</v>
      </c>
      <c r="BI150" s="228">
        <v>799</v>
      </c>
      <c r="BJ150" s="228">
        <v>577</v>
      </c>
      <c r="BK150" s="228">
        <v>222</v>
      </c>
      <c r="BL150" s="229">
        <v>0.3846</v>
      </c>
      <c r="BM150" s="228">
        <v>614</v>
      </c>
      <c r="BN150" s="228">
        <v>324</v>
      </c>
      <c r="BO150" s="228">
        <v>290</v>
      </c>
      <c r="BP150" s="229">
        <v>0.89670000000000005</v>
      </c>
      <c r="BQ150" s="230">
        <v>1610</v>
      </c>
      <c r="BR150" s="230">
        <v>1074</v>
      </c>
      <c r="BS150" s="228">
        <v>536</v>
      </c>
      <c r="BT150" s="229">
        <v>0.49909999999999999</v>
      </c>
      <c r="BU150" s="230">
        <v>122617</v>
      </c>
      <c r="BV150" s="230">
        <v>84584</v>
      </c>
      <c r="BW150" s="230">
        <v>38033</v>
      </c>
      <c r="BX150" s="229">
        <v>0.4496</v>
      </c>
      <c r="BY150" s="230">
        <v>1142</v>
      </c>
      <c r="BZ150" s="230">
        <v>1119</v>
      </c>
      <c r="CA150" s="228">
        <v>22</v>
      </c>
      <c r="CB150" s="229">
        <v>0.02</v>
      </c>
      <c r="CC150" s="230">
        <v>1059</v>
      </c>
      <c r="CD150" s="230">
        <v>1047</v>
      </c>
      <c r="CE150" s="228">
        <v>13</v>
      </c>
      <c r="CF150" s="229">
        <v>1.1900000000000001E-2</v>
      </c>
      <c r="CG150" s="228">
        <v>75</v>
      </c>
      <c r="CH150" s="228">
        <v>66</v>
      </c>
      <c r="CI150" s="228">
        <v>9</v>
      </c>
      <c r="CJ150" s="229">
        <v>0.1363</v>
      </c>
      <c r="CK150" s="228">
        <v>7</v>
      </c>
      <c r="CL150" s="228">
        <v>6</v>
      </c>
      <c r="CM150" s="228">
        <v>1</v>
      </c>
      <c r="CN150" s="229">
        <v>0.14419999999999999</v>
      </c>
      <c r="CO150" s="228">
        <v>664</v>
      </c>
      <c r="CP150" s="228">
        <v>607</v>
      </c>
      <c r="CQ150" s="228">
        <v>57</v>
      </c>
      <c r="CR150" s="229">
        <v>9.3299999999999994E-2</v>
      </c>
      <c r="CS150" s="228">
        <v>372</v>
      </c>
      <c r="CT150" s="228">
        <v>390</v>
      </c>
      <c r="CU150" s="228">
        <v>-17</v>
      </c>
      <c r="CV150" s="229">
        <v>-4.41E-2</v>
      </c>
      <c r="CW150" s="230">
        <v>2178</v>
      </c>
      <c r="CX150" s="230">
        <v>2116</v>
      </c>
      <c r="CY150" s="228">
        <v>62</v>
      </c>
      <c r="CZ150" s="229">
        <v>2.92E-2</v>
      </c>
      <c r="DA150" s="228">
        <v>27.7</v>
      </c>
      <c r="DB150" s="228">
        <v>27.76</v>
      </c>
      <c r="DC150" s="228">
        <v>-0.06</v>
      </c>
      <c r="DD150" s="228">
        <v>-0.06</v>
      </c>
      <c r="DE150" s="228">
        <v>38.93</v>
      </c>
      <c r="DF150" s="228">
        <v>39.01</v>
      </c>
      <c r="DG150" s="228">
        <v>-11.23</v>
      </c>
      <c r="DH150" s="228">
        <v>-0.08</v>
      </c>
      <c r="DI150" s="228">
        <v>27.8</v>
      </c>
      <c r="DJ150" s="228">
        <v>28.25</v>
      </c>
      <c r="DK150" s="228">
        <v>-0.45</v>
      </c>
      <c r="DL150" s="228">
        <v>-0.45</v>
      </c>
      <c r="DM150" s="228">
        <v>27.58</v>
      </c>
      <c r="DN150" s="228">
        <v>26.89</v>
      </c>
      <c r="DO150" s="228">
        <v>0.69</v>
      </c>
      <c r="DP150" s="228">
        <v>0.69</v>
      </c>
      <c r="DQ150" s="228">
        <v>0.56000000000000005</v>
      </c>
      <c r="DR150" s="228">
        <v>0.64</v>
      </c>
      <c r="DS150" s="228">
        <v>-0.08</v>
      </c>
      <c r="DT150" s="229">
        <v>-0.125</v>
      </c>
      <c r="DU150" s="231">
        <v>8000</v>
      </c>
      <c r="DV150" s="231">
        <v>8000</v>
      </c>
      <c r="DW150" s="228">
        <v>0.77</v>
      </c>
      <c r="DX150" s="228">
        <v>0.56000000000000005</v>
      </c>
      <c r="DY150" s="228">
        <v>0.21</v>
      </c>
      <c r="DZ150" s="229">
        <v>0.375</v>
      </c>
      <c r="EA150" s="229">
        <v>7.2099999999999997E-2</v>
      </c>
      <c r="EB150" s="230">
        <v>94200</v>
      </c>
      <c r="EC150" s="229">
        <v>4.8999999999999998E-3</v>
      </c>
      <c r="ED150" s="229">
        <v>7.2099999999999997E-2</v>
      </c>
      <c r="EE150" s="228">
        <v>36.78</v>
      </c>
      <c r="EF150" s="229">
        <v>4.7999999999999996E-3</v>
      </c>
      <c r="EG150" s="230">
        <v>40896</v>
      </c>
      <c r="EH150" s="230">
        <v>32615</v>
      </c>
      <c r="EI150" s="229">
        <v>0.25390000000000001</v>
      </c>
      <c r="EJ150" s="229">
        <v>0.33350000000000002</v>
      </c>
      <c r="EK150" s="228">
        <v>844.42</v>
      </c>
      <c r="EL150" s="228">
        <v>585.39</v>
      </c>
      <c r="EM150" s="228">
        <v>198.05</v>
      </c>
      <c r="EN150" s="228">
        <v>35.18</v>
      </c>
      <c r="EO150" s="231">
        <v>1627.86</v>
      </c>
      <c r="EP150" s="231">
        <v>1112.02</v>
      </c>
      <c r="EQ150" s="228">
        <v>515.83000000000004</v>
      </c>
      <c r="ER150" s="229">
        <v>0.46389999999999998</v>
      </c>
      <c r="ES150" s="228">
        <v>716.95</v>
      </c>
      <c r="ET150" s="228">
        <v>376.12</v>
      </c>
      <c r="EU150" s="231">
        <v>1142.0999999999999</v>
      </c>
      <c r="EV150" s="231">
        <v>3401732</v>
      </c>
      <c r="EW150" s="231">
        <v>2235.1799999999998</v>
      </c>
      <c r="EX150" s="231">
        <v>2176.94</v>
      </c>
      <c r="EY150" s="228">
        <v>58.24</v>
      </c>
      <c r="EZ150" s="229">
        <v>2.6800000000000001E-2</v>
      </c>
      <c r="FA150" s="229">
        <v>0.83320000000000005</v>
      </c>
      <c r="FB150" s="227" t="s">
        <v>567</v>
      </c>
      <c r="FC150">
        <f t="shared" si="3"/>
        <v>0</v>
      </c>
    </row>
    <row r="151" spans="1:159" ht="17.25" thickBot="1" x14ac:dyDescent="0.3">
      <c r="A151" s="226">
        <v>46009</v>
      </c>
      <c r="B151" s="227" t="s">
        <v>193</v>
      </c>
      <c r="C151" s="227" t="s">
        <v>587</v>
      </c>
      <c r="D151" s="228">
        <v>1400</v>
      </c>
      <c r="E151" s="228">
        <v>12</v>
      </c>
      <c r="F151" s="228">
        <v>401.4</v>
      </c>
      <c r="G151" s="228">
        <v>398.25</v>
      </c>
      <c r="H151" s="228">
        <v>3.15</v>
      </c>
      <c r="I151" s="229">
        <v>7.9000000000000008E-3</v>
      </c>
      <c r="J151" s="228">
        <v>399.85</v>
      </c>
      <c r="K151" s="228">
        <v>398.15</v>
      </c>
      <c r="L151" s="228">
        <v>1.7</v>
      </c>
      <c r="M151" s="229">
        <v>4.3E-3</v>
      </c>
      <c r="N151" s="228">
        <v>401.4</v>
      </c>
      <c r="O151" s="228">
        <v>398.25</v>
      </c>
      <c r="P151" s="228">
        <v>3.15</v>
      </c>
      <c r="Q151" s="229">
        <v>7.9000000000000008E-3</v>
      </c>
      <c r="R151" s="228">
        <v>403.4</v>
      </c>
      <c r="S151" s="228">
        <v>400.05</v>
      </c>
      <c r="T151" s="228">
        <v>3.35</v>
      </c>
      <c r="U151" s="229">
        <v>8.3999999999999995E-3</v>
      </c>
      <c r="V151" s="228">
        <v>401</v>
      </c>
      <c r="W151" s="228">
        <v>399.5</v>
      </c>
      <c r="X151" s="228">
        <v>1.5</v>
      </c>
      <c r="Y151" s="229">
        <v>3.8E-3</v>
      </c>
      <c r="Z151" s="228">
        <v>1.55</v>
      </c>
      <c r="AA151" s="228">
        <v>0.1</v>
      </c>
      <c r="AB151" s="228">
        <v>1.45</v>
      </c>
      <c r="AC151" s="229">
        <v>3.8999999999999998E-3</v>
      </c>
      <c r="AD151" s="228">
        <v>1.55</v>
      </c>
      <c r="AE151" s="228">
        <v>0.1</v>
      </c>
      <c r="AF151" s="228">
        <v>1.45</v>
      </c>
      <c r="AG151" s="229">
        <v>3.8999999999999998E-3</v>
      </c>
      <c r="AH151" s="228">
        <v>3.55</v>
      </c>
      <c r="AI151" s="228">
        <v>1.9</v>
      </c>
      <c r="AJ151" s="228">
        <v>1.65</v>
      </c>
      <c r="AK151" s="229">
        <v>8.8999999999999999E-3</v>
      </c>
      <c r="AL151" s="228">
        <v>1.1499999999999999</v>
      </c>
      <c r="AM151" s="228">
        <v>1.35</v>
      </c>
      <c r="AN151" s="228">
        <v>-0.2</v>
      </c>
      <c r="AO151" s="229">
        <v>2.8999999999999998E-3</v>
      </c>
      <c r="AP151" s="228">
        <v>400.58</v>
      </c>
      <c r="AQ151" s="228">
        <v>402.86</v>
      </c>
      <c r="AR151" s="228">
        <v>0</v>
      </c>
      <c r="AS151" s="228">
        <v>44</v>
      </c>
      <c r="AT151" s="228">
        <v>43</v>
      </c>
      <c r="AU151" s="228">
        <v>1</v>
      </c>
      <c r="AV151" s="229">
        <v>1.9699999999999999E-2</v>
      </c>
      <c r="AW151" s="228">
        <v>38</v>
      </c>
      <c r="AX151" s="228">
        <v>38</v>
      </c>
      <c r="AY151" s="228">
        <v>1</v>
      </c>
      <c r="AZ151" s="229">
        <v>1.49E-2</v>
      </c>
      <c r="BA151" s="228">
        <v>5</v>
      </c>
      <c r="BB151" s="228">
        <v>4</v>
      </c>
      <c r="BC151" s="228">
        <v>0</v>
      </c>
      <c r="BD151" s="229">
        <v>8.9700000000000002E-2</v>
      </c>
      <c r="BE151" s="228">
        <v>1</v>
      </c>
      <c r="BF151" s="228">
        <v>1</v>
      </c>
      <c r="BG151" s="228">
        <v>0</v>
      </c>
      <c r="BH151" s="229">
        <v>-0.1429</v>
      </c>
      <c r="BI151" s="228">
        <v>135</v>
      </c>
      <c r="BJ151" s="228">
        <v>155</v>
      </c>
      <c r="BK151" s="228">
        <v>-20</v>
      </c>
      <c r="BL151" s="229">
        <v>-0.12809999999999999</v>
      </c>
      <c r="BM151" s="228">
        <v>41</v>
      </c>
      <c r="BN151" s="228">
        <v>53</v>
      </c>
      <c r="BO151" s="228">
        <v>-11</v>
      </c>
      <c r="BP151" s="229">
        <v>-0.2147</v>
      </c>
      <c r="BQ151" s="228">
        <v>220</v>
      </c>
      <c r="BR151" s="228">
        <v>250</v>
      </c>
      <c r="BS151" s="228">
        <v>-30</v>
      </c>
      <c r="BT151" s="229">
        <v>-0.121</v>
      </c>
      <c r="BU151" s="230">
        <v>2493542</v>
      </c>
      <c r="BV151" s="230">
        <v>917406</v>
      </c>
      <c r="BW151" s="230">
        <v>1576136</v>
      </c>
      <c r="BX151" s="229">
        <v>1.718</v>
      </c>
      <c r="BY151" s="228">
        <v>449</v>
      </c>
      <c r="BZ151" s="228">
        <v>451</v>
      </c>
      <c r="CA151" s="228">
        <v>-2</v>
      </c>
      <c r="CB151" s="229">
        <v>-4.4999999999999997E-3</v>
      </c>
      <c r="CC151" s="228">
        <v>420</v>
      </c>
      <c r="CD151" s="228">
        <v>424</v>
      </c>
      <c r="CE151" s="228">
        <v>-4</v>
      </c>
      <c r="CF151" s="229">
        <v>-9.7000000000000003E-3</v>
      </c>
      <c r="CG151" s="228">
        <v>22</v>
      </c>
      <c r="CH151" s="228">
        <v>20</v>
      </c>
      <c r="CI151" s="228">
        <v>2</v>
      </c>
      <c r="CJ151" s="229">
        <v>0.1017</v>
      </c>
      <c r="CK151" s="228">
        <v>6</v>
      </c>
      <c r="CL151" s="228">
        <v>6</v>
      </c>
      <c r="CM151" s="228">
        <v>0</v>
      </c>
      <c r="CN151" s="229">
        <v>8.8000000000000005E-3</v>
      </c>
      <c r="CO151" s="228">
        <v>281</v>
      </c>
      <c r="CP151" s="228">
        <v>291</v>
      </c>
      <c r="CQ151" s="228">
        <v>-10</v>
      </c>
      <c r="CR151" s="229">
        <v>-3.3599999999999998E-2</v>
      </c>
      <c r="CS151" s="228">
        <v>154</v>
      </c>
      <c r="CT151" s="228">
        <v>153</v>
      </c>
      <c r="CU151" s="228">
        <v>1</v>
      </c>
      <c r="CV151" s="229">
        <v>8.0999999999999996E-3</v>
      </c>
      <c r="CW151" s="228">
        <v>885</v>
      </c>
      <c r="CX151" s="228">
        <v>895</v>
      </c>
      <c r="CY151" s="228">
        <v>-11</v>
      </c>
      <c r="CZ151" s="229">
        <v>-1.18E-2</v>
      </c>
      <c r="DA151" s="228">
        <v>21.57</v>
      </c>
      <c r="DB151" s="228">
        <v>23.28</v>
      </c>
      <c r="DC151" s="228">
        <v>-1.71</v>
      </c>
      <c r="DD151" s="228">
        <v>-1.71</v>
      </c>
      <c r="DE151" s="228">
        <v>41.22</v>
      </c>
      <c r="DF151" s="228">
        <v>41.31</v>
      </c>
      <c r="DG151" s="228">
        <v>-19.649999999999999</v>
      </c>
      <c r="DH151" s="228">
        <v>-0.09</v>
      </c>
      <c r="DI151" s="228">
        <v>21.22</v>
      </c>
      <c r="DJ151" s="228">
        <v>23.89</v>
      </c>
      <c r="DK151" s="228">
        <v>-2.67</v>
      </c>
      <c r="DL151" s="228">
        <v>-2.67</v>
      </c>
      <c r="DM151" s="228">
        <v>22.75</v>
      </c>
      <c r="DN151" s="228">
        <v>21.48</v>
      </c>
      <c r="DO151" s="228">
        <v>1.27</v>
      </c>
      <c r="DP151" s="228">
        <v>1.27</v>
      </c>
      <c r="DQ151" s="228">
        <v>0.55000000000000004</v>
      </c>
      <c r="DR151" s="228">
        <v>0.53</v>
      </c>
      <c r="DS151" s="228">
        <v>0.02</v>
      </c>
      <c r="DT151" s="229">
        <v>3.7699999999999997E-2</v>
      </c>
      <c r="DU151" s="228">
        <v>450</v>
      </c>
      <c r="DV151" s="228">
        <v>400</v>
      </c>
      <c r="DW151" s="228">
        <v>0.31</v>
      </c>
      <c r="DX151" s="228">
        <v>0.34</v>
      </c>
      <c r="DY151" s="228">
        <v>-0.03</v>
      </c>
      <c r="DZ151" s="229">
        <v>-8.8200000000000001E-2</v>
      </c>
      <c r="EA151" s="229">
        <v>6.3200000000000006E-2</v>
      </c>
      <c r="EB151" s="230">
        <v>655200</v>
      </c>
      <c r="EC151" s="229">
        <v>5.0000000000000001E-3</v>
      </c>
      <c r="ED151" s="229">
        <v>6.3200000000000006E-2</v>
      </c>
      <c r="EE151" s="228">
        <v>2.2799999999999998</v>
      </c>
      <c r="EF151" s="229">
        <v>5.7000000000000002E-3</v>
      </c>
      <c r="EG151" s="230">
        <v>1852492</v>
      </c>
      <c r="EH151" s="230">
        <v>422378</v>
      </c>
      <c r="EI151" s="229">
        <v>3.3858999999999999</v>
      </c>
      <c r="EJ151" s="229">
        <v>0.7429</v>
      </c>
      <c r="EK151" s="228">
        <v>140.61000000000001</v>
      </c>
      <c r="EL151" s="228">
        <v>41.44</v>
      </c>
      <c r="EM151" s="228">
        <v>43.66</v>
      </c>
      <c r="EN151" s="228">
        <v>8.6</v>
      </c>
      <c r="EO151" s="228">
        <v>225.7</v>
      </c>
      <c r="EP151" s="228">
        <v>257.52</v>
      </c>
      <c r="EQ151" s="228">
        <v>-31.82</v>
      </c>
      <c r="ER151" s="229">
        <v>-0.1236</v>
      </c>
      <c r="ES151" s="228">
        <v>302.61</v>
      </c>
      <c r="ET151" s="228">
        <v>156.09</v>
      </c>
      <c r="EU151" s="228">
        <v>448.83</v>
      </c>
      <c r="EV151" s="231">
        <v>94123587</v>
      </c>
      <c r="EW151" s="228">
        <v>907.53</v>
      </c>
      <c r="EX151" s="228">
        <v>915.17</v>
      </c>
      <c r="EY151" s="228">
        <v>-7.64</v>
      </c>
      <c r="EZ151" s="229">
        <v>-8.3000000000000001E-3</v>
      </c>
      <c r="FA151" s="229">
        <v>0.23419999999999999</v>
      </c>
      <c r="FB151" s="227" t="s">
        <v>556</v>
      </c>
      <c r="FC151">
        <f t="shared" si="3"/>
        <v>0</v>
      </c>
    </row>
    <row r="152" spans="1:159" ht="17.25" thickBot="1" x14ac:dyDescent="0.3">
      <c r="A152" s="226">
        <v>46009</v>
      </c>
      <c r="B152" s="227" t="s">
        <v>193</v>
      </c>
      <c r="C152" s="227" t="s">
        <v>269</v>
      </c>
      <c r="D152" s="228">
        <v>2250</v>
      </c>
      <c r="E152" s="228">
        <v>12</v>
      </c>
      <c r="F152" s="228">
        <v>232.2</v>
      </c>
      <c r="G152" s="228">
        <v>233.14</v>
      </c>
      <c r="H152" s="228">
        <v>-0.94</v>
      </c>
      <c r="I152" s="229">
        <v>-4.0000000000000001E-3</v>
      </c>
      <c r="J152" s="228">
        <v>232</v>
      </c>
      <c r="K152" s="228">
        <v>232.91</v>
      </c>
      <c r="L152" s="228">
        <v>-0.91</v>
      </c>
      <c r="M152" s="229">
        <v>-3.8999999999999998E-3</v>
      </c>
      <c r="N152" s="228">
        <v>232.2</v>
      </c>
      <c r="O152" s="228">
        <v>233.14</v>
      </c>
      <c r="P152" s="228">
        <v>-0.94</v>
      </c>
      <c r="Q152" s="229">
        <v>-4.0000000000000001E-3</v>
      </c>
      <c r="R152" s="228">
        <v>233.74</v>
      </c>
      <c r="S152" s="228">
        <v>234.61</v>
      </c>
      <c r="T152" s="228">
        <v>-0.87</v>
      </c>
      <c r="U152" s="229">
        <v>-3.7000000000000002E-3</v>
      </c>
      <c r="V152" s="228">
        <v>233.55</v>
      </c>
      <c r="W152" s="228">
        <v>234.3</v>
      </c>
      <c r="X152" s="228">
        <v>-0.75</v>
      </c>
      <c r="Y152" s="229">
        <v>-3.2000000000000002E-3</v>
      </c>
      <c r="Z152" s="228">
        <v>0.2</v>
      </c>
      <c r="AA152" s="228">
        <v>0.23</v>
      </c>
      <c r="AB152" s="228">
        <v>-0.03</v>
      </c>
      <c r="AC152" s="229">
        <v>8.9999999999999998E-4</v>
      </c>
      <c r="AD152" s="228">
        <v>0.2</v>
      </c>
      <c r="AE152" s="228">
        <v>0.23</v>
      </c>
      <c r="AF152" s="228">
        <v>-0.03</v>
      </c>
      <c r="AG152" s="229">
        <v>8.9999999999999998E-4</v>
      </c>
      <c r="AH152" s="228">
        <v>1.74</v>
      </c>
      <c r="AI152" s="228">
        <v>1.7</v>
      </c>
      <c r="AJ152" s="228">
        <v>0.04</v>
      </c>
      <c r="AK152" s="229">
        <v>7.4999999999999997E-3</v>
      </c>
      <c r="AL152" s="228">
        <v>1.55</v>
      </c>
      <c r="AM152" s="228">
        <v>1.39</v>
      </c>
      <c r="AN152" s="228">
        <v>0.16</v>
      </c>
      <c r="AO152" s="229">
        <v>6.7000000000000002E-3</v>
      </c>
      <c r="AP152" s="228">
        <v>232.58</v>
      </c>
      <c r="AQ152" s="228">
        <v>234.03</v>
      </c>
      <c r="AR152" s="228">
        <v>0</v>
      </c>
      <c r="AS152" s="228">
        <v>215</v>
      </c>
      <c r="AT152" s="228">
        <v>251</v>
      </c>
      <c r="AU152" s="228">
        <v>-36</v>
      </c>
      <c r="AV152" s="229">
        <v>-0.14219999999999999</v>
      </c>
      <c r="AW152" s="228">
        <v>150</v>
      </c>
      <c r="AX152" s="228">
        <v>206</v>
      </c>
      <c r="AY152" s="228">
        <v>-56</v>
      </c>
      <c r="AZ152" s="229">
        <v>-0.27089999999999997</v>
      </c>
      <c r="BA152" s="228">
        <v>62</v>
      </c>
      <c r="BB152" s="228">
        <v>42</v>
      </c>
      <c r="BC152" s="228">
        <v>20</v>
      </c>
      <c r="BD152" s="229">
        <v>0.4844</v>
      </c>
      <c r="BE152" s="228">
        <v>3</v>
      </c>
      <c r="BF152" s="228">
        <v>3</v>
      </c>
      <c r="BG152" s="228">
        <v>0</v>
      </c>
      <c r="BH152" s="229">
        <v>-1.89E-2</v>
      </c>
      <c r="BI152" s="228">
        <v>713</v>
      </c>
      <c r="BJ152" s="228">
        <v>808</v>
      </c>
      <c r="BK152" s="228">
        <v>-96</v>
      </c>
      <c r="BL152" s="229">
        <v>-0.1183</v>
      </c>
      <c r="BM152" s="228">
        <v>346</v>
      </c>
      <c r="BN152" s="228">
        <v>541</v>
      </c>
      <c r="BO152" s="228">
        <v>-195</v>
      </c>
      <c r="BP152" s="229">
        <v>-0.3609</v>
      </c>
      <c r="BQ152" s="230">
        <v>1273</v>
      </c>
      <c r="BR152" s="230">
        <v>1600</v>
      </c>
      <c r="BS152" s="228">
        <v>-326</v>
      </c>
      <c r="BT152" s="229">
        <v>-0.2041</v>
      </c>
      <c r="BU152" s="230">
        <v>4096481</v>
      </c>
      <c r="BV152" s="230">
        <v>6080475</v>
      </c>
      <c r="BW152" s="230">
        <v>-1983994</v>
      </c>
      <c r="BX152" s="229">
        <v>-0.32629999999999998</v>
      </c>
      <c r="BY152" s="230">
        <v>2347</v>
      </c>
      <c r="BZ152" s="230">
        <v>2336</v>
      </c>
      <c r="CA152" s="228">
        <v>12</v>
      </c>
      <c r="CB152" s="229">
        <v>5.1000000000000004E-3</v>
      </c>
      <c r="CC152" s="230">
        <v>2123</v>
      </c>
      <c r="CD152" s="230">
        <v>2155</v>
      </c>
      <c r="CE152" s="228">
        <v>-32</v>
      </c>
      <c r="CF152" s="229">
        <v>-1.4800000000000001E-2</v>
      </c>
      <c r="CG152" s="228">
        <v>199</v>
      </c>
      <c r="CH152" s="228">
        <v>156</v>
      </c>
      <c r="CI152" s="228">
        <v>43</v>
      </c>
      <c r="CJ152" s="229">
        <v>0.2722</v>
      </c>
      <c r="CK152" s="228">
        <v>26</v>
      </c>
      <c r="CL152" s="228">
        <v>24</v>
      </c>
      <c r="CM152" s="228">
        <v>1</v>
      </c>
      <c r="CN152" s="229">
        <v>5.1299999999999998E-2</v>
      </c>
      <c r="CO152" s="230">
        <v>1489</v>
      </c>
      <c r="CP152" s="230">
        <v>1487</v>
      </c>
      <c r="CQ152" s="228">
        <v>2</v>
      </c>
      <c r="CR152" s="229">
        <v>1.4E-3</v>
      </c>
      <c r="CS152" s="228">
        <v>608</v>
      </c>
      <c r="CT152" s="228">
        <v>616</v>
      </c>
      <c r="CU152" s="228">
        <v>-8</v>
      </c>
      <c r="CV152" s="229">
        <v>-1.37E-2</v>
      </c>
      <c r="CW152" s="230">
        <v>4444</v>
      </c>
      <c r="CX152" s="230">
        <v>4439</v>
      </c>
      <c r="CY152" s="228">
        <v>6</v>
      </c>
      <c r="CZ152" s="229">
        <v>1.1999999999999999E-3</v>
      </c>
      <c r="DA152" s="228">
        <v>17.75</v>
      </c>
      <c r="DB152" s="228">
        <v>17.78</v>
      </c>
      <c r="DC152" s="228">
        <v>-0.03</v>
      </c>
      <c r="DD152" s="228">
        <v>-0.03</v>
      </c>
      <c r="DE152" s="228">
        <v>29.93</v>
      </c>
      <c r="DF152" s="228">
        <v>30</v>
      </c>
      <c r="DG152" s="228">
        <v>-12.18</v>
      </c>
      <c r="DH152" s="228">
        <v>-7.0000000000000007E-2</v>
      </c>
      <c r="DI152" s="228">
        <v>17.579999999999998</v>
      </c>
      <c r="DJ152" s="228">
        <v>17.18</v>
      </c>
      <c r="DK152" s="228">
        <v>0.4</v>
      </c>
      <c r="DL152" s="228">
        <v>0.4</v>
      </c>
      <c r="DM152" s="228">
        <v>18.079999999999998</v>
      </c>
      <c r="DN152" s="228">
        <v>18.68</v>
      </c>
      <c r="DO152" s="228">
        <v>-0.6</v>
      </c>
      <c r="DP152" s="228">
        <v>-0.6</v>
      </c>
      <c r="DQ152" s="228">
        <v>0.41</v>
      </c>
      <c r="DR152" s="228">
        <v>0.41</v>
      </c>
      <c r="DS152" s="228">
        <v>0</v>
      </c>
      <c r="DT152" s="229">
        <v>0</v>
      </c>
      <c r="DU152" s="228">
        <v>250</v>
      </c>
      <c r="DV152" s="228">
        <v>230</v>
      </c>
      <c r="DW152" s="228">
        <v>0.49</v>
      </c>
      <c r="DX152" s="228">
        <v>0.67</v>
      </c>
      <c r="DY152" s="228">
        <v>-0.18</v>
      </c>
      <c r="DZ152" s="229">
        <v>-0.26869999999999999</v>
      </c>
      <c r="EA152" s="229">
        <v>9.5699999999999993E-2</v>
      </c>
      <c r="EB152" s="230">
        <v>7789500</v>
      </c>
      <c r="EC152" s="229">
        <v>6.6E-3</v>
      </c>
      <c r="ED152" s="229">
        <v>9.5699999999999993E-2</v>
      </c>
      <c r="EE152" s="228">
        <v>1.45</v>
      </c>
      <c r="EF152" s="229">
        <v>6.1999999999999998E-3</v>
      </c>
      <c r="EG152" s="230">
        <v>2460591</v>
      </c>
      <c r="EH152" s="230">
        <v>3166644</v>
      </c>
      <c r="EI152" s="229">
        <v>-0.223</v>
      </c>
      <c r="EJ152" s="229">
        <v>0.60070000000000001</v>
      </c>
      <c r="EK152" s="228">
        <v>736.99</v>
      </c>
      <c r="EL152" s="228">
        <v>342.51</v>
      </c>
      <c r="EM152" s="228">
        <v>215.64</v>
      </c>
      <c r="EN152" s="228">
        <v>47.37</v>
      </c>
      <c r="EO152" s="231">
        <v>1295.1400000000001</v>
      </c>
      <c r="EP152" s="231">
        <v>1622.92</v>
      </c>
      <c r="EQ152" s="228">
        <v>-327.79</v>
      </c>
      <c r="ER152" s="229">
        <v>-0.20200000000000001</v>
      </c>
      <c r="ES152" s="231">
        <v>1577.78</v>
      </c>
      <c r="ET152" s="228">
        <v>616.70000000000005</v>
      </c>
      <c r="EU152" s="231">
        <v>2348.89</v>
      </c>
      <c r="EV152" s="231">
        <v>517141211</v>
      </c>
      <c r="EW152" s="231">
        <v>4543.37</v>
      </c>
      <c r="EX152" s="231">
        <v>4547.83</v>
      </c>
      <c r="EY152" s="228">
        <v>-4.46</v>
      </c>
      <c r="EZ152" s="229">
        <v>-1E-3</v>
      </c>
      <c r="FA152" s="229">
        <v>0.37009999999999998</v>
      </c>
      <c r="FB152" s="227" t="s">
        <v>567</v>
      </c>
      <c r="FC152">
        <f t="shared" si="3"/>
        <v>0</v>
      </c>
    </row>
    <row r="153" spans="1:159" ht="17.25" thickBot="1" x14ac:dyDescent="0.3">
      <c r="A153" s="226">
        <v>46009</v>
      </c>
      <c r="B153" s="227" t="s">
        <v>197</v>
      </c>
      <c r="C153" s="227" t="s">
        <v>270</v>
      </c>
      <c r="D153" s="228">
        <v>15</v>
      </c>
      <c r="E153" s="228">
        <v>12</v>
      </c>
      <c r="F153" s="231">
        <v>35840</v>
      </c>
      <c r="G153" s="231">
        <v>36085</v>
      </c>
      <c r="H153" s="228">
        <v>-245</v>
      </c>
      <c r="I153" s="229">
        <v>-6.7999999999999996E-3</v>
      </c>
      <c r="J153" s="231">
        <v>35695</v>
      </c>
      <c r="K153" s="231">
        <v>36055</v>
      </c>
      <c r="L153" s="228">
        <v>-360</v>
      </c>
      <c r="M153" s="229">
        <v>-0.01</v>
      </c>
      <c r="N153" s="231">
        <v>35840</v>
      </c>
      <c r="O153" s="231">
        <v>36085</v>
      </c>
      <c r="P153" s="228">
        <v>-245</v>
      </c>
      <c r="Q153" s="229">
        <v>-6.7999999999999996E-3</v>
      </c>
      <c r="R153" s="231">
        <v>35910</v>
      </c>
      <c r="S153" s="231">
        <v>36020</v>
      </c>
      <c r="T153" s="228">
        <v>-110</v>
      </c>
      <c r="U153" s="229">
        <v>-3.0999999999999999E-3</v>
      </c>
      <c r="V153" s="231">
        <v>35860</v>
      </c>
      <c r="W153" s="231">
        <v>36000</v>
      </c>
      <c r="X153" s="228">
        <v>-140</v>
      </c>
      <c r="Y153" s="229">
        <v>-3.8999999999999998E-3</v>
      </c>
      <c r="Z153" s="228">
        <v>145</v>
      </c>
      <c r="AA153" s="228">
        <v>30</v>
      </c>
      <c r="AB153" s="228">
        <v>115</v>
      </c>
      <c r="AC153" s="229">
        <v>4.1000000000000003E-3</v>
      </c>
      <c r="AD153" s="228">
        <v>145</v>
      </c>
      <c r="AE153" s="228">
        <v>30</v>
      </c>
      <c r="AF153" s="228">
        <v>115</v>
      </c>
      <c r="AG153" s="229">
        <v>4.1000000000000003E-3</v>
      </c>
      <c r="AH153" s="228">
        <v>215</v>
      </c>
      <c r="AI153" s="228">
        <v>-35</v>
      </c>
      <c r="AJ153" s="228">
        <v>250</v>
      </c>
      <c r="AK153" s="229">
        <v>6.0000000000000001E-3</v>
      </c>
      <c r="AL153" s="228">
        <v>165</v>
      </c>
      <c r="AM153" s="228">
        <v>-55</v>
      </c>
      <c r="AN153" s="228">
        <v>220</v>
      </c>
      <c r="AO153" s="229">
        <v>4.5999999999999999E-3</v>
      </c>
      <c r="AP153" s="231">
        <v>35944.160000000003</v>
      </c>
      <c r="AQ153" s="231">
        <v>35993.35</v>
      </c>
      <c r="AR153" s="228">
        <v>0</v>
      </c>
      <c r="AS153" s="228">
        <v>138</v>
      </c>
      <c r="AT153" s="228">
        <v>119</v>
      </c>
      <c r="AU153" s="228">
        <v>19</v>
      </c>
      <c r="AV153" s="229">
        <v>0.15770000000000001</v>
      </c>
      <c r="AW153" s="228">
        <v>113</v>
      </c>
      <c r="AX153" s="228">
        <v>101</v>
      </c>
      <c r="AY153" s="228">
        <v>11</v>
      </c>
      <c r="AZ153" s="229">
        <v>0.1103</v>
      </c>
      <c r="BA153" s="228">
        <v>24</v>
      </c>
      <c r="BB153" s="228">
        <v>16</v>
      </c>
      <c r="BC153" s="228">
        <v>8</v>
      </c>
      <c r="BD153" s="229">
        <v>0.47989999999999999</v>
      </c>
      <c r="BE153" s="228">
        <v>2</v>
      </c>
      <c r="BF153" s="228">
        <v>2</v>
      </c>
      <c r="BG153" s="228">
        <v>0</v>
      </c>
      <c r="BH153" s="229">
        <v>-6.6699999999999995E-2</v>
      </c>
      <c r="BI153" s="228">
        <v>478</v>
      </c>
      <c r="BJ153" s="228">
        <v>529</v>
      </c>
      <c r="BK153" s="228">
        <v>-51</v>
      </c>
      <c r="BL153" s="229">
        <v>-9.6299999999999997E-2</v>
      </c>
      <c r="BM153" s="228">
        <v>463</v>
      </c>
      <c r="BN153" s="228">
        <v>127</v>
      </c>
      <c r="BO153" s="228">
        <v>336</v>
      </c>
      <c r="BP153" s="229">
        <v>2.6356000000000002</v>
      </c>
      <c r="BQ153" s="230">
        <v>1078</v>
      </c>
      <c r="BR153" s="228">
        <v>775</v>
      </c>
      <c r="BS153" s="228">
        <v>303</v>
      </c>
      <c r="BT153" s="229">
        <v>0.39150000000000001</v>
      </c>
      <c r="BU153" s="230">
        <v>23686</v>
      </c>
      <c r="BV153" s="230">
        <v>16548</v>
      </c>
      <c r="BW153" s="230">
        <v>7138</v>
      </c>
      <c r="BX153" s="229">
        <v>0.43140000000000001</v>
      </c>
      <c r="BY153" s="228">
        <v>987</v>
      </c>
      <c r="BZ153" s="228">
        <v>974</v>
      </c>
      <c r="CA153" s="228">
        <v>13</v>
      </c>
      <c r="CB153" s="229">
        <v>1.34E-2</v>
      </c>
      <c r="CC153" s="228">
        <v>908</v>
      </c>
      <c r="CD153" s="228">
        <v>908</v>
      </c>
      <c r="CE153" s="228">
        <v>0</v>
      </c>
      <c r="CF153" s="229">
        <v>-1E-4</v>
      </c>
      <c r="CG153" s="228">
        <v>68</v>
      </c>
      <c r="CH153" s="228">
        <v>55</v>
      </c>
      <c r="CI153" s="228">
        <v>13</v>
      </c>
      <c r="CJ153" s="229">
        <v>0.22950000000000001</v>
      </c>
      <c r="CK153" s="228">
        <v>12</v>
      </c>
      <c r="CL153" s="228">
        <v>11</v>
      </c>
      <c r="CM153" s="228">
        <v>1</v>
      </c>
      <c r="CN153" s="229">
        <v>4.7600000000000003E-2</v>
      </c>
      <c r="CO153" s="228">
        <v>467</v>
      </c>
      <c r="CP153" s="228">
        <v>466</v>
      </c>
      <c r="CQ153" s="228">
        <v>0</v>
      </c>
      <c r="CR153" s="229">
        <v>1E-3</v>
      </c>
      <c r="CS153" s="228">
        <v>197</v>
      </c>
      <c r="CT153" s="228">
        <v>192</v>
      </c>
      <c r="CU153" s="228">
        <v>6</v>
      </c>
      <c r="CV153" s="229">
        <v>2.9100000000000001E-2</v>
      </c>
      <c r="CW153" s="230">
        <v>1651</v>
      </c>
      <c r="CX153" s="230">
        <v>1632</v>
      </c>
      <c r="CY153" s="228">
        <v>19</v>
      </c>
      <c r="CZ153" s="229">
        <v>1.17E-2</v>
      </c>
      <c r="DA153" s="228">
        <v>29.86</v>
      </c>
      <c r="DB153" s="228">
        <v>25.1</v>
      </c>
      <c r="DC153" s="228">
        <v>4.76</v>
      </c>
      <c r="DD153" s="228">
        <v>4.76</v>
      </c>
      <c r="DE153" s="228">
        <v>27.8</v>
      </c>
      <c r="DF153" s="228">
        <v>27.84</v>
      </c>
      <c r="DG153" s="228">
        <v>2.06</v>
      </c>
      <c r="DH153" s="228">
        <v>-0.04</v>
      </c>
      <c r="DI153" s="228">
        <v>25.31</v>
      </c>
      <c r="DJ153" s="228">
        <v>26.14</v>
      </c>
      <c r="DK153" s="228">
        <v>-0.83</v>
      </c>
      <c r="DL153" s="228">
        <v>-0.83</v>
      </c>
      <c r="DM153" s="228">
        <v>34.56</v>
      </c>
      <c r="DN153" s="228">
        <v>20.8</v>
      </c>
      <c r="DO153" s="228">
        <v>13.76</v>
      </c>
      <c r="DP153" s="228">
        <v>13.76</v>
      </c>
      <c r="DQ153" s="228">
        <v>0.42</v>
      </c>
      <c r="DR153" s="228">
        <v>0.41</v>
      </c>
      <c r="DS153" s="228">
        <v>0.01</v>
      </c>
      <c r="DT153" s="229">
        <v>2.4400000000000002E-2</v>
      </c>
      <c r="DU153" s="231">
        <v>40000</v>
      </c>
      <c r="DV153" s="231">
        <v>35000</v>
      </c>
      <c r="DW153" s="228">
        <v>0.97</v>
      </c>
      <c r="DX153" s="228">
        <v>0.24</v>
      </c>
      <c r="DY153" s="228">
        <v>0.73</v>
      </c>
      <c r="DZ153" s="229">
        <v>3.0417000000000001</v>
      </c>
      <c r="EA153" s="229">
        <v>8.0500000000000002E-2</v>
      </c>
      <c r="EB153" s="230">
        <v>18510</v>
      </c>
      <c r="EC153" s="229">
        <v>2E-3</v>
      </c>
      <c r="ED153" s="229">
        <v>8.0500000000000002E-2</v>
      </c>
      <c r="EE153" s="228">
        <v>49.19</v>
      </c>
      <c r="EF153" s="229">
        <v>1.4E-3</v>
      </c>
      <c r="EG153" s="230">
        <v>14626</v>
      </c>
      <c r="EH153" s="230">
        <v>8522</v>
      </c>
      <c r="EI153" s="229">
        <v>0.71630000000000005</v>
      </c>
      <c r="EJ153" s="229">
        <v>0.61750000000000005</v>
      </c>
      <c r="EK153" s="228">
        <v>512.26</v>
      </c>
      <c r="EL153" s="228">
        <v>414.68</v>
      </c>
      <c r="EM153" s="228">
        <v>138.16999999999999</v>
      </c>
      <c r="EN153" s="228">
        <v>14.75</v>
      </c>
      <c r="EO153" s="231">
        <v>1065.1099999999999</v>
      </c>
      <c r="EP153" s="228">
        <v>819.45</v>
      </c>
      <c r="EQ153" s="228">
        <v>245.66</v>
      </c>
      <c r="ER153" s="229">
        <v>0.29980000000000001</v>
      </c>
      <c r="ES153" s="228">
        <v>509.08</v>
      </c>
      <c r="ET153" s="228">
        <v>201.03</v>
      </c>
      <c r="EU153" s="228">
        <v>987.33</v>
      </c>
      <c r="EV153" s="231">
        <v>955549</v>
      </c>
      <c r="EW153" s="231">
        <v>1697.44</v>
      </c>
      <c r="EX153" s="231">
        <v>1688.34</v>
      </c>
      <c r="EY153" s="228">
        <v>9.1</v>
      </c>
      <c r="EZ153" s="229">
        <v>5.4000000000000003E-3</v>
      </c>
      <c r="FA153" s="229">
        <v>0.48220000000000002</v>
      </c>
      <c r="FB153" s="227" t="s">
        <v>567</v>
      </c>
      <c r="FC153">
        <f t="shared" si="3"/>
        <v>0</v>
      </c>
    </row>
    <row r="154" spans="1:159" ht="17.25" thickBot="1" x14ac:dyDescent="0.3">
      <c r="A154" s="226">
        <v>46009</v>
      </c>
      <c r="B154" s="227" t="s">
        <v>168</v>
      </c>
      <c r="C154" s="227" t="s">
        <v>666</v>
      </c>
      <c r="D154" s="228">
        <v>900</v>
      </c>
      <c r="E154" s="228">
        <v>12</v>
      </c>
      <c r="F154" s="228">
        <v>552.15</v>
      </c>
      <c r="G154" s="228">
        <v>544.6</v>
      </c>
      <c r="H154" s="228">
        <v>7.55</v>
      </c>
      <c r="I154" s="229">
        <v>1.3899999999999999E-2</v>
      </c>
      <c r="J154" s="228">
        <v>550.29999999999995</v>
      </c>
      <c r="K154" s="228">
        <v>543.9</v>
      </c>
      <c r="L154" s="228">
        <v>6.4</v>
      </c>
      <c r="M154" s="229">
        <v>1.18E-2</v>
      </c>
      <c r="N154" s="228">
        <v>552.15</v>
      </c>
      <c r="O154" s="228">
        <v>544.6</v>
      </c>
      <c r="P154" s="228">
        <v>7.55</v>
      </c>
      <c r="Q154" s="229">
        <v>1.3899999999999999E-2</v>
      </c>
      <c r="R154" s="228">
        <v>555.25</v>
      </c>
      <c r="S154" s="228">
        <v>547.70000000000005</v>
      </c>
      <c r="T154" s="228">
        <v>7.55</v>
      </c>
      <c r="U154" s="229">
        <v>1.38E-2</v>
      </c>
      <c r="V154" s="228">
        <v>561</v>
      </c>
      <c r="W154" s="228">
        <v>551.9</v>
      </c>
      <c r="X154" s="228">
        <v>9.1</v>
      </c>
      <c r="Y154" s="229">
        <v>1.6500000000000001E-2</v>
      </c>
      <c r="Z154" s="228">
        <v>1.85</v>
      </c>
      <c r="AA154" s="228">
        <v>0.7</v>
      </c>
      <c r="AB154" s="228">
        <v>1.1499999999999999</v>
      </c>
      <c r="AC154" s="229">
        <v>3.3999999999999998E-3</v>
      </c>
      <c r="AD154" s="228">
        <v>1.85</v>
      </c>
      <c r="AE154" s="228">
        <v>0.7</v>
      </c>
      <c r="AF154" s="228">
        <v>1.1499999999999999</v>
      </c>
      <c r="AG154" s="229">
        <v>3.3999999999999998E-3</v>
      </c>
      <c r="AH154" s="228">
        <v>4.95</v>
      </c>
      <c r="AI154" s="228">
        <v>3.8</v>
      </c>
      <c r="AJ154" s="228">
        <v>1.1499999999999999</v>
      </c>
      <c r="AK154" s="229">
        <v>8.9999999999999993E-3</v>
      </c>
      <c r="AL154" s="228">
        <v>10.7</v>
      </c>
      <c r="AM154" s="228">
        <v>8</v>
      </c>
      <c r="AN154" s="228">
        <v>2.7</v>
      </c>
      <c r="AO154" s="229">
        <v>1.9400000000000001E-2</v>
      </c>
      <c r="AP154" s="228">
        <v>554.04999999999995</v>
      </c>
      <c r="AQ154" s="228">
        <v>559.44000000000005</v>
      </c>
      <c r="AR154" s="228">
        <v>0</v>
      </c>
      <c r="AS154" s="228">
        <v>607</v>
      </c>
      <c r="AT154" s="228">
        <v>518</v>
      </c>
      <c r="AU154" s="228">
        <v>89</v>
      </c>
      <c r="AV154" s="229">
        <v>0.1719</v>
      </c>
      <c r="AW154" s="228">
        <v>557</v>
      </c>
      <c r="AX154" s="228">
        <v>467</v>
      </c>
      <c r="AY154" s="228">
        <v>89</v>
      </c>
      <c r="AZ154" s="229">
        <v>0.19109999999999999</v>
      </c>
      <c r="BA154" s="228">
        <v>50</v>
      </c>
      <c r="BB154" s="228">
        <v>49</v>
      </c>
      <c r="BC154" s="228">
        <v>0</v>
      </c>
      <c r="BD154" s="229">
        <v>4.0000000000000001E-3</v>
      </c>
      <c r="BE154" s="228">
        <v>0</v>
      </c>
      <c r="BF154" s="228">
        <v>1</v>
      </c>
      <c r="BG154" s="228">
        <v>0</v>
      </c>
      <c r="BH154" s="229">
        <v>-0.52629999999999999</v>
      </c>
      <c r="BI154" s="230">
        <v>1093</v>
      </c>
      <c r="BJ154" s="228">
        <v>631</v>
      </c>
      <c r="BK154" s="228">
        <v>462</v>
      </c>
      <c r="BL154" s="229">
        <v>0.73240000000000005</v>
      </c>
      <c r="BM154" s="228">
        <v>503</v>
      </c>
      <c r="BN154" s="228">
        <v>203</v>
      </c>
      <c r="BO154" s="228">
        <v>300</v>
      </c>
      <c r="BP154" s="229">
        <v>1.4805999999999999</v>
      </c>
      <c r="BQ154" s="230">
        <v>2203</v>
      </c>
      <c r="BR154" s="230">
        <v>1352</v>
      </c>
      <c r="BS154" s="228">
        <v>852</v>
      </c>
      <c r="BT154" s="229">
        <v>0.63</v>
      </c>
      <c r="BU154" s="230">
        <v>5896398</v>
      </c>
      <c r="BV154" s="230">
        <v>8417884</v>
      </c>
      <c r="BW154" s="230">
        <v>-2521486</v>
      </c>
      <c r="BX154" s="229">
        <v>-0.29949999999999999</v>
      </c>
      <c r="BY154" s="230">
        <v>2088</v>
      </c>
      <c r="BZ154" s="230">
        <v>2045</v>
      </c>
      <c r="CA154" s="228">
        <v>43</v>
      </c>
      <c r="CB154" s="229">
        <v>2.1100000000000001E-2</v>
      </c>
      <c r="CC154" s="230">
        <v>2012</v>
      </c>
      <c r="CD154" s="230">
        <v>1995</v>
      </c>
      <c r="CE154" s="228">
        <v>17</v>
      </c>
      <c r="CF154" s="229">
        <v>8.6E-3</v>
      </c>
      <c r="CG154" s="228">
        <v>73</v>
      </c>
      <c r="CH154" s="228">
        <v>48</v>
      </c>
      <c r="CI154" s="228">
        <v>26</v>
      </c>
      <c r="CJ154" s="229">
        <v>0.54500000000000004</v>
      </c>
      <c r="CK154" s="228">
        <v>3</v>
      </c>
      <c r="CL154" s="228">
        <v>3</v>
      </c>
      <c r="CM154" s="228">
        <v>0</v>
      </c>
      <c r="CN154" s="229">
        <v>3.5700000000000003E-2</v>
      </c>
      <c r="CO154" s="228">
        <v>426</v>
      </c>
      <c r="CP154" s="228">
        <v>448</v>
      </c>
      <c r="CQ154" s="228">
        <v>-22</v>
      </c>
      <c r="CR154" s="229">
        <v>-4.82E-2</v>
      </c>
      <c r="CS154" s="228">
        <v>241</v>
      </c>
      <c r="CT154" s="228">
        <v>215</v>
      </c>
      <c r="CU154" s="228">
        <v>26</v>
      </c>
      <c r="CV154" s="229">
        <v>0.1188</v>
      </c>
      <c r="CW154" s="230">
        <v>2755</v>
      </c>
      <c r="CX154" s="230">
        <v>2708</v>
      </c>
      <c r="CY154" s="228">
        <v>47</v>
      </c>
      <c r="CZ154" s="229">
        <v>1.7399999999999999E-2</v>
      </c>
      <c r="DA154" s="228">
        <v>25.36</v>
      </c>
      <c r="DB154" s="228">
        <v>25.73</v>
      </c>
      <c r="DC154" s="228">
        <v>-0.37</v>
      </c>
      <c r="DD154" s="228">
        <v>-0.37</v>
      </c>
      <c r="DE154" s="228">
        <v>33.46</v>
      </c>
      <c r="DF154" s="228">
        <v>33.49</v>
      </c>
      <c r="DG154" s="228">
        <v>-8.1</v>
      </c>
      <c r="DH154" s="228">
        <v>-0.03</v>
      </c>
      <c r="DI154" s="228">
        <v>25.7</v>
      </c>
      <c r="DJ154" s="228">
        <v>25.47</v>
      </c>
      <c r="DK154" s="228">
        <v>0.23</v>
      </c>
      <c r="DL154" s="228">
        <v>0.23</v>
      </c>
      <c r="DM154" s="228">
        <v>24.62</v>
      </c>
      <c r="DN154" s="228">
        <v>26.53</v>
      </c>
      <c r="DO154" s="228">
        <v>-1.91</v>
      </c>
      <c r="DP154" s="228">
        <v>-1.91</v>
      </c>
      <c r="DQ154" s="228">
        <v>0.56000000000000005</v>
      </c>
      <c r="DR154" s="228">
        <v>0.48</v>
      </c>
      <c r="DS154" s="228">
        <v>0.08</v>
      </c>
      <c r="DT154" s="229">
        <v>0.16669999999999999</v>
      </c>
      <c r="DU154" s="228">
        <v>550</v>
      </c>
      <c r="DV154" s="228">
        <v>530</v>
      </c>
      <c r="DW154" s="228">
        <v>0.46</v>
      </c>
      <c r="DX154" s="228">
        <v>0.32</v>
      </c>
      <c r="DY154" s="228">
        <v>0.14000000000000001</v>
      </c>
      <c r="DZ154" s="229">
        <v>0.4375</v>
      </c>
      <c r="EA154" s="229">
        <v>3.6499999999999998E-2</v>
      </c>
      <c r="EB154" s="230">
        <v>910800</v>
      </c>
      <c r="EC154" s="229">
        <v>5.5999999999999999E-3</v>
      </c>
      <c r="ED154" s="229">
        <v>3.6499999999999998E-2</v>
      </c>
      <c r="EE154" s="228">
        <v>5.39</v>
      </c>
      <c r="EF154" s="229">
        <v>9.7000000000000003E-3</v>
      </c>
      <c r="EG154" s="230">
        <v>2019952</v>
      </c>
      <c r="EH154" s="230">
        <v>3731531</v>
      </c>
      <c r="EI154" s="229">
        <v>-0.4587</v>
      </c>
      <c r="EJ154" s="229">
        <v>0.34260000000000002</v>
      </c>
      <c r="EK154" s="231">
        <v>1134.02</v>
      </c>
      <c r="EL154" s="228">
        <v>501.56</v>
      </c>
      <c r="EM154" s="228">
        <v>609.23</v>
      </c>
      <c r="EN154" s="228">
        <v>82.08</v>
      </c>
      <c r="EO154" s="231">
        <v>2244.81</v>
      </c>
      <c r="EP154" s="231">
        <v>1344.58</v>
      </c>
      <c r="EQ154" s="228">
        <v>900.23</v>
      </c>
      <c r="ER154" s="229">
        <v>0.66949999999999998</v>
      </c>
      <c r="ES154" s="228">
        <v>439.76</v>
      </c>
      <c r="ET154" s="228">
        <v>237.54</v>
      </c>
      <c r="EU154" s="231">
        <v>2088.6799999999998</v>
      </c>
      <c r="EV154" s="231">
        <v>50840137</v>
      </c>
      <c r="EW154" s="231">
        <v>2765.97</v>
      </c>
      <c r="EX154" s="231">
        <v>2690.29</v>
      </c>
      <c r="EY154" s="228">
        <v>75.680000000000007</v>
      </c>
      <c r="EZ154" s="229">
        <v>2.81E-2</v>
      </c>
      <c r="FA154" s="229">
        <v>0.98140000000000005</v>
      </c>
      <c r="FB154" s="227" t="s">
        <v>555</v>
      </c>
      <c r="FC154">
        <f t="shared" si="3"/>
        <v>0</v>
      </c>
    </row>
    <row r="155" spans="1:159" ht="17.25" thickBot="1" x14ac:dyDescent="0.3">
      <c r="A155" s="226">
        <v>46009</v>
      </c>
      <c r="B155" s="227" t="s">
        <v>615</v>
      </c>
      <c r="C155" s="227" t="s">
        <v>575</v>
      </c>
      <c r="D155" s="228">
        <v>725</v>
      </c>
      <c r="E155" s="228">
        <v>12</v>
      </c>
      <c r="F155" s="231">
        <v>1290.5</v>
      </c>
      <c r="G155" s="231">
        <v>1272.7</v>
      </c>
      <c r="H155" s="228">
        <v>17.8</v>
      </c>
      <c r="I155" s="229">
        <v>1.4E-2</v>
      </c>
      <c r="J155" s="231">
        <v>1286.0999999999999</v>
      </c>
      <c r="K155" s="231">
        <v>1268.5999999999999</v>
      </c>
      <c r="L155" s="228">
        <v>17.5</v>
      </c>
      <c r="M155" s="229">
        <v>1.38E-2</v>
      </c>
      <c r="N155" s="231">
        <v>1290.5</v>
      </c>
      <c r="O155" s="231">
        <v>1272.7</v>
      </c>
      <c r="P155" s="228">
        <v>17.8</v>
      </c>
      <c r="Q155" s="229">
        <v>1.4E-2</v>
      </c>
      <c r="R155" s="231">
        <v>1297.9000000000001</v>
      </c>
      <c r="S155" s="231">
        <v>1279</v>
      </c>
      <c r="T155" s="228">
        <v>18.899999999999999</v>
      </c>
      <c r="U155" s="229">
        <v>1.4800000000000001E-2</v>
      </c>
      <c r="V155" s="231">
        <v>1305.5999999999999</v>
      </c>
      <c r="W155" s="231">
        <v>1284.8</v>
      </c>
      <c r="X155" s="228">
        <v>20.8</v>
      </c>
      <c r="Y155" s="229">
        <v>1.6199999999999999E-2</v>
      </c>
      <c r="Z155" s="228">
        <v>4.4000000000000004</v>
      </c>
      <c r="AA155" s="228">
        <v>4.0999999999999996</v>
      </c>
      <c r="AB155" s="228">
        <v>0.3</v>
      </c>
      <c r="AC155" s="229">
        <v>3.3999999999999998E-3</v>
      </c>
      <c r="AD155" s="228">
        <v>4.4000000000000004</v>
      </c>
      <c r="AE155" s="228">
        <v>4.0999999999999996</v>
      </c>
      <c r="AF155" s="228">
        <v>0.3</v>
      </c>
      <c r="AG155" s="229">
        <v>3.3999999999999998E-3</v>
      </c>
      <c r="AH155" s="228">
        <v>11.8</v>
      </c>
      <c r="AI155" s="228">
        <v>10.4</v>
      </c>
      <c r="AJ155" s="228">
        <v>1.4</v>
      </c>
      <c r="AK155" s="229">
        <v>9.1999999999999998E-3</v>
      </c>
      <c r="AL155" s="228">
        <v>19.5</v>
      </c>
      <c r="AM155" s="228">
        <v>16.2</v>
      </c>
      <c r="AN155" s="228">
        <v>3.3</v>
      </c>
      <c r="AO155" s="229">
        <v>1.52E-2</v>
      </c>
      <c r="AP155" s="231">
        <v>1283.5999999999999</v>
      </c>
      <c r="AQ155" s="231">
        <v>1291.05</v>
      </c>
      <c r="AR155" s="228">
        <v>0</v>
      </c>
      <c r="AS155" s="228">
        <v>468</v>
      </c>
      <c r="AT155" s="228">
        <v>307</v>
      </c>
      <c r="AU155" s="228">
        <v>161</v>
      </c>
      <c r="AV155" s="229">
        <v>0.52439999999999998</v>
      </c>
      <c r="AW155" s="228">
        <v>382</v>
      </c>
      <c r="AX155" s="228">
        <v>242</v>
      </c>
      <c r="AY155" s="228">
        <v>140</v>
      </c>
      <c r="AZ155" s="229">
        <v>0.57909999999999995</v>
      </c>
      <c r="BA155" s="228">
        <v>84</v>
      </c>
      <c r="BB155" s="228">
        <v>62</v>
      </c>
      <c r="BC155" s="228">
        <v>22</v>
      </c>
      <c r="BD155" s="229">
        <v>0.35909999999999997</v>
      </c>
      <c r="BE155" s="228">
        <v>2</v>
      </c>
      <c r="BF155" s="228">
        <v>3</v>
      </c>
      <c r="BG155" s="228">
        <v>-1</v>
      </c>
      <c r="BH155" s="229">
        <v>-0.35139999999999999</v>
      </c>
      <c r="BI155" s="230">
        <v>2156</v>
      </c>
      <c r="BJ155" s="230">
        <v>1185</v>
      </c>
      <c r="BK155" s="228">
        <v>972</v>
      </c>
      <c r="BL155" s="229">
        <v>0.82020000000000004</v>
      </c>
      <c r="BM155" s="228">
        <v>969</v>
      </c>
      <c r="BN155" s="228">
        <v>517</v>
      </c>
      <c r="BO155" s="228">
        <v>452</v>
      </c>
      <c r="BP155" s="229">
        <v>0.87480000000000002</v>
      </c>
      <c r="BQ155" s="230">
        <v>3594</v>
      </c>
      <c r="BR155" s="230">
        <v>2009</v>
      </c>
      <c r="BS155" s="230">
        <v>1585</v>
      </c>
      <c r="BT155" s="229">
        <v>0.78900000000000003</v>
      </c>
      <c r="BU155" s="230">
        <v>2363267</v>
      </c>
      <c r="BV155" s="230">
        <v>1621080</v>
      </c>
      <c r="BW155" s="230">
        <v>742187</v>
      </c>
      <c r="BX155" s="229">
        <v>0.45779999999999998</v>
      </c>
      <c r="BY155" s="230">
        <v>2453</v>
      </c>
      <c r="BZ155" s="230">
        <v>2424</v>
      </c>
      <c r="CA155" s="228">
        <v>29</v>
      </c>
      <c r="CB155" s="229">
        <v>1.1900000000000001E-2</v>
      </c>
      <c r="CC155" s="230">
        <v>2292</v>
      </c>
      <c r="CD155" s="230">
        <v>2290</v>
      </c>
      <c r="CE155" s="228">
        <v>3</v>
      </c>
      <c r="CF155" s="229">
        <v>1.1000000000000001E-3</v>
      </c>
      <c r="CG155" s="228">
        <v>146</v>
      </c>
      <c r="CH155" s="228">
        <v>120</v>
      </c>
      <c r="CI155" s="228">
        <v>26</v>
      </c>
      <c r="CJ155" s="229">
        <v>0.2167</v>
      </c>
      <c r="CK155" s="228">
        <v>14</v>
      </c>
      <c r="CL155" s="228">
        <v>14</v>
      </c>
      <c r="CM155" s="228">
        <v>0</v>
      </c>
      <c r="CN155" s="229">
        <v>1.3299999999999999E-2</v>
      </c>
      <c r="CO155" s="230">
        <v>1377</v>
      </c>
      <c r="CP155" s="230">
        <v>1405</v>
      </c>
      <c r="CQ155" s="228">
        <v>-28</v>
      </c>
      <c r="CR155" s="229">
        <v>-2.0199999999999999E-2</v>
      </c>
      <c r="CS155" s="228">
        <v>786</v>
      </c>
      <c r="CT155" s="228">
        <v>762</v>
      </c>
      <c r="CU155" s="228">
        <v>24</v>
      </c>
      <c r="CV155" s="229">
        <v>3.1300000000000001E-2</v>
      </c>
      <c r="CW155" s="230">
        <v>4615</v>
      </c>
      <c r="CX155" s="230">
        <v>4591</v>
      </c>
      <c r="CY155" s="228">
        <v>24</v>
      </c>
      <c r="CZ155" s="229">
        <v>5.3E-3</v>
      </c>
      <c r="DA155" s="228">
        <v>28.06</v>
      </c>
      <c r="DB155" s="228">
        <v>29.56</v>
      </c>
      <c r="DC155" s="228">
        <v>-1.5</v>
      </c>
      <c r="DD155" s="228">
        <v>-1.5</v>
      </c>
      <c r="DE155" s="228">
        <v>52.27</v>
      </c>
      <c r="DF155" s="228">
        <v>52.36</v>
      </c>
      <c r="DG155" s="228">
        <v>-24.21</v>
      </c>
      <c r="DH155" s="228">
        <v>-0.09</v>
      </c>
      <c r="DI155" s="228">
        <v>27.89</v>
      </c>
      <c r="DJ155" s="228">
        <v>29.97</v>
      </c>
      <c r="DK155" s="228">
        <v>-2.08</v>
      </c>
      <c r="DL155" s="228">
        <v>-2.08</v>
      </c>
      <c r="DM155" s="228">
        <v>28.43</v>
      </c>
      <c r="DN155" s="228">
        <v>28.63</v>
      </c>
      <c r="DO155" s="228">
        <v>-0.2</v>
      </c>
      <c r="DP155" s="228">
        <v>-0.2</v>
      </c>
      <c r="DQ155" s="228">
        <v>0.56999999999999995</v>
      </c>
      <c r="DR155" s="228">
        <v>0.54</v>
      </c>
      <c r="DS155" s="228">
        <v>0.03</v>
      </c>
      <c r="DT155" s="229">
        <v>5.5599999999999997E-2</v>
      </c>
      <c r="DU155" s="231">
        <v>1320</v>
      </c>
      <c r="DV155" s="231">
        <v>1200</v>
      </c>
      <c r="DW155" s="228">
        <v>0.45</v>
      </c>
      <c r="DX155" s="228">
        <v>0.44</v>
      </c>
      <c r="DY155" s="228">
        <v>0.01</v>
      </c>
      <c r="DZ155" s="229">
        <v>2.2700000000000001E-2</v>
      </c>
      <c r="EA155" s="229">
        <v>6.5299999999999997E-2</v>
      </c>
      <c r="EB155" s="230">
        <v>1038925</v>
      </c>
      <c r="EC155" s="229">
        <v>5.7000000000000002E-3</v>
      </c>
      <c r="ED155" s="229">
        <v>6.5299999999999997E-2</v>
      </c>
      <c r="EE155" s="228">
        <v>7.45</v>
      </c>
      <c r="EF155" s="229">
        <v>5.7999999999999996E-3</v>
      </c>
      <c r="EG155" s="230">
        <v>883046</v>
      </c>
      <c r="EH155" s="230">
        <v>648564</v>
      </c>
      <c r="EI155" s="229">
        <v>0.36149999999999999</v>
      </c>
      <c r="EJ155" s="229">
        <v>0.37369999999999998</v>
      </c>
      <c r="EK155" s="231">
        <v>2236.92</v>
      </c>
      <c r="EL155" s="228">
        <v>948.69</v>
      </c>
      <c r="EM155" s="228">
        <v>466.09</v>
      </c>
      <c r="EN155" s="228">
        <v>42.56</v>
      </c>
      <c r="EO155" s="231">
        <v>3651.7</v>
      </c>
      <c r="EP155" s="231">
        <v>2045.03</v>
      </c>
      <c r="EQ155" s="231">
        <v>1606.67</v>
      </c>
      <c r="ER155" s="229">
        <v>0.78559999999999997</v>
      </c>
      <c r="ES155" s="231">
        <v>1450.97</v>
      </c>
      <c r="ET155" s="228">
        <v>760.86</v>
      </c>
      <c r="EU155" s="231">
        <v>2453.71</v>
      </c>
      <c r="EV155" s="231">
        <v>95715382</v>
      </c>
      <c r="EW155" s="231">
        <v>4665.55</v>
      </c>
      <c r="EX155" s="231">
        <v>4610.37</v>
      </c>
      <c r="EY155" s="228">
        <v>55.18</v>
      </c>
      <c r="EZ155" s="229">
        <v>1.2E-2</v>
      </c>
      <c r="FA155" s="229">
        <v>0.37369999999999998</v>
      </c>
      <c r="FB155" s="227" t="s">
        <v>555</v>
      </c>
      <c r="FC155">
        <f t="shared" si="3"/>
        <v>0</v>
      </c>
    </row>
    <row r="156" spans="1:159" ht="17.25" thickBot="1" x14ac:dyDescent="0.3">
      <c r="A156" s="226">
        <v>46009</v>
      </c>
      <c r="B156" s="227" t="s">
        <v>221</v>
      </c>
      <c r="C156" s="227" t="s">
        <v>529</v>
      </c>
      <c r="D156" s="228">
        <v>100</v>
      </c>
      <c r="E156" s="228">
        <v>12</v>
      </c>
      <c r="F156" s="231">
        <v>6338</v>
      </c>
      <c r="G156" s="231">
        <v>6289</v>
      </c>
      <c r="H156" s="228">
        <v>49</v>
      </c>
      <c r="I156" s="229">
        <v>7.7999999999999996E-3</v>
      </c>
      <c r="J156" s="231">
        <v>6318.5</v>
      </c>
      <c r="K156" s="231">
        <v>6282.5</v>
      </c>
      <c r="L156" s="228">
        <v>36</v>
      </c>
      <c r="M156" s="229">
        <v>5.7000000000000002E-3</v>
      </c>
      <c r="N156" s="231">
        <v>6338</v>
      </c>
      <c r="O156" s="231">
        <v>6289</v>
      </c>
      <c r="P156" s="228">
        <v>49</v>
      </c>
      <c r="Q156" s="229">
        <v>7.7999999999999996E-3</v>
      </c>
      <c r="R156" s="231">
        <v>6371</v>
      </c>
      <c r="S156" s="231">
        <v>6324.5</v>
      </c>
      <c r="T156" s="228">
        <v>46.5</v>
      </c>
      <c r="U156" s="229">
        <v>7.4000000000000003E-3</v>
      </c>
      <c r="V156" s="231">
        <v>6394.5</v>
      </c>
      <c r="W156" s="231">
        <v>6346</v>
      </c>
      <c r="X156" s="228">
        <v>48.5</v>
      </c>
      <c r="Y156" s="229">
        <v>7.6E-3</v>
      </c>
      <c r="Z156" s="228">
        <v>19.5</v>
      </c>
      <c r="AA156" s="228">
        <v>6.5</v>
      </c>
      <c r="AB156" s="228">
        <v>13</v>
      </c>
      <c r="AC156" s="229">
        <v>3.0999999999999999E-3</v>
      </c>
      <c r="AD156" s="228">
        <v>19.5</v>
      </c>
      <c r="AE156" s="228">
        <v>6.5</v>
      </c>
      <c r="AF156" s="228">
        <v>13</v>
      </c>
      <c r="AG156" s="229">
        <v>3.0999999999999999E-3</v>
      </c>
      <c r="AH156" s="228">
        <v>52.5</v>
      </c>
      <c r="AI156" s="228">
        <v>42</v>
      </c>
      <c r="AJ156" s="228">
        <v>10.5</v>
      </c>
      <c r="AK156" s="229">
        <v>8.3000000000000001E-3</v>
      </c>
      <c r="AL156" s="228">
        <v>76</v>
      </c>
      <c r="AM156" s="228">
        <v>63.5</v>
      </c>
      <c r="AN156" s="228">
        <v>12.5</v>
      </c>
      <c r="AO156" s="229">
        <v>1.2E-2</v>
      </c>
      <c r="AP156" s="231">
        <v>6316.04</v>
      </c>
      <c r="AQ156" s="231">
        <v>6354.57</v>
      </c>
      <c r="AR156" s="228">
        <v>0</v>
      </c>
      <c r="AS156" s="228">
        <v>287</v>
      </c>
      <c r="AT156" s="228">
        <v>229</v>
      </c>
      <c r="AU156" s="228">
        <v>58</v>
      </c>
      <c r="AV156" s="229">
        <v>0.25240000000000001</v>
      </c>
      <c r="AW156" s="228">
        <v>244</v>
      </c>
      <c r="AX156" s="228">
        <v>189</v>
      </c>
      <c r="AY156" s="228">
        <v>56</v>
      </c>
      <c r="AZ156" s="229">
        <v>0.29499999999999998</v>
      </c>
      <c r="BA156" s="228">
        <v>42</v>
      </c>
      <c r="BB156" s="228">
        <v>39</v>
      </c>
      <c r="BC156" s="228">
        <v>3</v>
      </c>
      <c r="BD156" s="229">
        <v>6.8199999999999997E-2</v>
      </c>
      <c r="BE156" s="228">
        <v>1</v>
      </c>
      <c r="BF156" s="228">
        <v>2</v>
      </c>
      <c r="BG156" s="228">
        <v>0</v>
      </c>
      <c r="BH156" s="229">
        <v>-0.28000000000000003</v>
      </c>
      <c r="BI156" s="230">
        <v>1029</v>
      </c>
      <c r="BJ156" s="228">
        <v>846</v>
      </c>
      <c r="BK156" s="228">
        <v>184</v>
      </c>
      <c r="BL156" s="229">
        <v>0.21709999999999999</v>
      </c>
      <c r="BM156" s="228">
        <v>487</v>
      </c>
      <c r="BN156" s="228">
        <v>394</v>
      </c>
      <c r="BO156" s="228">
        <v>94</v>
      </c>
      <c r="BP156" s="229">
        <v>0.23799999999999999</v>
      </c>
      <c r="BQ156" s="230">
        <v>1804</v>
      </c>
      <c r="BR156" s="230">
        <v>1469</v>
      </c>
      <c r="BS156" s="228">
        <v>335</v>
      </c>
      <c r="BT156" s="229">
        <v>0.22819999999999999</v>
      </c>
      <c r="BU156" s="230">
        <v>171491</v>
      </c>
      <c r="BV156" s="230">
        <v>222016</v>
      </c>
      <c r="BW156" s="230">
        <v>-50525</v>
      </c>
      <c r="BX156" s="229">
        <v>-0.2276</v>
      </c>
      <c r="BY156" s="230">
        <v>1398</v>
      </c>
      <c r="BZ156" s="230">
        <v>1391</v>
      </c>
      <c r="CA156" s="228">
        <v>7</v>
      </c>
      <c r="CB156" s="229">
        <v>4.7000000000000002E-3</v>
      </c>
      <c r="CC156" s="230">
        <v>1309</v>
      </c>
      <c r="CD156" s="230">
        <v>1318</v>
      </c>
      <c r="CE156" s="228">
        <v>-9</v>
      </c>
      <c r="CF156" s="229">
        <v>-6.6E-3</v>
      </c>
      <c r="CG156" s="228">
        <v>80</v>
      </c>
      <c r="CH156" s="228">
        <v>65</v>
      </c>
      <c r="CI156" s="228">
        <v>15</v>
      </c>
      <c r="CJ156" s="229">
        <v>0.2306</v>
      </c>
      <c r="CK156" s="228">
        <v>8</v>
      </c>
      <c r="CL156" s="228">
        <v>8</v>
      </c>
      <c r="CM156" s="228">
        <v>0</v>
      </c>
      <c r="CN156" s="229">
        <v>2.3300000000000001E-2</v>
      </c>
      <c r="CO156" s="228">
        <v>731</v>
      </c>
      <c r="CP156" s="228">
        <v>747</v>
      </c>
      <c r="CQ156" s="228">
        <v>-16</v>
      </c>
      <c r="CR156" s="229">
        <v>-2.1899999999999999E-2</v>
      </c>
      <c r="CS156" s="228">
        <v>453</v>
      </c>
      <c r="CT156" s="228">
        <v>430</v>
      </c>
      <c r="CU156" s="228">
        <v>23</v>
      </c>
      <c r="CV156" s="229">
        <v>5.2600000000000001E-2</v>
      </c>
      <c r="CW156" s="230">
        <v>2582</v>
      </c>
      <c r="CX156" s="230">
        <v>2569</v>
      </c>
      <c r="CY156" s="228">
        <v>13</v>
      </c>
      <c r="CZ156" s="229">
        <v>5.0000000000000001E-3</v>
      </c>
      <c r="DA156" s="228">
        <v>27.28</v>
      </c>
      <c r="DB156" s="228">
        <v>28.05</v>
      </c>
      <c r="DC156" s="228">
        <v>-0.77</v>
      </c>
      <c r="DD156" s="228">
        <v>-0.77</v>
      </c>
      <c r="DE156" s="228">
        <v>40.1</v>
      </c>
      <c r="DF156" s="228">
        <v>40.19</v>
      </c>
      <c r="DG156" s="228">
        <v>-12.82</v>
      </c>
      <c r="DH156" s="228">
        <v>-0.09</v>
      </c>
      <c r="DI156" s="228">
        <v>26.68</v>
      </c>
      <c r="DJ156" s="228">
        <v>28.02</v>
      </c>
      <c r="DK156" s="228">
        <v>-1.34</v>
      </c>
      <c r="DL156" s="228">
        <v>-1.34</v>
      </c>
      <c r="DM156" s="228">
        <v>28.55</v>
      </c>
      <c r="DN156" s="228">
        <v>28.11</v>
      </c>
      <c r="DO156" s="228">
        <v>0.44</v>
      </c>
      <c r="DP156" s="228">
        <v>0.44</v>
      </c>
      <c r="DQ156" s="228">
        <v>0.62</v>
      </c>
      <c r="DR156" s="228">
        <v>0.57999999999999996</v>
      </c>
      <c r="DS156" s="228">
        <v>0.04</v>
      </c>
      <c r="DT156" s="229">
        <v>6.9000000000000006E-2</v>
      </c>
      <c r="DU156" s="231">
        <v>6500</v>
      </c>
      <c r="DV156" s="231">
        <v>6000</v>
      </c>
      <c r="DW156" s="228">
        <v>0.47</v>
      </c>
      <c r="DX156" s="228">
        <v>0.47</v>
      </c>
      <c r="DY156" s="228">
        <v>0</v>
      </c>
      <c r="DZ156" s="229">
        <v>0</v>
      </c>
      <c r="EA156" s="229">
        <v>6.3600000000000004E-2</v>
      </c>
      <c r="EB156" s="230">
        <v>116100</v>
      </c>
      <c r="EC156" s="229">
        <v>5.1999999999999998E-3</v>
      </c>
      <c r="ED156" s="229">
        <v>6.3600000000000004E-2</v>
      </c>
      <c r="EE156" s="228">
        <v>38.53</v>
      </c>
      <c r="EF156" s="229">
        <v>6.1000000000000004E-3</v>
      </c>
      <c r="EG156" s="230">
        <v>69612</v>
      </c>
      <c r="EH156" s="230">
        <v>103721</v>
      </c>
      <c r="EI156" s="229">
        <v>-0.32890000000000003</v>
      </c>
      <c r="EJ156" s="229">
        <v>0.40589999999999998</v>
      </c>
      <c r="EK156" s="231">
        <v>1060.68</v>
      </c>
      <c r="EL156" s="228">
        <v>472.61</v>
      </c>
      <c r="EM156" s="228">
        <v>286.38</v>
      </c>
      <c r="EN156" s="228">
        <v>54.96</v>
      </c>
      <c r="EO156" s="231">
        <v>1819.67</v>
      </c>
      <c r="EP156" s="231">
        <v>1489.25</v>
      </c>
      <c r="EQ156" s="228">
        <v>330.42</v>
      </c>
      <c r="ER156" s="229">
        <v>0.22189999999999999</v>
      </c>
      <c r="ES156" s="228">
        <v>759.6</v>
      </c>
      <c r="ET156" s="228">
        <v>429.67</v>
      </c>
      <c r="EU156" s="231">
        <v>1398.21</v>
      </c>
      <c r="EV156" s="231">
        <v>16151851</v>
      </c>
      <c r="EW156" s="231">
        <v>2587.48</v>
      </c>
      <c r="EX156" s="231">
        <v>2565.09</v>
      </c>
      <c r="EY156" s="228">
        <v>22.39</v>
      </c>
      <c r="EZ156" s="229">
        <v>8.6999999999999994E-3</v>
      </c>
      <c r="FA156" s="229">
        <v>0.25219999999999998</v>
      </c>
      <c r="FB156" s="227" t="s">
        <v>555</v>
      </c>
      <c r="FC156">
        <f t="shared" si="3"/>
        <v>0</v>
      </c>
    </row>
    <row r="157" spans="1:159" ht="17.25" thickBot="1" x14ac:dyDescent="0.3">
      <c r="A157" s="226">
        <v>46009</v>
      </c>
      <c r="B157" s="227" t="s">
        <v>193</v>
      </c>
      <c r="C157" s="227" t="s">
        <v>272</v>
      </c>
      <c r="D157" s="228">
        <v>1800</v>
      </c>
      <c r="E157" s="228">
        <v>12</v>
      </c>
      <c r="F157" s="228">
        <v>269.60000000000002</v>
      </c>
      <c r="G157" s="228">
        <v>269.45</v>
      </c>
      <c r="H157" s="228">
        <v>0.15</v>
      </c>
      <c r="I157" s="229">
        <v>5.9999999999999995E-4</v>
      </c>
      <c r="J157" s="228">
        <v>268.8</v>
      </c>
      <c r="K157" s="228">
        <v>268.64999999999998</v>
      </c>
      <c r="L157" s="228">
        <v>0.15</v>
      </c>
      <c r="M157" s="229">
        <v>5.9999999999999995E-4</v>
      </c>
      <c r="N157" s="228">
        <v>269.60000000000002</v>
      </c>
      <c r="O157" s="228">
        <v>269.45</v>
      </c>
      <c r="P157" s="228">
        <v>0.15</v>
      </c>
      <c r="Q157" s="229">
        <v>5.9999999999999995E-4</v>
      </c>
      <c r="R157" s="228">
        <v>271.35000000000002</v>
      </c>
      <c r="S157" s="228">
        <v>271</v>
      </c>
      <c r="T157" s="228">
        <v>0.35</v>
      </c>
      <c r="U157" s="229">
        <v>1.2999999999999999E-3</v>
      </c>
      <c r="V157" s="228">
        <v>272.39999999999998</v>
      </c>
      <c r="W157" s="228">
        <v>272.3</v>
      </c>
      <c r="X157" s="228">
        <v>0.1</v>
      </c>
      <c r="Y157" s="229">
        <v>4.0000000000000002E-4</v>
      </c>
      <c r="Z157" s="228">
        <v>0.8</v>
      </c>
      <c r="AA157" s="228">
        <v>0.8</v>
      </c>
      <c r="AB157" s="228">
        <v>0</v>
      </c>
      <c r="AC157" s="229">
        <v>3.0000000000000001E-3</v>
      </c>
      <c r="AD157" s="228">
        <v>0.8</v>
      </c>
      <c r="AE157" s="228">
        <v>0.8</v>
      </c>
      <c r="AF157" s="228">
        <v>0</v>
      </c>
      <c r="AG157" s="229">
        <v>3.0000000000000001E-3</v>
      </c>
      <c r="AH157" s="228">
        <v>2.5499999999999998</v>
      </c>
      <c r="AI157" s="228">
        <v>2.35</v>
      </c>
      <c r="AJ157" s="228">
        <v>0.2</v>
      </c>
      <c r="AK157" s="229">
        <v>9.4999999999999998E-3</v>
      </c>
      <c r="AL157" s="228">
        <v>3.6</v>
      </c>
      <c r="AM157" s="228">
        <v>3.65</v>
      </c>
      <c r="AN157" s="228">
        <v>-0.05</v>
      </c>
      <c r="AO157" s="229">
        <v>1.34E-2</v>
      </c>
      <c r="AP157" s="228">
        <v>269.3</v>
      </c>
      <c r="AQ157" s="228">
        <v>271</v>
      </c>
      <c r="AR157" s="228">
        <v>0</v>
      </c>
      <c r="AS157" s="228">
        <v>99</v>
      </c>
      <c r="AT157" s="228">
        <v>82</v>
      </c>
      <c r="AU157" s="228">
        <v>18</v>
      </c>
      <c r="AV157" s="229">
        <v>0.21629999999999999</v>
      </c>
      <c r="AW157" s="228">
        <v>72</v>
      </c>
      <c r="AX157" s="228">
        <v>68</v>
      </c>
      <c r="AY157" s="228">
        <v>4</v>
      </c>
      <c r="AZ157" s="229">
        <v>5.9400000000000001E-2</v>
      </c>
      <c r="BA157" s="228">
        <v>27</v>
      </c>
      <c r="BB157" s="228">
        <v>13</v>
      </c>
      <c r="BC157" s="228">
        <v>14</v>
      </c>
      <c r="BD157" s="229">
        <v>1.0365</v>
      </c>
      <c r="BE157" s="228">
        <v>0</v>
      </c>
      <c r="BF157" s="228">
        <v>1</v>
      </c>
      <c r="BG157" s="228">
        <v>0</v>
      </c>
      <c r="BH157" s="229">
        <v>-0.25</v>
      </c>
      <c r="BI157" s="228">
        <v>142</v>
      </c>
      <c r="BJ157" s="228">
        <v>159</v>
      </c>
      <c r="BK157" s="228">
        <v>-17</v>
      </c>
      <c r="BL157" s="229">
        <v>-0.10639999999999999</v>
      </c>
      <c r="BM157" s="228">
        <v>74</v>
      </c>
      <c r="BN157" s="228">
        <v>111</v>
      </c>
      <c r="BO157" s="228">
        <v>-37</v>
      </c>
      <c r="BP157" s="229">
        <v>-0.33479999999999999</v>
      </c>
      <c r="BQ157" s="228">
        <v>315</v>
      </c>
      <c r="BR157" s="228">
        <v>352</v>
      </c>
      <c r="BS157" s="228">
        <v>-36</v>
      </c>
      <c r="BT157" s="229">
        <v>-0.10340000000000001</v>
      </c>
      <c r="BU157" s="230">
        <v>1030983</v>
      </c>
      <c r="BV157" s="230">
        <v>1481782</v>
      </c>
      <c r="BW157" s="230">
        <v>-450799</v>
      </c>
      <c r="BX157" s="229">
        <v>-0.30420000000000003</v>
      </c>
      <c r="BY157" s="230">
        <v>1268</v>
      </c>
      <c r="BZ157" s="230">
        <v>1274</v>
      </c>
      <c r="CA157" s="228">
        <v>-6</v>
      </c>
      <c r="CB157" s="229">
        <v>-4.3E-3</v>
      </c>
      <c r="CC157" s="230">
        <v>1155</v>
      </c>
      <c r="CD157" s="230">
        <v>1176</v>
      </c>
      <c r="CE157" s="228">
        <v>-20</v>
      </c>
      <c r="CF157" s="229">
        <v>-1.72E-2</v>
      </c>
      <c r="CG157" s="228">
        <v>107</v>
      </c>
      <c r="CH157" s="228">
        <v>92</v>
      </c>
      <c r="CI157" s="228">
        <v>15</v>
      </c>
      <c r="CJ157" s="229">
        <v>0.1613</v>
      </c>
      <c r="CK157" s="228">
        <v>6</v>
      </c>
      <c r="CL157" s="228">
        <v>6</v>
      </c>
      <c r="CM157" s="228">
        <v>0</v>
      </c>
      <c r="CN157" s="229">
        <v>-1.61E-2</v>
      </c>
      <c r="CO157" s="228">
        <v>470</v>
      </c>
      <c r="CP157" s="228">
        <v>465</v>
      </c>
      <c r="CQ157" s="228">
        <v>5</v>
      </c>
      <c r="CR157" s="229">
        <v>1.1599999999999999E-2</v>
      </c>
      <c r="CS157" s="228">
        <v>477</v>
      </c>
      <c r="CT157" s="228">
        <v>471</v>
      </c>
      <c r="CU157" s="228">
        <v>6</v>
      </c>
      <c r="CV157" s="229">
        <v>1.2800000000000001E-2</v>
      </c>
      <c r="CW157" s="230">
        <v>2215</v>
      </c>
      <c r="CX157" s="230">
        <v>2209</v>
      </c>
      <c r="CY157" s="228">
        <v>6</v>
      </c>
      <c r="CZ157" s="229">
        <v>2.7000000000000001E-3</v>
      </c>
      <c r="DA157" s="228">
        <v>20.059999999999999</v>
      </c>
      <c r="DB157" s="228">
        <v>20.2</v>
      </c>
      <c r="DC157" s="228">
        <v>-0.14000000000000001</v>
      </c>
      <c r="DD157" s="228">
        <v>-0.14000000000000001</v>
      </c>
      <c r="DE157" s="228">
        <v>31.19</v>
      </c>
      <c r="DF157" s="228">
        <v>31.26</v>
      </c>
      <c r="DG157" s="228">
        <v>-11.13</v>
      </c>
      <c r="DH157" s="228">
        <v>-7.0000000000000007E-2</v>
      </c>
      <c r="DI157" s="228">
        <v>19.989999999999998</v>
      </c>
      <c r="DJ157" s="228">
        <v>20.25</v>
      </c>
      <c r="DK157" s="228">
        <v>-0.26</v>
      </c>
      <c r="DL157" s="228">
        <v>-0.26</v>
      </c>
      <c r="DM157" s="228">
        <v>20.190000000000001</v>
      </c>
      <c r="DN157" s="228">
        <v>20.13</v>
      </c>
      <c r="DO157" s="228">
        <v>0.06</v>
      </c>
      <c r="DP157" s="228">
        <v>0.06</v>
      </c>
      <c r="DQ157" s="228">
        <v>1.02</v>
      </c>
      <c r="DR157" s="228">
        <v>1.01</v>
      </c>
      <c r="DS157" s="228">
        <v>0.01</v>
      </c>
      <c r="DT157" s="229">
        <v>9.9000000000000008E-3</v>
      </c>
      <c r="DU157" s="228">
        <v>300</v>
      </c>
      <c r="DV157" s="228">
        <v>300</v>
      </c>
      <c r="DW157" s="228">
        <v>0.52</v>
      </c>
      <c r="DX157" s="228">
        <v>0.7</v>
      </c>
      <c r="DY157" s="228">
        <v>-0.18</v>
      </c>
      <c r="DZ157" s="229">
        <v>-0.2571</v>
      </c>
      <c r="EA157" s="229">
        <v>8.8999999999999996E-2</v>
      </c>
      <c r="EB157" s="230">
        <v>3640400</v>
      </c>
      <c r="EC157" s="229">
        <v>6.4999999999999997E-3</v>
      </c>
      <c r="ED157" s="229">
        <v>8.8999999999999996E-2</v>
      </c>
      <c r="EE157" s="228">
        <v>1.7</v>
      </c>
      <c r="EF157" s="229">
        <v>6.3E-3</v>
      </c>
      <c r="EG157" s="230">
        <v>545149</v>
      </c>
      <c r="EH157" s="230">
        <v>888482</v>
      </c>
      <c r="EI157" s="229">
        <v>-0.38640000000000002</v>
      </c>
      <c r="EJ157" s="229">
        <v>0.52880000000000005</v>
      </c>
      <c r="EK157" s="228">
        <v>147.16999999999999</v>
      </c>
      <c r="EL157" s="228">
        <v>73.260000000000005</v>
      </c>
      <c r="EM157" s="228">
        <v>100.94</v>
      </c>
      <c r="EN157" s="228">
        <v>15.21</v>
      </c>
      <c r="EO157" s="228">
        <v>321.36</v>
      </c>
      <c r="EP157" s="228">
        <v>355.83</v>
      </c>
      <c r="EQ157" s="228">
        <v>-34.46</v>
      </c>
      <c r="ER157" s="229">
        <v>-9.69E-2</v>
      </c>
      <c r="ES157" s="228">
        <v>495.88</v>
      </c>
      <c r="ET157" s="228">
        <v>484.33</v>
      </c>
      <c r="EU157" s="231">
        <v>1269.01</v>
      </c>
      <c r="EV157" s="231">
        <v>93668136</v>
      </c>
      <c r="EW157" s="231">
        <v>2249.2199999999998</v>
      </c>
      <c r="EX157" s="231">
        <v>2242.7800000000002</v>
      </c>
      <c r="EY157" s="228">
        <v>6.44</v>
      </c>
      <c r="EZ157" s="229">
        <v>2.8999999999999998E-3</v>
      </c>
      <c r="FA157" s="229">
        <v>0.87719999999999998</v>
      </c>
      <c r="FB157" s="227" t="s">
        <v>556</v>
      </c>
      <c r="FC157">
        <f t="shared" si="3"/>
        <v>0</v>
      </c>
    </row>
    <row r="158" spans="1:159" ht="17.25" thickBot="1" x14ac:dyDescent="0.3">
      <c r="A158" s="226">
        <v>46009</v>
      </c>
      <c r="B158" s="227" t="s">
        <v>175</v>
      </c>
      <c r="C158" s="227" t="s">
        <v>273</v>
      </c>
      <c r="D158" s="228">
        <v>1300</v>
      </c>
      <c r="E158" s="228">
        <v>12</v>
      </c>
      <c r="F158" s="228">
        <v>336.1</v>
      </c>
      <c r="G158" s="228">
        <v>336.75</v>
      </c>
      <c r="H158" s="228">
        <v>-0.65</v>
      </c>
      <c r="I158" s="229">
        <v>-1.9E-3</v>
      </c>
      <c r="J158" s="228">
        <v>335.05</v>
      </c>
      <c r="K158" s="228">
        <v>335.65</v>
      </c>
      <c r="L158" s="228">
        <v>-0.6</v>
      </c>
      <c r="M158" s="229">
        <v>-1.8E-3</v>
      </c>
      <c r="N158" s="228">
        <v>336.1</v>
      </c>
      <c r="O158" s="228">
        <v>336.75</v>
      </c>
      <c r="P158" s="228">
        <v>-0.65</v>
      </c>
      <c r="Q158" s="229">
        <v>-1.9E-3</v>
      </c>
      <c r="R158" s="228">
        <v>338.15</v>
      </c>
      <c r="S158" s="228">
        <v>338.7</v>
      </c>
      <c r="T158" s="228">
        <v>-0.55000000000000004</v>
      </c>
      <c r="U158" s="229">
        <v>-1.6000000000000001E-3</v>
      </c>
      <c r="V158" s="228">
        <v>339.5</v>
      </c>
      <c r="W158" s="228">
        <v>339.7</v>
      </c>
      <c r="X158" s="228">
        <v>-0.2</v>
      </c>
      <c r="Y158" s="229">
        <v>-5.9999999999999995E-4</v>
      </c>
      <c r="Z158" s="228">
        <v>1.05</v>
      </c>
      <c r="AA158" s="228">
        <v>1.1000000000000001</v>
      </c>
      <c r="AB158" s="228">
        <v>-0.05</v>
      </c>
      <c r="AC158" s="229">
        <v>3.0999999999999999E-3</v>
      </c>
      <c r="AD158" s="228">
        <v>1.05</v>
      </c>
      <c r="AE158" s="228">
        <v>1.1000000000000001</v>
      </c>
      <c r="AF158" s="228">
        <v>-0.05</v>
      </c>
      <c r="AG158" s="229">
        <v>3.0999999999999999E-3</v>
      </c>
      <c r="AH158" s="228">
        <v>3.1</v>
      </c>
      <c r="AI158" s="228">
        <v>3.05</v>
      </c>
      <c r="AJ158" s="228">
        <v>0.05</v>
      </c>
      <c r="AK158" s="229">
        <v>9.2999999999999992E-3</v>
      </c>
      <c r="AL158" s="228">
        <v>4.45</v>
      </c>
      <c r="AM158" s="228">
        <v>4.05</v>
      </c>
      <c r="AN158" s="228">
        <v>0.4</v>
      </c>
      <c r="AO158" s="229">
        <v>1.3299999999999999E-2</v>
      </c>
      <c r="AP158" s="228">
        <v>334.77</v>
      </c>
      <c r="AQ158" s="228">
        <v>336.81</v>
      </c>
      <c r="AR158" s="228">
        <v>0</v>
      </c>
      <c r="AS158" s="228">
        <v>333</v>
      </c>
      <c r="AT158" s="228">
        <v>199</v>
      </c>
      <c r="AU158" s="228">
        <v>134</v>
      </c>
      <c r="AV158" s="229">
        <v>0.67620000000000002</v>
      </c>
      <c r="AW158" s="228">
        <v>221</v>
      </c>
      <c r="AX158" s="228">
        <v>141</v>
      </c>
      <c r="AY158" s="228">
        <v>80</v>
      </c>
      <c r="AZ158" s="229">
        <v>0.56499999999999995</v>
      </c>
      <c r="BA158" s="228">
        <v>103</v>
      </c>
      <c r="BB158" s="228">
        <v>47</v>
      </c>
      <c r="BC158" s="228">
        <v>56</v>
      </c>
      <c r="BD158" s="229">
        <v>1.1776</v>
      </c>
      <c r="BE158" s="228">
        <v>9</v>
      </c>
      <c r="BF158" s="228">
        <v>10</v>
      </c>
      <c r="BG158" s="228">
        <v>-1</v>
      </c>
      <c r="BH158" s="229">
        <v>-0.1026</v>
      </c>
      <c r="BI158" s="230">
        <v>1419</v>
      </c>
      <c r="BJ158" s="228">
        <v>867</v>
      </c>
      <c r="BK158" s="228">
        <v>552</v>
      </c>
      <c r="BL158" s="229">
        <v>0.63619999999999999</v>
      </c>
      <c r="BM158" s="228">
        <v>576</v>
      </c>
      <c r="BN158" s="228">
        <v>329</v>
      </c>
      <c r="BO158" s="228">
        <v>247</v>
      </c>
      <c r="BP158" s="229">
        <v>0.749</v>
      </c>
      <c r="BQ158" s="230">
        <v>2329</v>
      </c>
      <c r="BR158" s="230">
        <v>1396</v>
      </c>
      <c r="BS158" s="228">
        <v>933</v>
      </c>
      <c r="BT158" s="229">
        <v>0.66849999999999998</v>
      </c>
      <c r="BU158" s="230">
        <v>5547258</v>
      </c>
      <c r="BV158" s="230">
        <v>4893980</v>
      </c>
      <c r="BW158" s="230">
        <v>653278</v>
      </c>
      <c r="BX158" s="229">
        <v>0.13350000000000001</v>
      </c>
      <c r="BY158" s="230">
        <v>2932</v>
      </c>
      <c r="BZ158" s="230">
        <v>2908</v>
      </c>
      <c r="CA158" s="228">
        <v>24</v>
      </c>
      <c r="CB158" s="229">
        <v>8.2000000000000007E-3</v>
      </c>
      <c r="CC158" s="230">
        <v>2524</v>
      </c>
      <c r="CD158" s="230">
        <v>2555</v>
      </c>
      <c r="CE158" s="228">
        <v>-31</v>
      </c>
      <c r="CF158" s="229">
        <v>-1.21E-2</v>
      </c>
      <c r="CG158" s="228">
        <v>348</v>
      </c>
      <c r="CH158" s="228">
        <v>297</v>
      </c>
      <c r="CI158" s="228">
        <v>51</v>
      </c>
      <c r="CJ158" s="229">
        <v>0.1724</v>
      </c>
      <c r="CK158" s="228">
        <v>59</v>
      </c>
      <c r="CL158" s="228">
        <v>56</v>
      </c>
      <c r="CM158" s="228">
        <v>4</v>
      </c>
      <c r="CN158" s="229">
        <v>6.6799999999999998E-2</v>
      </c>
      <c r="CO158" s="230">
        <v>1700</v>
      </c>
      <c r="CP158" s="230">
        <v>1676</v>
      </c>
      <c r="CQ158" s="228">
        <v>23</v>
      </c>
      <c r="CR158" s="229">
        <v>1.3899999999999999E-2</v>
      </c>
      <c r="CS158" s="230">
        <v>1028</v>
      </c>
      <c r="CT158" s="228">
        <v>994</v>
      </c>
      <c r="CU158" s="228">
        <v>35</v>
      </c>
      <c r="CV158" s="229">
        <v>3.4700000000000002E-2</v>
      </c>
      <c r="CW158" s="230">
        <v>5660</v>
      </c>
      <c r="CX158" s="230">
        <v>5578</v>
      </c>
      <c r="CY158" s="228">
        <v>82</v>
      </c>
      <c r="CZ158" s="229">
        <v>1.46E-2</v>
      </c>
      <c r="DA158" s="228">
        <v>21.63</v>
      </c>
      <c r="DB158" s="228">
        <v>23.22</v>
      </c>
      <c r="DC158" s="228">
        <v>-1.59</v>
      </c>
      <c r="DD158" s="228">
        <v>-1.59</v>
      </c>
      <c r="DE158" s="228">
        <v>41.34</v>
      </c>
      <c r="DF158" s="228">
        <v>41.44</v>
      </c>
      <c r="DG158" s="228">
        <v>-19.71</v>
      </c>
      <c r="DH158" s="228">
        <v>-0.1</v>
      </c>
      <c r="DI158" s="228">
        <v>21.88</v>
      </c>
      <c r="DJ158" s="228">
        <v>24.08</v>
      </c>
      <c r="DK158" s="228">
        <v>-2.2000000000000002</v>
      </c>
      <c r="DL158" s="228">
        <v>-2.2000000000000002</v>
      </c>
      <c r="DM158" s="228">
        <v>21.02</v>
      </c>
      <c r="DN158" s="228">
        <v>20.96</v>
      </c>
      <c r="DO158" s="228">
        <v>0.06</v>
      </c>
      <c r="DP158" s="228">
        <v>0.06</v>
      </c>
      <c r="DQ158" s="228">
        <v>0.61</v>
      </c>
      <c r="DR158" s="228">
        <v>0.59</v>
      </c>
      <c r="DS158" s="228">
        <v>0.02</v>
      </c>
      <c r="DT158" s="229">
        <v>3.39E-2</v>
      </c>
      <c r="DU158" s="228">
        <v>350</v>
      </c>
      <c r="DV158" s="228">
        <v>360</v>
      </c>
      <c r="DW158" s="228">
        <v>0.41</v>
      </c>
      <c r="DX158" s="228">
        <v>0.38</v>
      </c>
      <c r="DY158" s="228">
        <v>0.03</v>
      </c>
      <c r="DZ158" s="229">
        <v>7.8899999999999998E-2</v>
      </c>
      <c r="EA158" s="229">
        <v>0.1389</v>
      </c>
      <c r="EB158" s="230">
        <v>10481900</v>
      </c>
      <c r="EC158" s="229">
        <v>6.1000000000000004E-3</v>
      </c>
      <c r="ED158" s="229">
        <v>0.1389</v>
      </c>
      <c r="EE158" s="228">
        <v>2.04</v>
      </c>
      <c r="EF158" s="229">
        <v>6.1000000000000004E-3</v>
      </c>
      <c r="EG158" s="230">
        <v>2758051</v>
      </c>
      <c r="EH158" s="230">
        <v>2696378</v>
      </c>
      <c r="EI158" s="229">
        <v>2.29E-2</v>
      </c>
      <c r="EJ158" s="229">
        <v>0.49719999999999998</v>
      </c>
      <c r="EK158" s="231">
        <v>1482.36</v>
      </c>
      <c r="EL158" s="228">
        <v>583.88</v>
      </c>
      <c r="EM158" s="228">
        <v>332.77</v>
      </c>
      <c r="EN158" s="228">
        <v>50.28</v>
      </c>
      <c r="EO158" s="231">
        <v>2399.0100000000002</v>
      </c>
      <c r="EP158" s="231">
        <v>1448.51</v>
      </c>
      <c r="EQ158" s="228">
        <v>950.5</v>
      </c>
      <c r="ER158" s="229">
        <v>0.65620000000000001</v>
      </c>
      <c r="ES158" s="231">
        <v>1847.27</v>
      </c>
      <c r="ET158" s="231">
        <v>1106.67</v>
      </c>
      <c r="EU158" s="231">
        <v>2934.3</v>
      </c>
      <c r="EV158" s="231">
        <v>203602113</v>
      </c>
      <c r="EW158" s="231">
        <v>5888.25</v>
      </c>
      <c r="EX158" s="231">
        <v>5819.42</v>
      </c>
      <c r="EY158" s="228">
        <v>68.83</v>
      </c>
      <c r="EZ158" s="229">
        <v>1.18E-2</v>
      </c>
      <c r="FA158" s="229">
        <v>0.82699999999999996</v>
      </c>
      <c r="FB158" s="227" t="s">
        <v>567</v>
      </c>
      <c r="FC158">
        <f t="shared" si="3"/>
        <v>0</v>
      </c>
    </row>
    <row r="159" spans="1:159" ht="17.25" thickBot="1" x14ac:dyDescent="0.3">
      <c r="A159" s="226">
        <v>46009</v>
      </c>
      <c r="B159" s="227" t="s">
        <v>184</v>
      </c>
      <c r="C159" s="227" t="s">
        <v>681</v>
      </c>
      <c r="D159" s="228">
        <v>700</v>
      </c>
      <c r="E159" s="228">
        <v>12</v>
      </c>
      <c r="F159" s="228">
        <v>566.29999999999995</v>
      </c>
      <c r="G159" s="228">
        <v>563.65</v>
      </c>
      <c r="H159" s="228">
        <v>2.65</v>
      </c>
      <c r="I159" s="229">
        <v>4.7000000000000002E-3</v>
      </c>
      <c r="J159" s="228">
        <v>566.35</v>
      </c>
      <c r="K159" s="228">
        <v>563.75</v>
      </c>
      <c r="L159" s="228">
        <v>2.6</v>
      </c>
      <c r="M159" s="229">
        <v>4.5999999999999999E-3</v>
      </c>
      <c r="N159" s="228">
        <v>566.29999999999995</v>
      </c>
      <c r="O159" s="228">
        <v>563.65</v>
      </c>
      <c r="P159" s="228">
        <v>2.65</v>
      </c>
      <c r="Q159" s="229">
        <v>4.7000000000000002E-3</v>
      </c>
      <c r="R159" s="228">
        <v>568.85</v>
      </c>
      <c r="S159" s="228">
        <v>566.29999999999995</v>
      </c>
      <c r="T159" s="228">
        <v>2.5499999999999998</v>
      </c>
      <c r="U159" s="229">
        <v>4.4999999999999997E-3</v>
      </c>
      <c r="V159" s="228">
        <v>571.04999999999995</v>
      </c>
      <c r="W159" s="228">
        <v>569.95000000000005</v>
      </c>
      <c r="X159" s="228">
        <v>1.1000000000000001</v>
      </c>
      <c r="Y159" s="229">
        <v>1.9E-3</v>
      </c>
      <c r="Z159" s="228">
        <v>-0.05</v>
      </c>
      <c r="AA159" s="228">
        <v>-0.1</v>
      </c>
      <c r="AB159" s="228">
        <v>0.05</v>
      </c>
      <c r="AC159" s="229">
        <v>-1E-4</v>
      </c>
      <c r="AD159" s="228">
        <v>-0.05</v>
      </c>
      <c r="AE159" s="228">
        <v>-0.1</v>
      </c>
      <c r="AF159" s="228">
        <v>0.05</v>
      </c>
      <c r="AG159" s="229">
        <v>-1E-4</v>
      </c>
      <c r="AH159" s="228">
        <v>2.5</v>
      </c>
      <c r="AI159" s="228">
        <v>2.5499999999999998</v>
      </c>
      <c r="AJ159" s="228">
        <v>-0.05</v>
      </c>
      <c r="AK159" s="229">
        <v>4.4000000000000003E-3</v>
      </c>
      <c r="AL159" s="228">
        <v>4.7</v>
      </c>
      <c r="AM159" s="228">
        <v>6.2</v>
      </c>
      <c r="AN159" s="228">
        <v>-1.5</v>
      </c>
      <c r="AO159" s="229">
        <v>8.3000000000000001E-3</v>
      </c>
      <c r="AP159" s="228">
        <v>564.66999999999996</v>
      </c>
      <c r="AQ159" s="228">
        <v>566.37</v>
      </c>
      <c r="AR159" s="228">
        <v>0</v>
      </c>
      <c r="AS159" s="228">
        <v>120</v>
      </c>
      <c r="AT159" s="228">
        <v>83</v>
      </c>
      <c r="AU159" s="228">
        <v>37</v>
      </c>
      <c r="AV159" s="229">
        <v>0.4471</v>
      </c>
      <c r="AW159" s="228">
        <v>84</v>
      </c>
      <c r="AX159" s="228">
        <v>73</v>
      </c>
      <c r="AY159" s="228">
        <v>11</v>
      </c>
      <c r="AZ159" s="229">
        <v>0.1474</v>
      </c>
      <c r="BA159" s="228">
        <v>26</v>
      </c>
      <c r="BB159" s="228">
        <v>9</v>
      </c>
      <c r="BC159" s="228">
        <v>17</v>
      </c>
      <c r="BD159" s="229">
        <v>1.8050999999999999</v>
      </c>
      <c r="BE159" s="228">
        <v>10</v>
      </c>
      <c r="BF159" s="228">
        <v>1</v>
      </c>
      <c r="BG159" s="228">
        <v>10</v>
      </c>
      <c r="BH159" s="229">
        <v>12.684200000000001</v>
      </c>
      <c r="BI159" s="228">
        <v>354</v>
      </c>
      <c r="BJ159" s="228">
        <v>421</v>
      </c>
      <c r="BK159" s="228">
        <v>-67</v>
      </c>
      <c r="BL159" s="229">
        <v>-0.15970000000000001</v>
      </c>
      <c r="BM159" s="228">
        <v>126</v>
      </c>
      <c r="BN159" s="228">
        <v>174</v>
      </c>
      <c r="BO159" s="228">
        <v>-48</v>
      </c>
      <c r="BP159" s="229">
        <v>-0.2757</v>
      </c>
      <c r="BQ159" s="228">
        <v>600</v>
      </c>
      <c r="BR159" s="228">
        <v>678</v>
      </c>
      <c r="BS159" s="228">
        <v>-78</v>
      </c>
      <c r="BT159" s="229">
        <v>-0.115</v>
      </c>
      <c r="BU159" s="230">
        <v>1145392</v>
      </c>
      <c r="BV159" s="230">
        <v>1519721</v>
      </c>
      <c r="BW159" s="230">
        <v>-374329</v>
      </c>
      <c r="BX159" s="229">
        <v>-0.24629999999999999</v>
      </c>
      <c r="BY159" s="228">
        <v>578</v>
      </c>
      <c r="BZ159" s="228">
        <v>566</v>
      </c>
      <c r="CA159" s="228">
        <v>12</v>
      </c>
      <c r="CB159" s="229">
        <v>2.07E-2</v>
      </c>
      <c r="CC159" s="228">
        <v>537</v>
      </c>
      <c r="CD159" s="228">
        <v>536</v>
      </c>
      <c r="CE159" s="228">
        <v>1</v>
      </c>
      <c r="CF159" s="229">
        <v>1E-3</v>
      </c>
      <c r="CG159" s="228">
        <v>31</v>
      </c>
      <c r="CH159" s="228">
        <v>26</v>
      </c>
      <c r="CI159" s="228">
        <v>5</v>
      </c>
      <c r="CJ159" s="229">
        <v>0.182</v>
      </c>
      <c r="CK159" s="228">
        <v>10</v>
      </c>
      <c r="CL159" s="228">
        <v>4</v>
      </c>
      <c r="CM159" s="228">
        <v>6</v>
      </c>
      <c r="CN159" s="229">
        <v>1.7353000000000001</v>
      </c>
      <c r="CO159" s="228">
        <v>481</v>
      </c>
      <c r="CP159" s="228">
        <v>506</v>
      </c>
      <c r="CQ159" s="228">
        <v>-26</v>
      </c>
      <c r="CR159" s="229">
        <v>-5.0700000000000002E-2</v>
      </c>
      <c r="CS159" s="228">
        <v>315</v>
      </c>
      <c r="CT159" s="228">
        <v>319</v>
      </c>
      <c r="CU159" s="228">
        <v>-4</v>
      </c>
      <c r="CV159" s="229">
        <v>-1.18E-2</v>
      </c>
      <c r="CW159" s="230">
        <v>1373</v>
      </c>
      <c r="CX159" s="230">
        <v>1391</v>
      </c>
      <c r="CY159" s="228">
        <v>-18</v>
      </c>
      <c r="CZ159" s="229">
        <v>-1.2800000000000001E-2</v>
      </c>
      <c r="DA159" s="228">
        <v>36.130000000000003</v>
      </c>
      <c r="DB159" s="228">
        <v>37.03</v>
      </c>
      <c r="DC159" s="228">
        <v>-0.9</v>
      </c>
      <c r="DD159" s="228">
        <v>-0.9</v>
      </c>
      <c r="DE159" s="228">
        <v>66.12</v>
      </c>
      <c r="DF159" s="228">
        <v>66.28</v>
      </c>
      <c r="DG159" s="228">
        <v>-29.99</v>
      </c>
      <c r="DH159" s="228">
        <v>-0.16</v>
      </c>
      <c r="DI159" s="228">
        <v>36.26</v>
      </c>
      <c r="DJ159" s="228">
        <v>37.44</v>
      </c>
      <c r="DK159" s="228">
        <v>-1.18</v>
      </c>
      <c r="DL159" s="228">
        <v>-1.18</v>
      </c>
      <c r="DM159" s="228">
        <v>35.76</v>
      </c>
      <c r="DN159" s="228">
        <v>36.06</v>
      </c>
      <c r="DO159" s="228">
        <v>-0.3</v>
      </c>
      <c r="DP159" s="228">
        <v>-0.3</v>
      </c>
      <c r="DQ159" s="228">
        <v>0.66</v>
      </c>
      <c r="DR159" s="228">
        <v>0.63</v>
      </c>
      <c r="DS159" s="228">
        <v>0.03</v>
      </c>
      <c r="DT159" s="229">
        <v>4.7600000000000003E-2</v>
      </c>
      <c r="DU159" s="228">
        <v>600</v>
      </c>
      <c r="DV159" s="228">
        <v>540</v>
      </c>
      <c r="DW159" s="228">
        <v>0.36</v>
      </c>
      <c r="DX159" s="228">
        <v>0.41</v>
      </c>
      <c r="DY159" s="228">
        <v>-0.05</v>
      </c>
      <c r="DZ159" s="229">
        <v>-0.122</v>
      </c>
      <c r="EA159" s="229">
        <v>7.1199999999999999E-2</v>
      </c>
      <c r="EB159" s="230">
        <v>529150</v>
      </c>
      <c r="EC159" s="229">
        <v>4.4999999999999997E-3</v>
      </c>
      <c r="ED159" s="229">
        <v>7.1199999999999999E-2</v>
      </c>
      <c r="EE159" s="228">
        <v>1.7</v>
      </c>
      <c r="EF159" s="229">
        <v>3.0000000000000001E-3</v>
      </c>
      <c r="EG159" s="230">
        <v>402970</v>
      </c>
      <c r="EH159" s="230">
        <v>558667</v>
      </c>
      <c r="EI159" s="229">
        <v>-0.2787</v>
      </c>
      <c r="EJ159" s="229">
        <v>0.3518</v>
      </c>
      <c r="EK159" s="228">
        <v>372.58</v>
      </c>
      <c r="EL159" s="228">
        <v>124.48</v>
      </c>
      <c r="EM159" s="228">
        <v>133.32</v>
      </c>
      <c r="EN159" s="228">
        <v>35.64</v>
      </c>
      <c r="EO159" s="228">
        <v>630.38</v>
      </c>
      <c r="EP159" s="228">
        <v>701.76</v>
      </c>
      <c r="EQ159" s="228">
        <v>-71.38</v>
      </c>
      <c r="ER159" s="229">
        <v>-0.1017</v>
      </c>
      <c r="ES159" s="228">
        <v>505.9</v>
      </c>
      <c r="ET159" s="228">
        <v>297.95</v>
      </c>
      <c r="EU159" s="228">
        <v>577.87</v>
      </c>
      <c r="EV159" s="231">
        <v>23897684</v>
      </c>
      <c r="EW159" s="231">
        <v>1381.71</v>
      </c>
      <c r="EX159" s="231">
        <v>1397.87</v>
      </c>
      <c r="EY159" s="228">
        <v>-16.16</v>
      </c>
      <c r="EZ159" s="229">
        <v>-1.1599999999999999E-2</v>
      </c>
      <c r="FA159" s="229">
        <v>1.0147999999999999</v>
      </c>
      <c r="FB159" s="227" t="s">
        <v>555</v>
      </c>
      <c r="FC159">
        <f t="shared" si="3"/>
        <v>0</v>
      </c>
    </row>
    <row r="160" spans="1:159" ht="17.25" thickBot="1" x14ac:dyDescent="0.3">
      <c r="A160" s="226">
        <v>46009</v>
      </c>
      <c r="B160" s="227" t="s">
        <v>206</v>
      </c>
      <c r="C160" s="227" t="s">
        <v>645</v>
      </c>
      <c r="D160" s="228">
        <v>350</v>
      </c>
      <c r="E160" s="228">
        <v>12</v>
      </c>
      <c r="F160" s="231">
        <v>1802.6</v>
      </c>
      <c r="G160" s="231">
        <v>1782.5</v>
      </c>
      <c r="H160" s="228">
        <v>20.100000000000001</v>
      </c>
      <c r="I160" s="229">
        <v>1.1299999999999999E-2</v>
      </c>
      <c r="J160" s="231">
        <v>1798</v>
      </c>
      <c r="K160" s="231">
        <v>1781.5</v>
      </c>
      <c r="L160" s="228">
        <v>16.5</v>
      </c>
      <c r="M160" s="229">
        <v>9.2999999999999992E-3</v>
      </c>
      <c r="N160" s="231">
        <v>1802.6</v>
      </c>
      <c r="O160" s="231">
        <v>1782.5</v>
      </c>
      <c r="P160" s="228">
        <v>20.100000000000001</v>
      </c>
      <c r="Q160" s="229">
        <v>1.1299999999999999E-2</v>
      </c>
      <c r="R160" s="231">
        <v>1814.1</v>
      </c>
      <c r="S160" s="231">
        <v>1791.4</v>
      </c>
      <c r="T160" s="228">
        <v>22.7</v>
      </c>
      <c r="U160" s="229">
        <v>1.2699999999999999E-2</v>
      </c>
      <c r="V160" s="231">
        <v>1813.8</v>
      </c>
      <c r="W160" s="231">
        <v>1800.9</v>
      </c>
      <c r="X160" s="228">
        <v>12.9</v>
      </c>
      <c r="Y160" s="229">
        <v>7.1999999999999998E-3</v>
      </c>
      <c r="Z160" s="228">
        <v>4.5999999999999996</v>
      </c>
      <c r="AA160" s="228">
        <v>1</v>
      </c>
      <c r="AB160" s="228">
        <v>3.6</v>
      </c>
      <c r="AC160" s="229">
        <v>2.5999999999999999E-3</v>
      </c>
      <c r="AD160" s="228">
        <v>4.5999999999999996</v>
      </c>
      <c r="AE160" s="228">
        <v>1</v>
      </c>
      <c r="AF160" s="228">
        <v>3.6</v>
      </c>
      <c r="AG160" s="229">
        <v>2.5999999999999999E-3</v>
      </c>
      <c r="AH160" s="228">
        <v>16.100000000000001</v>
      </c>
      <c r="AI160" s="228">
        <v>9.9</v>
      </c>
      <c r="AJ160" s="228">
        <v>6.2</v>
      </c>
      <c r="AK160" s="229">
        <v>8.9999999999999993E-3</v>
      </c>
      <c r="AL160" s="228">
        <v>15.8</v>
      </c>
      <c r="AM160" s="228">
        <v>19.399999999999999</v>
      </c>
      <c r="AN160" s="228">
        <v>-3.6</v>
      </c>
      <c r="AO160" s="229">
        <v>8.8000000000000005E-3</v>
      </c>
      <c r="AP160" s="231">
        <v>1792.8</v>
      </c>
      <c r="AQ160" s="231">
        <v>1805.32</v>
      </c>
      <c r="AR160" s="228">
        <v>0</v>
      </c>
      <c r="AS160" s="228">
        <v>85</v>
      </c>
      <c r="AT160" s="228">
        <v>65</v>
      </c>
      <c r="AU160" s="228">
        <v>20</v>
      </c>
      <c r="AV160" s="229">
        <v>0.3014</v>
      </c>
      <c r="AW160" s="228">
        <v>71</v>
      </c>
      <c r="AX160" s="228">
        <v>57</v>
      </c>
      <c r="AY160" s="228">
        <v>14</v>
      </c>
      <c r="AZ160" s="229">
        <v>0.25080000000000002</v>
      </c>
      <c r="BA160" s="228">
        <v>13</v>
      </c>
      <c r="BB160" s="228">
        <v>8</v>
      </c>
      <c r="BC160" s="228">
        <v>5</v>
      </c>
      <c r="BD160" s="229">
        <v>0.60770000000000002</v>
      </c>
      <c r="BE160" s="228">
        <v>1</v>
      </c>
      <c r="BF160" s="228">
        <v>0</v>
      </c>
      <c r="BG160" s="228">
        <v>0</v>
      </c>
      <c r="BH160" s="229">
        <v>1.75</v>
      </c>
      <c r="BI160" s="228">
        <v>152</v>
      </c>
      <c r="BJ160" s="228">
        <v>112</v>
      </c>
      <c r="BK160" s="228">
        <v>40</v>
      </c>
      <c r="BL160" s="229">
        <v>0.35920000000000002</v>
      </c>
      <c r="BM160" s="228">
        <v>55</v>
      </c>
      <c r="BN160" s="228">
        <v>47</v>
      </c>
      <c r="BO160" s="228">
        <v>9</v>
      </c>
      <c r="BP160" s="229">
        <v>0.19109999999999999</v>
      </c>
      <c r="BQ160" s="228">
        <v>292</v>
      </c>
      <c r="BR160" s="228">
        <v>223</v>
      </c>
      <c r="BS160" s="228">
        <v>69</v>
      </c>
      <c r="BT160" s="229">
        <v>0.30730000000000002</v>
      </c>
      <c r="BU160" s="230">
        <v>394252</v>
      </c>
      <c r="BV160" s="230">
        <v>920375</v>
      </c>
      <c r="BW160" s="230">
        <v>-526123</v>
      </c>
      <c r="BX160" s="229">
        <v>-0.5716</v>
      </c>
      <c r="BY160" s="228">
        <v>595</v>
      </c>
      <c r="BZ160" s="228">
        <v>589</v>
      </c>
      <c r="CA160" s="228">
        <v>6</v>
      </c>
      <c r="CB160" s="229">
        <v>1.0800000000000001E-2</v>
      </c>
      <c r="CC160" s="228">
        <v>573</v>
      </c>
      <c r="CD160" s="228">
        <v>571</v>
      </c>
      <c r="CE160" s="228">
        <v>2</v>
      </c>
      <c r="CF160" s="229">
        <v>3.5999999999999999E-3</v>
      </c>
      <c r="CG160" s="228">
        <v>21</v>
      </c>
      <c r="CH160" s="228">
        <v>17</v>
      </c>
      <c r="CI160" s="228">
        <v>4</v>
      </c>
      <c r="CJ160" s="229">
        <v>0.24709999999999999</v>
      </c>
      <c r="CK160" s="228">
        <v>1</v>
      </c>
      <c r="CL160" s="228">
        <v>1</v>
      </c>
      <c r="CM160" s="228">
        <v>0</v>
      </c>
      <c r="CN160" s="229">
        <v>0.17649999999999999</v>
      </c>
      <c r="CO160" s="228">
        <v>240</v>
      </c>
      <c r="CP160" s="228">
        <v>250</v>
      </c>
      <c r="CQ160" s="228">
        <v>-10</v>
      </c>
      <c r="CR160" s="229">
        <v>-3.9100000000000003E-2</v>
      </c>
      <c r="CS160" s="228">
        <v>128</v>
      </c>
      <c r="CT160" s="228">
        <v>126</v>
      </c>
      <c r="CU160" s="228">
        <v>2</v>
      </c>
      <c r="CV160" s="229">
        <v>1.4E-2</v>
      </c>
      <c r="CW160" s="228">
        <v>964</v>
      </c>
      <c r="CX160" s="228">
        <v>965</v>
      </c>
      <c r="CY160" s="228">
        <v>-2</v>
      </c>
      <c r="CZ160" s="229">
        <v>-1.6999999999999999E-3</v>
      </c>
      <c r="DA160" s="228">
        <v>21.86</v>
      </c>
      <c r="DB160" s="228">
        <v>22.95</v>
      </c>
      <c r="DC160" s="228">
        <v>-1.0900000000000001</v>
      </c>
      <c r="DD160" s="228">
        <v>-1.0900000000000001</v>
      </c>
      <c r="DE160" s="228">
        <v>41.14</v>
      </c>
      <c r="DF160" s="228">
        <v>41.22</v>
      </c>
      <c r="DG160" s="228">
        <v>-19.28</v>
      </c>
      <c r="DH160" s="228">
        <v>-0.08</v>
      </c>
      <c r="DI160" s="228">
        <v>20.63</v>
      </c>
      <c r="DJ160" s="228">
        <v>22.44</v>
      </c>
      <c r="DK160" s="228">
        <v>-1.81</v>
      </c>
      <c r="DL160" s="228">
        <v>-1.81</v>
      </c>
      <c r="DM160" s="228">
        <v>25.23</v>
      </c>
      <c r="DN160" s="228">
        <v>24.16</v>
      </c>
      <c r="DO160" s="228">
        <v>1.07</v>
      </c>
      <c r="DP160" s="228">
        <v>1.07</v>
      </c>
      <c r="DQ160" s="228">
        <v>0.53</v>
      </c>
      <c r="DR160" s="228">
        <v>0.51</v>
      </c>
      <c r="DS160" s="228">
        <v>0.02</v>
      </c>
      <c r="DT160" s="229">
        <v>3.9199999999999999E-2</v>
      </c>
      <c r="DU160" s="231">
        <v>1800</v>
      </c>
      <c r="DV160" s="231">
        <v>1600</v>
      </c>
      <c r="DW160" s="228">
        <v>0.37</v>
      </c>
      <c r="DX160" s="228">
        <v>0.42</v>
      </c>
      <c r="DY160" s="228">
        <v>-0.05</v>
      </c>
      <c r="DZ160" s="229">
        <v>-0.11899999999999999</v>
      </c>
      <c r="EA160" s="229">
        <v>3.6900000000000002E-2</v>
      </c>
      <c r="EB160" s="230">
        <v>98000</v>
      </c>
      <c r="EC160" s="229">
        <v>6.4000000000000003E-3</v>
      </c>
      <c r="ED160" s="229">
        <v>3.6900000000000002E-2</v>
      </c>
      <c r="EE160" s="228">
        <v>12.52</v>
      </c>
      <c r="EF160" s="229">
        <v>7.0000000000000001E-3</v>
      </c>
      <c r="EG160" s="230">
        <v>251055</v>
      </c>
      <c r="EH160" s="230">
        <v>766579</v>
      </c>
      <c r="EI160" s="229">
        <v>-0.67249999999999999</v>
      </c>
      <c r="EJ160" s="229">
        <v>0.63680000000000003</v>
      </c>
      <c r="EK160" s="228">
        <v>154.75</v>
      </c>
      <c r="EL160" s="228">
        <v>52.88</v>
      </c>
      <c r="EM160" s="228">
        <v>84.62</v>
      </c>
      <c r="EN160" s="228">
        <v>21.39</v>
      </c>
      <c r="EO160" s="228">
        <v>292.24</v>
      </c>
      <c r="EP160" s="228">
        <v>223.67</v>
      </c>
      <c r="EQ160" s="228">
        <v>68.569999999999993</v>
      </c>
      <c r="ER160" s="229">
        <v>0.30659999999999998</v>
      </c>
      <c r="ES160" s="228">
        <v>244.61</v>
      </c>
      <c r="ET160" s="228">
        <v>122.12</v>
      </c>
      <c r="EU160" s="228">
        <v>595.4</v>
      </c>
      <c r="EV160" s="231">
        <v>28283155</v>
      </c>
      <c r="EW160" s="228">
        <v>962.14</v>
      </c>
      <c r="EX160" s="228">
        <v>957.13</v>
      </c>
      <c r="EY160" s="228">
        <v>5.01</v>
      </c>
      <c r="EZ160" s="229">
        <v>5.1999999999999998E-3</v>
      </c>
      <c r="FA160" s="229">
        <v>0.189</v>
      </c>
      <c r="FB160" s="227" t="s">
        <v>555</v>
      </c>
      <c r="FC160">
        <f t="shared" si="3"/>
        <v>0</v>
      </c>
    </row>
    <row r="161" spans="1:159" ht="17.25" thickBot="1" x14ac:dyDescent="0.3">
      <c r="A161" s="226">
        <v>46009</v>
      </c>
      <c r="B161" s="227" t="s">
        <v>168</v>
      </c>
      <c r="C161" s="227" t="s">
        <v>274</v>
      </c>
      <c r="D161" s="228">
        <v>500</v>
      </c>
      <c r="E161" s="228">
        <v>12</v>
      </c>
      <c r="F161" s="231">
        <v>1455</v>
      </c>
      <c r="G161" s="231">
        <v>1452.6</v>
      </c>
      <c r="H161" s="228">
        <v>2.4</v>
      </c>
      <c r="I161" s="229">
        <v>1.6999999999999999E-3</v>
      </c>
      <c r="J161" s="231">
        <v>1451.6</v>
      </c>
      <c r="K161" s="231">
        <v>1450.7</v>
      </c>
      <c r="L161" s="228">
        <v>0.9</v>
      </c>
      <c r="M161" s="229">
        <v>5.9999999999999995E-4</v>
      </c>
      <c r="N161" s="231">
        <v>1455</v>
      </c>
      <c r="O161" s="231">
        <v>1452.6</v>
      </c>
      <c r="P161" s="228">
        <v>2.4</v>
      </c>
      <c r="Q161" s="229">
        <v>1.6999999999999999E-3</v>
      </c>
      <c r="R161" s="231">
        <v>1464.6</v>
      </c>
      <c r="S161" s="231">
        <v>1461.3</v>
      </c>
      <c r="T161" s="228">
        <v>3.3</v>
      </c>
      <c r="U161" s="229">
        <v>2.3E-3</v>
      </c>
      <c r="V161" s="231">
        <v>1473</v>
      </c>
      <c r="W161" s="231">
        <v>1470.2</v>
      </c>
      <c r="X161" s="228">
        <v>2.8</v>
      </c>
      <c r="Y161" s="229">
        <v>1.9E-3</v>
      </c>
      <c r="Z161" s="228">
        <v>3.4</v>
      </c>
      <c r="AA161" s="228">
        <v>1.9</v>
      </c>
      <c r="AB161" s="228">
        <v>1.5</v>
      </c>
      <c r="AC161" s="229">
        <v>2.3E-3</v>
      </c>
      <c r="AD161" s="228">
        <v>3.4</v>
      </c>
      <c r="AE161" s="228">
        <v>1.9</v>
      </c>
      <c r="AF161" s="228">
        <v>1.5</v>
      </c>
      <c r="AG161" s="229">
        <v>2.3E-3</v>
      </c>
      <c r="AH161" s="228">
        <v>13</v>
      </c>
      <c r="AI161" s="228">
        <v>10.6</v>
      </c>
      <c r="AJ161" s="228">
        <v>2.4</v>
      </c>
      <c r="AK161" s="229">
        <v>8.9999999999999993E-3</v>
      </c>
      <c r="AL161" s="228">
        <v>21.4</v>
      </c>
      <c r="AM161" s="228">
        <v>19.5</v>
      </c>
      <c r="AN161" s="228">
        <v>1.9</v>
      </c>
      <c r="AO161" s="229">
        <v>1.47E-2</v>
      </c>
      <c r="AP161" s="231">
        <v>1451.5</v>
      </c>
      <c r="AQ161" s="231">
        <v>1459.61</v>
      </c>
      <c r="AR161" s="228">
        <v>0</v>
      </c>
      <c r="AS161" s="228">
        <v>144</v>
      </c>
      <c r="AT161" s="228">
        <v>205</v>
      </c>
      <c r="AU161" s="228">
        <v>-60</v>
      </c>
      <c r="AV161" s="229">
        <v>-0.29520000000000002</v>
      </c>
      <c r="AW161" s="228">
        <v>93</v>
      </c>
      <c r="AX161" s="228">
        <v>138</v>
      </c>
      <c r="AY161" s="228">
        <v>-45</v>
      </c>
      <c r="AZ161" s="229">
        <v>-0.32679999999999998</v>
      </c>
      <c r="BA161" s="228">
        <v>51</v>
      </c>
      <c r="BB161" s="228">
        <v>66</v>
      </c>
      <c r="BC161" s="228">
        <v>-15</v>
      </c>
      <c r="BD161" s="229">
        <v>-0.23089999999999999</v>
      </c>
      <c r="BE161" s="228">
        <v>1</v>
      </c>
      <c r="BF161" s="228">
        <v>1</v>
      </c>
      <c r="BG161" s="228">
        <v>0</v>
      </c>
      <c r="BH161" s="229">
        <v>-0.15379999999999999</v>
      </c>
      <c r="BI161" s="228">
        <v>109</v>
      </c>
      <c r="BJ161" s="228">
        <v>179</v>
      </c>
      <c r="BK161" s="228">
        <v>-70</v>
      </c>
      <c r="BL161" s="229">
        <v>-0.3911</v>
      </c>
      <c r="BM161" s="228">
        <v>54</v>
      </c>
      <c r="BN161" s="228">
        <v>134</v>
      </c>
      <c r="BO161" s="228">
        <v>-80</v>
      </c>
      <c r="BP161" s="229">
        <v>-0.5948</v>
      </c>
      <c r="BQ161" s="228">
        <v>308</v>
      </c>
      <c r="BR161" s="228">
        <v>518</v>
      </c>
      <c r="BS161" s="228">
        <v>-210</v>
      </c>
      <c r="BT161" s="229">
        <v>-0.40600000000000003</v>
      </c>
      <c r="BU161" s="230">
        <v>268718</v>
      </c>
      <c r="BV161" s="230">
        <v>264249</v>
      </c>
      <c r="BW161" s="230">
        <v>4469</v>
      </c>
      <c r="BX161" s="229">
        <v>1.6899999999999998E-2</v>
      </c>
      <c r="BY161" s="230">
        <v>1072</v>
      </c>
      <c r="BZ161" s="230">
        <v>1053</v>
      </c>
      <c r="CA161" s="228">
        <v>19</v>
      </c>
      <c r="CB161" s="229">
        <v>1.8499999999999999E-2</v>
      </c>
      <c r="CC161" s="228">
        <v>924</v>
      </c>
      <c r="CD161" s="228">
        <v>941</v>
      </c>
      <c r="CE161" s="228">
        <v>-17</v>
      </c>
      <c r="CF161" s="229">
        <v>-1.78E-2</v>
      </c>
      <c r="CG161" s="228">
        <v>143</v>
      </c>
      <c r="CH161" s="228">
        <v>108</v>
      </c>
      <c r="CI161" s="228">
        <v>36</v>
      </c>
      <c r="CJ161" s="229">
        <v>0.33150000000000002</v>
      </c>
      <c r="CK161" s="228">
        <v>5</v>
      </c>
      <c r="CL161" s="228">
        <v>4</v>
      </c>
      <c r="CM161" s="228">
        <v>1</v>
      </c>
      <c r="CN161" s="229">
        <v>0.125</v>
      </c>
      <c r="CO161" s="228">
        <v>212</v>
      </c>
      <c r="CP161" s="228">
        <v>205</v>
      </c>
      <c r="CQ161" s="228">
        <v>7</v>
      </c>
      <c r="CR161" s="229">
        <v>3.1899999999999998E-2</v>
      </c>
      <c r="CS161" s="228">
        <v>154</v>
      </c>
      <c r="CT161" s="228">
        <v>151</v>
      </c>
      <c r="CU161" s="228">
        <v>2</v>
      </c>
      <c r="CV161" s="229">
        <v>1.6400000000000001E-2</v>
      </c>
      <c r="CW161" s="230">
        <v>1437</v>
      </c>
      <c r="CX161" s="230">
        <v>1409</v>
      </c>
      <c r="CY161" s="228">
        <v>28</v>
      </c>
      <c r="CZ161" s="229">
        <v>2.0199999999999999E-2</v>
      </c>
      <c r="DA161" s="228">
        <v>16.02</v>
      </c>
      <c r="DB161" s="228">
        <v>16.829999999999998</v>
      </c>
      <c r="DC161" s="228">
        <v>-0.81</v>
      </c>
      <c r="DD161" s="228">
        <v>-0.81</v>
      </c>
      <c r="DE161" s="228">
        <v>21.32</v>
      </c>
      <c r="DF161" s="228">
        <v>21.37</v>
      </c>
      <c r="DG161" s="228">
        <v>-5.3</v>
      </c>
      <c r="DH161" s="228">
        <v>-0.05</v>
      </c>
      <c r="DI161" s="228">
        <v>15.83</v>
      </c>
      <c r="DJ161" s="228">
        <v>16.91</v>
      </c>
      <c r="DK161" s="228">
        <v>-1.08</v>
      </c>
      <c r="DL161" s="228">
        <v>-1.08</v>
      </c>
      <c r="DM161" s="228">
        <v>16.420000000000002</v>
      </c>
      <c r="DN161" s="228">
        <v>16.73</v>
      </c>
      <c r="DO161" s="228">
        <v>-0.31</v>
      </c>
      <c r="DP161" s="228">
        <v>-0.31</v>
      </c>
      <c r="DQ161" s="228">
        <v>0.72</v>
      </c>
      <c r="DR161" s="228">
        <v>0.74</v>
      </c>
      <c r="DS161" s="228">
        <v>-0.02</v>
      </c>
      <c r="DT161" s="229">
        <v>-2.7E-2</v>
      </c>
      <c r="DU161" s="231">
        <v>1500</v>
      </c>
      <c r="DV161" s="231">
        <v>1400</v>
      </c>
      <c r="DW161" s="228">
        <v>0.5</v>
      </c>
      <c r="DX161" s="228">
        <v>0.75</v>
      </c>
      <c r="DY161" s="228">
        <v>-0.25</v>
      </c>
      <c r="DZ161" s="229">
        <v>-0.33329999999999999</v>
      </c>
      <c r="EA161" s="229">
        <v>0.13780000000000001</v>
      </c>
      <c r="EB161" s="230">
        <v>767000</v>
      </c>
      <c r="EC161" s="229">
        <v>6.6E-3</v>
      </c>
      <c r="ED161" s="229">
        <v>0.13780000000000001</v>
      </c>
      <c r="EE161" s="228">
        <v>8.11</v>
      </c>
      <c r="EF161" s="229">
        <v>5.5999999999999999E-3</v>
      </c>
      <c r="EG161" s="230">
        <v>140753</v>
      </c>
      <c r="EH161" s="230">
        <v>157877</v>
      </c>
      <c r="EI161" s="229">
        <v>-0.1085</v>
      </c>
      <c r="EJ161" s="229">
        <v>0.52380000000000004</v>
      </c>
      <c r="EK161" s="228">
        <v>112.06</v>
      </c>
      <c r="EL161" s="228">
        <v>53.74</v>
      </c>
      <c r="EM161" s="228">
        <v>144.13999999999999</v>
      </c>
      <c r="EN161" s="228">
        <v>14.79</v>
      </c>
      <c r="EO161" s="228">
        <v>309.94</v>
      </c>
      <c r="EP161" s="228">
        <v>523.11</v>
      </c>
      <c r="EQ161" s="228">
        <v>-213.17</v>
      </c>
      <c r="ER161" s="229">
        <v>-0.40749999999999997</v>
      </c>
      <c r="ES161" s="228">
        <v>220.28</v>
      </c>
      <c r="ET161" s="228">
        <v>151.75</v>
      </c>
      <c r="EU161" s="231">
        <v>1073.1199999999999</v>
      </c>
      <c r="EV161" s="231">
        <v>31170515</v>
      </c>
      <c r="EW161" s="231">
        <v>1445.15</v>
      </c>
      <c r="EX161" s="231">
        <v>1414.5</v>
      </c>
      <c r="EY161" s="228">
        <v>30.65</v>
      </c>
      <c r="EZ161" s="229">
        <v>2.1700000000000001E-2</v>
      </c>
      <c r="FA161" s="229">
        <v>0.317</v>
      </c>
      <c r="FB161" s="227" t="s">
        <v>555</v>
      </c>
      <c r="FC161">
        <f t="shared" si="3"/>
        <v>0</v>
      </c>
    </row>
    <row r="162" spans="1:159" ht="17.25" thickBot="1" x14ac:dyDescent="0.3">
      <c r="A162" s="226">
        <v>46009</v>
      </c>
      <c r="B162" s="227" t="s">
        <v>498</v>
      </c>
      <c r="C162" s="227" t="s">
        <v>483</v>
      </c>
      <c r="D162" s="228">
        <v>175</v>
      </c>
      <c r="E162" s="228">
        <v>12</v>
      </c>
      <c r="F162" s="231">
        <v>3225.3</v>
      </c>
      <c r="G162" s="231">
        <v>3216.6</v>
      </c>
      <c r="H162" s="228">
        <v>8.6999999999999993</v>
      </c>
      <c r="I162" s="229">
        <v>2.7000000000000001E-3</v>
      </c>
      <c r="J162" s="231">
        <v>3213.8</v>
      </c>
      <c r="K162" s="231">
        <v>3206.2</v>
      </c>
      <c r="L162" s="228">
        <v>7.6</v>
      </c>
      <c r="M162" s="229">
        <v>2.3999999999999998E-3</v>
      </c>
      <c r="N162" s="231">
        <v>3225.3</v>
      </c>
      <c r="O162" s="231">
        <v>3216.6</v>
      </c>
      <c r="P162" s="228">
        <v>8.6999999999999993</v>
      </c>
      <c r="Q162" s="229">
        <v>2.7000000000000001E-3</v>
      </c>
      <c r="R162" s="231">
        <v>3231.2</v>
      </c>
      <c r="S162" s="231">
        <v>3221.9</v>
      </c>
      <c r="T162" s="228">
        <v>9.3000000000000007</v>
      </c>
      <c r="U162" s="229">
        <v>2.8999999999999998E-3</v>
      </c>
      <c r="V162" s="231">
        <v>3215.7</v>
      </c>
      <c r="W162" s="231">
        <v>3220.7</v>
      </c>
      <c r="X162" s="228">
        <v>-5</v>
      </c>
      <c r="Y162" s="229">
        <v>-1.6000000000000001E-3</v>
      </c>
      <c r="Z162" s="228">
        <v>11.5</v>
      </c>
      <c r="AA162" s="228">
        <v>10.4</v>
      </c>
      <c r="AB162" s="228">
        <v>1.1000000000000001</v>
      </c>
      <c r="AC162" s="229">
        <v>3.5999999999999999E-3</v>
      </c>
      <c r="AD162" s="228">
        <v>11.5</v>
      </c>
      <c r="AE162" s="228">
        <v>10.4</v>
      </c>
      <c r="AF162" s="228">
        <v>1.1000000000000001</v>
      </c>
      <c r="AG162" s="229">
        <v>3.5999999999999999E-3</v>
      </c>
      <c r="AH162" s="228">
        <v>17.399999999999999</v>
      </c>
      <c r="AI162" s="228">
        <v>15.7</v>
      </c>
      <c r="AJ162" s="228">
        <v>1.7</v>
      </c>
      <c r="AK162" s="229">
        <v>5.4000000000000003E-3</v>
      </c>
      <c r="AL162" s="228">
        <v>1.9</v>
      </c>
      <c r="AM162" s="228">
        <v>14.5</v>
      </c>
      <c r="AN162" s="228">
        <v>-12.6</v>
      </c>
      <c r="AO162" s="229">
        <v>5.9999999999999995E-4</v>
      </c>
      <c r="AP162" s="231">
        <v>3215.8</v>
      </c>
      <c r="AQ162" s="231">
        <v>3223.17</v>
      </c>
      <c r="AR162" s="228">
        <v>0</v>
      </c>
      <c r="AS162" s="228">
        <v>104</v>
      </c>
      <c r="AT162" s="228">
        <v>111</v>
      </c>
      <c r="AU162" s="228">
        <v>-6</v>
      </c>
      <c r="AV162" s="229">
        <v>-5.8200000000000002E-2</v>
      </c>
      <c r="AW162" s="228">
        <v>91</v>
      </c>
      <c r="AX162" s="228">
        <v>98</v>
      </c>
      <c r="AY162" s="228">
        <v>-7</v>
      </c>
      <c r="AZ162" s="229">
        <v>-6.7400000000000002E-2</v>
      </c>
      <c r="BA162" s="228">
        <v>12</v>
      </c>
      <c r="BB162" s="228">
        <v>12</v>
      </c>
      <c r="BC162" s="228">
        <v>0</v>
      </c>
      <c r="BD162" s="229">
        <v>2.7900000000000001E-2</v>
      </c>
      <c r="BE162" s="228">
        <v>0</v>
      </c>
      <c r="BF162" s="228">
        <v>0</v>
      </c>
      <c r="BG162" s="228">
        <v>0</v>
      </c>
      <c r="BH162" s="229">
        <v>-0.42859999999999998</v>
      </c>
      <c r="BI162" s="228">
        <v>192</v>
      </c>
      <c r="BJ162" s="228">
        <v>279</v>
      </c>
      <c r="BK162" s="228">
        <v>-87</v>
      </c>
      <c r="BL162" s="229">
        <v>-0.312</v>
      </c>
      <c r="BM162" s="228">
        <v>149</v>
      </c>
      <c r="BN162" s="228">
        <v>184</v>
      </c>
      <c r="BO162" s="228">
        <v>-35</v>
      </c>
      <c r="BP162" s="229">
        <v>-0.19070000000000001</v>
      </c>
      <c r="BQ162" s="228">
        <v>445</v>
      </c>
      <c r="BR162" s="228">
        <v>574</v>
      </c>
      <c r="BS162" s="228">
        <v>-129</v>
      </c>
      <c r="BT162" s="229">
        <v>-0.22420000000000001</v>
      </c>
      <c r="BU162" s="230">
        <v>182235</v>
      </c>
      <c r="BV162" s="230">
        <v>216958</v>
      </c>
      <c r="BW162" s="230">
        <v>-34723</v>
      </c>
      <c r="BX162" s="229">
        <v>-0.16</v>
      </c>
      <c r="BY162" s="228">
        <v>869</v>
      </c>
      <c r="BZ162" s="228">
        <v>884</v>
      </c>
      <c r="CA162" s="228">
        <v>-15</v>
      </c>
      <c r="CB162" s="229">
        <v>-1.7100000000000001E-2</v>
      </c>
      <c r="CC162" s="228">
        <v>772</v>
      </c>
      <c r="CD162" s="228">
        <v>790</v>
      </c>
      <c r="CE162" s="228">
        <v>-18</v>
      </c>
      <c r="CF162" s="229">
        <v>-2.29E-2</v>
      </c>
      <c r="CG162" s="228">
        <v>91</v>
      </c>
      <c r="CH162" s="228">
        <v>88</v>
      </c>
      <c r="CI162" s="228">
        <v>3</v>
      </c>
      <c r="CJ162" s="229">
        <v>3.3500000000000002E-2</v>
      </c>
      <c r="CK162" s="228">
        <v>7</v>
      </c>
      <c r="CL162" s="228">
        <v>7</v>
      </c>
      <c r="CM162" s="228">
        <v>0</v>
      </c>
      <c r="CN162" s="229">
        <v>0</v>
      </c>
      <c r="CO162" s="228">
        <v>335</v>
      </c>
      <c r="CP162" s="228">
        <v>344</v>
      </c>
      <c r="CQ162" s="228">
        <v>-9</v>
      </c>
      <c r="CR162" s="229">
        <v>-2.5000000000000001E-2</v>
      </c>
      <c r="CS162" s="228">
        <v>231</v>
      </c>
      <c r="CT162" s="228">
        <v>218</v>
      </c>
      <c r="CU162" s="228">
        <v>14</v>
      </c>
      <c r="CV162" s="229">
        <v>6.3299999999999995E-2</v>
      </c>
      <c r="CW162" s="230">
        <v>1436</v>
      </c>
      <c r="CX162" s="230">
        <v>1446</v>
      </c>
      <c r="CY162" s="228">
        <v>-10</v>
      </c>
      <c r="CZ162" s="229">
        <v>-6.8999999999999999E-3</v>
      </c>
      <c r="DA162" s="228">
        <v>23.47</v>
      </c>
      <c r="DB162" s="228">
        <v>24.41</v>
      </c>
      <c r="DC162" s="228">
        <v>-0.94</v>
      </c>
      <c r="DD162" s="228">
        <v>-0.94</v>
      </c>
      <c r="DE162" s="228">
        <v>29.35</v>
      </c>
      <c r="DF162" s="228">
        <v>29.42</v>
      </c>
      <c r="DG162" s="228">
        <v>-5.88</v>
      </c>
      <c r="DH162" s="228">
        <v>-7.0000000000000007E-2</v>
      </c>
      <c r="DI162" s="228">
        <v>22.8</v>
      </c>
      <c r="DJ162" s="228">
        <v>24.34</v>
      </c>
      <c r="DK162" s="228">
        <v>-1.54</v>
      </c>
      <c r="DL162" s="228">
        <v>-1.54</v>
      </c>
      <c r="DM162" s="228">
        <v>24.32</v>
      </c>
      <c r="DN162" s="228">
        <v>24.52</v>
      </c>
      <c r="DO162" s="228">
        <v>-0.2</v>
      </c>
      <c r="DP162" s="228">
        <v>-0.2</v>
      </c>
      <c r="DQ162" s="228">
        <v>0.69</v>
      </c>
      <c r="DR162" s="228">
        <v>0.63</v>
      </c>
      <c r="DS162" s="228">
        <v>0.06</v>
      </c>
      <c r="DT162" s="229">
        <v>9.5200000000000007E-2</v>
      </c>
      <c r="DU162" s="231">
        <v>3400</v>
      </c>
      <c r="DV162" s="231">
        <v>3150</v>
      </c>
      <c r="DW162" s="228">
        <v>0.78</v>
      </c>
      <c r="DX162" s="228">
        <v>0.66</v>
      </c>
      <c r="DY162" s="228">
        <v>0.12</v>
      </c>
      <c r="DZ162" s="229">
        <v>0.18179999999999999</v>
      </c>
      <c r="EA162" s="229">
        <v>0.1125</v>
      </c>
      <c r="EB162" s="230">
        <v>294000</v>
      </c>
      <c r="EC162" s="229">
        <v>1.8E-3</v>
      </c>
      <c r="ED162" s="229">
        <v>0.1125</v>
      </c>
      <c r="EE162" s="228">
        <v>7.37</v>
      </c>
      <c r="EF162" s="229">
        <v>2.3E-3</v>
      </c>
      <c r="EG162" s="230">
        <v>107442</v>
      </c>
      <c r="EH162" s="230">
        <v>128476</v>
      </c>
      <c r="EI162" s="229">
        <v>-0.16370000000000001</v>
      </c>
      <c r="EJ162" s="229">
        <v>0.58960000000000001</v>
      </c>
      <c r="EK162" s="228">
        <v>199.67</v>
      </c>
      <c r="EL162" s="228">
        <v>145.1</v>
      </c>
      <c r="EM162" s="228">
        <v>103.86</v>
      </c>
      <c r="EN162" s="228">
        <v>35.69</v>
      </c>
      <c r="EO162" s="228">
        <v>448.62</v>
      </c>
      <c r="EP162" s="228">
        <v>585.48</v>
      </c>
      <c r="EQ162" s="228">
        <v>-136.86000000000001</v>
      </c>
      <c r="ER162" s="229">
        <v>-0.23380000000000001</v>
      </c>
      <c r="ES162" s="228">
        <v>360.78</v>
      </c>
      <c r="ET162" s="228">
        <v>232.49</v>
      </c>
      <c r="EU162" s="228">
        <v>869.48</v>
      </c>
      <c r="EV162" s="231">
        <v>8178275</v>
      </c>
      <c r="EW162" s="231">
        <v>1462.75</v>
      </c>
      <c r="EX162" s="231">
        <v>1471.5</v>
      </c>
      <c r="EY162" s="228">
        <v>-8.75</v>
      </c>
      <c r="EZ162" s="229">
        <v>-5.8999999999999999E-3</v>
      </c>
      <c r="FA162" s="229">
        <v>0.5444</v>
      </c>
      <c r="FB162" s="227" t="s">
        <v>556</v>
      </c>
      <c r="FC162">
        <f t="shared" si="3"/>
        <v>0</v>
      </c>
    </row>
    <row r="163" spans="1:159" ht="17.25" thickBot="1" x14ac:dyDescent="0.3">
      <c r="A163" s="226">
        <v>46009</v>
      </c>
      <c r="B163" s="227" t="s">
        <v>172</v>
      </c>
      <c r="C163" s="227" t="s">
        <v>275</v>
      </c>
      <c r="D163" s="228">
        <v>8000</v>
      </c>
      <c r="E163" s="228">
        <v>12</v>
      </c>
      <c r="F163" s="228">
        <v>119.06</v>
      </c>
      <c r="G163" s="228">
        <v>119.75</v>
      </c>
      <c r="H163" s="228">
        <v>-0.69</v>
      </c>
      <c r="I163" s="229">
        <v>-5.7999999999999996E-3</v>
      </c>
      <c r="J163" s="228">
        <v>118.9</v>
      </c>
      <c r="K163" s="228">
        <v>119.33</v>
      </c>
      <c r="L163" s="228">
        <v>-0.43</v>
      </c>
      <c r="M163" s="229">
        <v>-3.5999999999999999E-3</v>
      </c>
      <c r="N163" s="228">
        <v>119.06</v>
      </c>
      <c r="O163" s="228">
        <v>119.75</v>
      </c>
      <c r="P163" s="228">
        <v>-0.69</v>
      </c>
      <c r="Q163" s="229">
        <v>-5.7999999999999996E-3</v>
      </c>
      <c r="R163" s="228">
        <v>119.81</v>
      </c>
      <c r="S163" s="228">
        <v>120.42</v>
      </c>
      <c r="T163" s="228">
        <v>-0.61</v>
      </c>
      <c r="U163" s="229">
        <v>-5.1000000000000004E-3</v>
      </c>
      <c r="V163" s="228">
        <v>120.48</v>
      </c>
      <c r="W163" s="228">
        <v>121.06</v>
      </c>
      <c r="X163" s="228">
        <v>-0.57999999999999996</v>
      </c>
      <c r="Y163" s="229">
        <v>-4.7999999999999996E-3</v>
      </c>
      <c r="Z163" s="228">
        <v>0.16</v>
      </c>
      <c r="AA163" s="228">
        <v>0.42</v>
      </c>
      <c r="AB163" s="228">
        <v>-0.26</v>
      </c>
      <c r="AC163" s="229">
        <v>1.2999999999999999E-3</v>
      </c>
      <c r="AD163" s="228">
        <v>0.16</v>
      </c>
      <c r="AE163" s="228">
        <v>0.42</v>
      </c>
      <c r="AF163" s="228">
        <v>-0.26</v>
      </c>
      <c r="AG163" s="229">
        <v>1.2999999999999999E-3</v>
      </c>
      <c r="AH163" s="228">
        <v>0.91</v>
      </c>
      <c r="AI163" s="228">
        <v>1.0900000000000001</v>
      </c>
      <c r="AJ163" s="228">
        <v>-0.18</v>
      </c>
      <c r="AK163" s="229">
        <v>7.7000000000000002E-3</v>
      </c>
      <c r="AL163" s="228">
        <v>1.58</v>
      </c>
      <c r="AM163" s="228">
        <v>1.73</v>
      </c>
      <c r="AN163" s="228">
        <v>-0.15</v>
      </c>
      <c r="AO163" s="229">
        <v>1.3299999999999999E-2</v>
      </c>
      <c r="AP163" s="228">
        <v>119.03</v>
      </c>
      <c r="AQ163" s="228">
        <v>119.71</v>
      </c>
      <c r="AR163" s="228">
        <v>0</v>
      </c>
      <c r="AS163" s="228">
        <v>441</v>
      </c>
      <c r="AT163" s="228">
        <v>593</v>
      </c>
      <c r="AU163" s="228">
        <v>-152</v>
      </c>
      <c r="AV163" s="229">
        <v>-0.25659999999999999</v>
      </c>
      <c r="AW163" s="228">
        <v>341</v>
      </c>
      <c r="AX163" s="228">
        <v>448</v>
      </c>
      <c r="AY163" s="228">
        <v>-107</v>
      </c>
      <c r="AZ163" s="229">
        <v>-0.2387</v>
      </c>
      <c r="BA163" s="228">
        <v>95</v>
      </c>
      <c r="BB163" s="228">
        <v>139</v>
      </c>
      <c r="BC163" s="228">
        <v>-44</v>
      </c>
      <c r="BD163" s="229">
        <v>-0.31519999999999998</v>
      </c>
      <c r="BE163" s="228">
        <v>5</v>
      </c>
      <c r="BF163" s="228">
        <v>7</v>
      </c>
      <c r="BG163" s="228">
        <v>-2</v>
      </c>
      <c r="BH163" s="229">
        <v>-0.2394</v>
      </c>
      <c r="BI163" s="230">
        <v>1554</v>
      </c>
      <c r="BJ163" s="230">
        <v>2413</v>
      </c>
      <c r="BK163" s="228">
        <v>-859</v>
      </c>
      <c r="BL163" s="229">
        <v>-0.35599999999999998</v>
      </c>
      <c r="BM163" s="228">
        <v>770</v>
      </c>
      <c r="BN163" s="230">
        <v>1011</v>
      </c>
      <c r="BO163" s="228">
        <v>-241</v>
      </c>
      <c r="BP163" s="229">
        <v>-0.23810000000000001</v>
      </c>
      <c r="BQ163" s="230">
        <v>2765</v>
      </c>
      <c r="BR163" s="230">
        <v>4017</v>
      </c>
      <c r="BS163" s="230">
        <v>-1252</v>
      </c>
      <c r="BT163" s="229">
        <v>-0.31169999999999998</v>
      </c>
      <c r="BU163" s="230">
        <v>10542960</v>
      </c>
      <c r="BV163" s="230">
        <v>15639468</v>
      </c>
      <c r="BW163" s="230">
        <v>-5096508</v>
      </c>
      <c r="BX163" s="229">
        <v>-0.32590000000000002</v>
      </c>
      <c r="BY163" s="230">
        <v>2926</v>
      </c>
      <c r="BZ163" s="230">
        <v>2928</v>
      </c>
      <c r="CA163" s="228">
        <v>-1</v>
      </c>
      <c r="CB163" s="229">
        <v>-4.0000000000000002E-4</v>
      </c>
      <c r="CC163" s="230">
        <v>2484</v>
      </c>
      <c r="CD163" s="230">
        <v>2517</v>
      </c>
      <c r="CE163" s="228">
        <v>-32</v>
      </c>
      <c r="CF163" s="229">
        <v>-1.2800000000000001E-2</v>
      </c>
      <c r="CG163" s="228">
        <v>391</v>
      </c>
      <c r="CH163" s="228">
        <v>361</v>
      </c>
      <c r="CI163" s="228">
        <v>30</v>
      </c>
      <c r="CJ163" s="229">
        <v>8.4400000000000003E-2</v>
      </c>
      <c r="CK163" s="228">
        <v>50</v>
      </c>
      <c r="CL163" s="228">
        <v>50</v>
      </c>
      <c r="CM163" s="228">
        <v>0</v>
      </c>
      <c r="CN163" s="229">
        <v>7.6E-3</v>
      </c>
      <c r="CO163" s="230">
        <v>2216</v>
      </c>
      <c r="CP163" s="230">
        <v>2179</v>
      </c>
      <c r="CQ163" s="228">
        <v>37</v>
      </c>
      <c r="CR163" s="229">
        <v>1.72E-2</v>
      </c>
      <c r="CS163" s="230">
        <v>1209</v>
      </c>
      <c r="CT163" s="230">
        <v>1198</v>
      </c>
      <c r="CU163" s="228">
        <v>11</v>
      </c>
      <c r="CV163" s="229">
        <v>9.1999999999999998E-3</v>
      </c>
      <c r="CW163" s="230">
        <v>6352</v>
      </c>
      <c r="CX163" s="230">
        <v>6305</v>
      </c>
      <c r="CY163" s="228">
        <v>47</v>
      </c>
      <c r="CZ163" s="229">
        <v>7.4999999999999997E-3</v>
      </c>
      <c r="DA163" s="228">
        <v>23.19</v>
      </c>
      <c r="DB163" s="228">
        <v>23.98</v>
      </c>
      <c r="DC163" s="228">
        <v>-0.79</v>
      </c>
      <c r="DD163" s="228">
        <v>-0.79</v>
      </c>
      <c r="DE163" s="228">
        <v>35.81</v>
      </c>
      <c r="DF163" s="228">
        <v>35.9</v>
      </c>
      <c r="DG163" s="228">
        <v>-12.62</v>
      </c>
      <c r="DH163" s="228">
        <v>-0.09</v>
      </c>
      <c r="DI163" s="228">
        <v>23.43</v>
      </c>
      <c r="DJ163" s="228">
        <v>24.1</v>
      </c>
      <c r="DK163" s="228">
        <v>-0.67</v>
      </c>
      <c r="DL163" s="228">
        <v>-0.67</v>
      </c>
      <c r="DM163" s="228">
        <v>22.71</v>
      </c>
      <c r="DN163" s="228">
        <v>23.69</v>
      </c>
      <c r="DO163" s="228">
        <v>-0.98</v>
      </c>
      <c r="DP163" s="228">
        <v>-0.98</v>
      </c>
      <c r="DQ163" s="228">
        <v>0.55000000000000004</v>
      </c>
      <c r="DR163" s="228">
        <v>0.55000000000000004</v>
      </c>
      <c r="DS163" s="228">
        <v>0</v>
      </c>
      <c r="DT163" s="229">
        <v>0</v>
      </c>
      <c r="DU163" s="228">
        <v>125</v>
      </c>
      <c r="DV163" s="228">
        <v>120</v>
      </c>
      <c r="DW163" s="228">
        <v>0.5</v>
      </c>
      <c r="DX163" s="228">
        <v>0.42</v>
      </c>
      <c r="DY163" s="228">
        <v>0.08</v>
      </c>
      <c r="DZ163" s="229">
        <v>0.1905</v>
      </c>
      <c r="EA163" s="229">
        <v>0.151</v>
      </c>
      <c r="EB163" s="230">
        <v>34528000</v>
      </c>
      <c r="EC163" s="229">
        <v>6.3E-3</v>
      </c>
      <c r="ED163" s="229">
        <v>0.151</v>
      </c>
      <c r="EE163" s="228">
        <v>0.68</v>
      </c>
      <c r="EF163" s="229">
        <v>5.7000000000000002E-3</v>
      </c>
      <c r="EG163" s="230">
        <v>3590131</v>
      </c>
      <c r="EH163" s="230">
        <v>5637800</v>
      </c>
      <c r="EI163" s="229">
        <v>-0.36320000000000002</v>
      </c>
      <c r="EJ163" s="229">
        <v>0.34050000000000002</v>
      </c>
      <c r="EK163" s="231">
        <v>1611.97</v>
      </c>
      <c r="EL163" s="228">
        <v>765.61</v>
      </c>
      <c r="EM163" s="228">
        <v>441.4</v>
      </c>
      <c r="EN163" s="228">
        <v>47.74</v>
      </c>
      <c r="EO163" s="231">
        <v>2818.97</v>
      </c>
      <c r="EP163" s="231">
        <v>4105.92</v>
      </c>
      <c r="EQ163" s="231">
        <v>-1286.95</v>
      </c>
      <c r="ER163" s="229">
        <v>-0.31340000000000001</v>
      </c>
      <c r="ES163" s="231">
        <v>2330.1999999999998</v>
      </c>
      <c r="ET163" s="231">
        <v>1206.3900000000001</v>
      </c>
      <c r="EU163" s="231">
        <v>2929.47</v>
      </c>
      <c r="EV163" s="231">
        <v>447910372</v>
      </c>
      <c r="EW163" s="231">
        <v>6466.07</v>
      </c>
      <c r="EX163" s="231">
        <v>6436.16</v>
      </c>
      <c r="EY163" s="228">
        <v>29.91</v>
      </c>
      <c r="EZ163" s="229">
        <v>4.5999999999999999E-3</v>
      </c>
      <c r="FA163" s="229">
        <v>1.1911</v>
      </c>
      <c r="FB163" s="227" t="s">
        <v>568</v>
      </c>
      <c r="FC163">
        <f t="shared" si="3"/>
        <v>0</v>
      </c>
    </row>
    <row r="164" spans="1:159" ht="17.25" thickBot="1" x14ac:dyDescent="0.3">
      <c r="A164" s="226">
        <v>46009</v>
      </c>
      <c r="B164" s="227" t="s">
        <v>175</v>
      </c>
      <c r="C164" s="227" t="s">
        <v>671</v>
      </c>
      <c r="D164" s="228">
        <v>650</v>
      </c>
      <c r="E164" s="228">
        <v>12</v>
      </c>
      <c r="F164" s="228">
        <v>898.8</v>
      </c>
      <c r="G164" s="228">
        <v>897.8</v>
      </c>
      <c r="H164" s="228">
        <v>1</v>
      </c>
      <c r="I164" s="229">
        <v>1.1000000000000001E-3</v>
      </c>
      <c r="J164" s="228">
        <v>896.15</v>
      </c>
      <c r="K164" s="228">
        <v>894.85</v>
      </c>
      <c r="L164" s="228">
        <v>1.3</v>
      </c>
      <c r="M164" s="229">
        <v>1.5E-3</v>
      </c>
      <c r="N164" s="228">
        <v>898.8</v>
      </c>
      <c r="O164" s="228">
        <v>897.8</v>
      </c>
      <c r="P164" s="228">
        <v>1</v>
      </c>
      <c r="Q164" s="229">
        <v>1.1000000000000001E-3</v>
      </c>
      <c r="R164" s="228">
        <v>903.65</v>
      </c>
      <c r="S164" s="228">
        <v>902.8</v>
      </c>
      <c r="T164" s="228">
        <v>0.85</v>
      </c>
      <c r="U164" s="229">
        <v>8.9999999999999998E-4</v>
      </c>
      <c r="V164" s="228">
        <v>906.2</v>
      </c>
      <c r="W164" s="228">
        <v>906.1</v>
      </c>
      <c r="X164" s="228">
        <v>0.1</v>
      </c>
      <c r="Y164" s="229">
        <v>1E-4</v>
      </c>
      <c r="Z164" s="228">
        <v>2.65</v>
      </c>
      <c r="AA164" s="228">
        <v>2.95</v>
      </c>
      <c r="AB164" s="228">
        <v>-0.3</v>
      </c>
      <c r="AC164" s="229">
        <v>3.0000000000000001E-3</v>
      </c>
      <c r="AD164" s="228">
        <v>2.65</v>
      </c>
      <c r="AE164" s="228">
        <v>2.95</v>
      </c>
      <c r="AF164" s="228">
        <v>-0.3</v>
      </c>
      <c r="AG164" s="229">
        <v>3.0000000000000001E-3</v>
      </c>
      <c r="AH164" s="228">
        <v>7.5</v>
      </c>
      <c r="AI164" s="228">
        <v>7.95</v>
      </c>
      <c r="AJ164" s="228">
        <v>-0.45</v>
      </c>
      <c r="AK164" s="229">
        <v>8.3999999999999995E-3</v>
      </c>
      <c r="AL164" s="228">
        <v>10.050000000000001</v>
      </c>
      <c r="AM164" s="228">
        <v>11.25</v>
      </c>
      <c r="AN164" s="228">
        <v>-1.2</v>
      </c>
      <c r="AO164" s="229">
        <v>1.12E-2</v>
      </c>
      <c r="AP164" s="228">
        <v>897.26</v>
      </c>
      <c r="AQ164" s="228">
        <v>902.65</v>
      </c>
      <c r="AR164" s="228">
        <v>0</v>
      </c>
      <c r="AS164" s="228">
        <v>199</v>
      </c>
      <c r="AT164" s="228">
        <v>153</v>
      </c>
      <c r="AU164" s="228">
        <v>46</v>
      </c>
      <c r="AV164" s="229">
        <v>0.29870000000000002</v>
      </c>
      <c r="AW164" s="228">
        <v>169</v>
      </c>
      <c r="AX164" s="228">
        <v>135</v>
      </c>
      <c r="AY164" s="228">
        <v>34</v>
      </c>
      <c r="AZ164" s="229">
        <v>0.25380000000000003</v>
      </c>
      <c r="BA164" s="228">
        <v>29</v>
      </c>
      <c r="BB164" s="228">
        <v>18</v>
      </c>
      <c r="BC164" s="228">
        <v>11</v>
      </c>
      <c r="BD164" s="229">
        <v>0.59160000000000001</v>
      </c>
      <c r="BE164" s="228">
        <v>1</v>
      </c>
      <c r="BF164" s="228">
        <v>1</v>
      </c>
      <c r="BG164" s="228">
        <v>1</v>
      </c>
      <c r="BH164" s="229">
        <v>1.6667000000000001</v>
      </c>
      <c r="BI164" s="228">
        <v>658</v>
      </c>
      <c r="BJ164" s="228">
        <v>543</v>
      </c>
      <c r="BK164" s="228">
        <v>115</v>
      </c>
      <c r="BL164" s="229">
        <v>0.21099999999999999</v>
      </c>
      <c r="BM164" s="228">
        <v>349</v>
      </c>
      <c r="BN164" s="228">
        <v>264</v>
      </c>
      <c r="BO164" s="228">
        <v>85</v>
      </c>
      <c r="BP164" s="229">
        <v>0.32290000000000002</v>
      </c>
      <c r="BQ164" s="230">
        <v>1206</v>
      </c>
      <c r="BR164" s="228">
        <v>961</v>
      </c>
      <c r="BS164" s="228">
        <v>246</v>
      </c>
      <c r="BT164" s="229">
        <v>0.25580000000000003</v>
      </c>
      <c r="BU164" s="230">
        <v>806683</v>
      </c>
      <c r="BV164" s="230">
        <v>762153</v>
      </c>
      <c r="BW164" s="230">
        <v>44530</v>
      </c>
      <c r="BX164" s="229">
        <v>5.8400000000000001E-2</v>
      </c>
      <c r="BY164" s="230">
        <v>1465</v>
      </c>
      <c r="BZ164" s="230">
        <v>1470</v>
      </c>
      <c r="CA164" s="228">
        <v>-5</v>
      </c>
      <c r="CB164" s="229">
        <v>-3.5000000000000001E-3</v>
      </c>
      <c r="CC164" s="230">
        <v>1402</v>
      </c>
      <c r="CD164" s="230">
        <v>1413</v>
      </c>
      <c r="CE164" s="228">
        <v>-12</v>
      </c>
      <c r="CF164" s="229">
        <v>-8.0999999999999996E-3</v>
      </c>
      <c r="CG164" s="228">
        <v>60</v>
      </c>
      <c r="CH164" s="228">
        <v>54</v>
      </c>
      <c r="CI164" s="228">
        <v>6</v>
      </c>
      <c r="CJ164" s="229">
        <v>0.1075</v>
      </c>
      <c r="CK164" s="228">
        <v>4</v>
      </c>
      <c r="CL164" s="228">
        <v>3</v>
      </c>
      <c r="CM164" s="228">
        <v>1</v>
      </c>
      <c r="CN164" s="229">
        <v>0.1731</v>
      </c>
      <c r="CO164" s="228">
        <v>716</v>
      </c>
      <c r="CP164" s="228">
        <v>684</v>
      </c>
      <c r="CQ164" s="228">
        <v>32</v>
      </c>
      <c r="CR164" s="229">
        <v>4.65E-2</v>
      </c>
      <c r="CS164" s="228">
        <v>414</v>
      </c>
      <c r="CT164" s="228">
        <v>423</v>
      </c>
      <c r="CU164" s="228">
        <v>-9</v>
      </c>
      <c r="CV164" s="229">
        <v>-2.0400000000000001E-2</v>
      </c>
      <c r="CW164" s="230">
        <v>2596</v>
      </c>
      <c r="CX164" s="230">
        <v>2578</v>
      </c>
      <c r="CY164" s="228">
        <v>18</v>
      </c>
      <c r="CZ164" s="229">
        <v>7.0000000000000001E-3</v>
      </c>
      <c r="DA164" s="228">
        <v>27.79</v>
      </c>
      <c r="DB164" s="228">
        <v>28.92</v>
      </c>
      <c r="DC164" s="228">
        <v>-1.1299999999999999</v>
      </c>
      <c r="DD164" s="228">
        <v>-1.1299999999999999</v>
      </c>
      <c r="DE164" s="228">
        <v>46.22</v>
      </c>
      <c r="DF164" s="228">
        <v>46.33</v>
      </c>
      <c r="DG164" s="228">
        <v>-18.43</v>
      </c>
      <c r="DH164" s="228">
        <v>-0.11</v>
      </c>
      <c r="DI164" s="228">
        <v>28.47</v>
      </c>
      <c r="DJ164" s="228">
        <v>29.5</v>
      </c>
      <c r="DK164" s="228">
        <v>-1.03</v>
      </c>
      <c r="DL164" s="228">
        <v>-1.03</v>
      </c>
      <c r="DM164" s="228">
        <v>26.5</v>
      </c>
      <c r="DN164" s="228">
        <v>27.74</v>
      </c>
      <c r="DO164" s="228">
        <v>-1.24</v>
      </c>
      <c r="DP164" s="228">
        <v>-1.24</v>
      </c>
      <c r="DQ164" s="228">
        <v>0.57999999999999996</v>
      </c>
      <c r="DR164" s="228">
        <v>0.62</v>
      </c>
      <c r="DS164" s="228">
        <v>-0.04</v>
      </c>
      <c r="DT164" s="229">
        <v>-6.4500000000000002E-2</v>
      </c>
      <c r="DU164" s="228">
        <v>920</v>
      </c>
      <c r="DV164" s="228">
        <v>900</v>
      </c>
      <c r="DW164" s="228">
        <v>0.53</v>
      </c>
      <c r="DX164" s="228">
        <v>0.49</v>
      </c>
      <c r="DY164" s="228">
        <v>0.04</v>
      </c>
      <c r="DZ164" s="229">
        <v>8.1600000000000006E-2</v>
      </c>
      <c r="EA164" s="229">
        <v>4.3499999999999997E-2</v>
      </c>
      <c r="EB164" s="230">
        <v>638300</v>
      </c>
      <c r="EC164" s="229">
        <v>5.4000000000000003E-3</v>
      </c>
      <c r="ED164" s="229">
        <v>4.3499999999999997E-2</v>
      </c>
      <c r="EE164" s="228">
        <v>5.39</v>
      </c>
      <c r="EF164" s="229">
        <v>6.0000000000000001E-3</v>
      </c>
      <c r="EG164" s="230">
        <v>255833</v>
      </c>
      <c r="EH164" s="230">
        <v>303878</v>
      </c>
      <c r="EI164" s="229">
        <v>-0.15809999999999999</v>
      </c>
      <c r="EJ164" s="229">
        <v>0.31709999999999999</v>
      </c>
      <c r="EK164" s="228">
        <v>690.69</v>
      </c>
      <c r="EL164" s="228">
        <v>340.63</v>
      </c>
      <c r="EM164" s="228">
        <v>199.01</v>
      </c>
      <c r="EN164" s="228">
        <v>60.58</v>
      </c>
      <c r="EO164" s="231">
        <v>1230.33</v>
      </c>
      <c r="EP164" s="228">
        <v>993.76</v>
      </c>
      <c r="EQ164" s="228">
        <v>236.57</v>
      </c>
      <c r="ER164" s="229">
        <v>0.23810000000000001</v>
      </c>
      <c r="ES164" s="228">
        <v>753.8</v>
      </c>
      <c r="ET164" s="228">
        <v>404.55</v>
      </c>
      <c r="EU164" s="231">
        <v>1465.64</v>
      </c>
      <c r="EV164" s="231">
        <v>28062406</v>
      </c>
      <c r="EW164" s="231">
        <v>2623.99</v>
      </c>
      <c r="EX164" s="231">
        <v>2605.48</v>
      </c>
      <c r="EY164" s="228">
        <v>18.510000000000002</v>
      </c>
      <c r="EZ164" s="229">
        <v>7.1000000000000004E-3</v>
      </c>
      <c r="FA164" s="229">
        <v>1.0291999999999999</v>
      </c>
      <c r="FB164" s="227" t="s">
        <v>556</v>
      </c>
      <c r="FC164">
        <f t="shared" si="3"/>
        <v>0</v>
      </c>
    </row>
    <row r="165" spans="1:159" ht="17.25" thickBot="1" x14ac:dyDescent="0.3">
      <c r="A165" s="226">
        <v>46009</v>
      </c>
      <c r="B165" s="227" t="s">
        <v>615</v>
      </c>
      <c r="C165" s="227" t="s">
        <v>573</v>
      </c>
      <c r="D165" s="228">
        <v>350</v>
      </c>
      <c r="E165" s="228">
        <v>12</v>
      </c>
      <c r="F165" s="231">
        <v>1839.4</v>
      </c>
      <c r="G165" s="231">
        <v>1770.4</v>
      </c>
      <c r="H165" s="228">
        <v>69</v>
      </c>
      <c r="I165" s="229">
        <v>3.9E-2</v>
      </c>
      <c r="J165" s="231">
        <v>1834.4</v>
      </c>
      <c r="K165" s="231">
        <v>1765</v>
      </c>
      <c r="L165" s="228">
        <v>69.400000000000006</v>
      </c>
      <c r="M165" s="229">
        <v>3.9300000000000002E-2</v>
      </c>
      <c r="N165" s="231">
        <v>1839.4</v>
      </c>
      <c r="O165" s="231">
        <v>1770.4</v>
      </c>
      <c r="P165" s="228">
        <v>69</v>
      </c>
      <c r="Q165" s="229">
        <v>3.9E-2</v>
      </c>
      <c r="R165" s="231">
        <v>1850.4</v>
      </c>
      <c r="S165" s="231">
        <v>1783.2</v>
      </c>
      <c r="T165" s="228">
        <v>67.2</v>
      </c>
      <c r="U165" s="229">
        <v>3.7699999999999997E-2</v>
      </c>
      <c r="V165" s="231">
        <v>1856.3</v>
      </c>
      <c r="W165" s="231">
        <v>1790.8</v>
      </c>
      <c r="X165" s="228">
        <v>65.5</v>
      </c>
      <c r="Y165" s="229">
        <v>3.6600000000000001E-2</v>
      </c>
      <c r="Z165" s="228">
        <v>5</v>
      </c>
      <c r="AA165" s="228">
        <v>5.4</v>
      </c>
      <c r="AB165" s="228">
        <v>-0.4</v>
      </c>
      <c r="AC165" s="229">
        <v>2.7000000000000001E-3</v>
      </c>
      <c r="AD165" s="228">
        <v>5</v>
      </c>
      <c r="AE165" s="228">
        <v>5.4</v>
      </c>
      <c r="AF165" s="228">
        <v>-0.4</v>
      </c>
      <c r="AG165" s="229">
        <v>2.7000000000000001E-3</v>
      </c>
      <c r="AH165" s="228">
        <v>16</v>
      </c>
      <c r="AI165" s="228">
        <v>18.2</v>
      </c>
      <c r="AJ165" s="228">
        <v>-2.2000000000000002</v>
      </c>
      <c r="AK165" s="229">
        <v>8.6999999999999994E-3</v>
      </c>
      <c r="AL165" s="228">
        <v>21.9</v>
      </c>
      <c r="AM165" s="228">
        <v>25.8</v>
      </c>
      <c r="AN165" s="228">
        <v>-3.9</v>
      </c>
      <c r="AO165" s="229">
        <v>1.1900000000000001E-2</v>
      </c>
      <c r="AP165" s="231">
        <v>1817.33</v>
      </c>
      <c r="AQ165" s="231">
        <v>1829.25</v>
      </c>
      <c r="AR165" s="228">
        <v>0</v>
      </c>
      <c r="AS165" s="228">
        <v>282</v>
      </c>
      <c r="AT165" s="228">
        <v>544</v>
      </c>
      <c r="AU165" s="228">
        <v>-262</v>
      </c>
      <c r="AV165" s="229">
        <v>-0.48209999999999997</v>
      </c>
      <c r="AW165" s="228">
        <v>239</v>
      </c>
      <c r="AX165" s="228">
        <v>479</v>
      </c>
      <c r="AY165" s="228">
        <v>-240</v>
      </c>
      <c r="AZ165" s="229">
        <v>-0.50160000000000005</v>
      </c>
      <c r="BA165" s="228">
        <v>41</v>
      </c>
      <c r="BB165" s="228">
        <v>63</v>
      </c>
      <c r="BC165" s="228">
        <v>-21</v>
      </c>
      <c r="BD165" s="229">
        <v>-0.34160000000000001</v>
      </c>
      <c r="BE165" s="228">
        <v>2</v>
      </c>
      <c r="BF165" s="228">
        <v>2</v>
      </c>
      <c r="BG165" s="228">
        <v>0</v>
      </c>
      <c r="BH165" s="229">
        <v>-0.1724</v>
      </c>
      <c r="BI165" s="230">
        <v>1483</v>
      </c>
      <c r="BJ165" s="230">
        <v>1855</v>
      </c>
      <c r="BK165" s="228">
        <v>-372</v>
      </c>
      <c r="BL165" s="229">
        <v>-0.2006</v>
      </c>
      <c r="BM165" s="228">
        <v>896</v>
      </c>
      <c r="BN165" s="230">
        <v>2053</v>
      </c>
      <c r="BO165" s="230">
        <v>-1156</v>
      </c>
      <c r="BP165" s="229">
        <v>-0.56340000000000001</v>
      </c>
      <c r="BQ165" s="230">
        <v>2660</v>
      </c>
      <c r="BR165" s="230">
        <v>4451</v>
      </c>
      <c r="BS165" s="230">
        <v>-1790</v>
      </c>
      <c r="BT165" s="229">
        <v>-0.40229999999999999</v>
      </c>
      <c r="BU165" s="230">
        <v>1663593</v>
      </c>
      <c r="BV165" s="230">
        <v>1929981</v>
      </c>
      <c r="BW165" s="230">
        <v>-266388</v>
      </c>
      <c r="BX165" s="229">
        <v>-0.13800000000000001</v>
      </c>
      <c r="BY165" s="230">
        <v>1215</v>
      </c>
      <c r="BZ165" s="230">
        <v>1214</v>
      </c>
      <c r="CA165" s="228">
        <v>1</v>
      </c>
      <c r="CB165" s="229">
        <v>5.9999999999999995E-4</v>
      </c>
      <c r="CC165" s="230">
        <v>1118</v>
      </c>
      <c r="CD165" s="230">
        <v>1119</v>
      </c>
      <c r="CE165" s="228">
        <v>-1</v>
      </c>
      <c r="CF165" s="229">
        <v>-5.9999999999999995E-4</v>
      </c>
      <c r="CG165" s="228">
        <v>94</v>
      </c>
      <c r="CH165" s="228">
        <v>92</v>
      </c>
      <c r="CI165" s="228">
        <v>2</v>
      </c>
      <c r="CJ165" s="229">
        <v>1.8200000000000001E-2</v>
      </c>
      <c r="CK165" s="228">
        <v>3</v>
      </c>
      <c r="CL165" s="228">
        <v>3</v>
      </c>
      <c r="CM165" s="228">
        <v>0</v>
      </c>
      <c r="CN165" s="229">
        <v>-8.1600000000000006E-2</v>
      </c>
      <c r="CO165" s="228">
        <v>577</v>
      </c>
      <c r="CP165" s="228">
        <v>642</v>
      </c>
      <c r="CQ165" s="228">
        <v>-65</v>
      </c>
      <c r="CR165" s="229">
        <v>-0.1008</v>
      </c>
      <c r="CS165" s="228">
        <v>404</v>
      </c>
      <c r="CT165" s="228">
        <v>401</v>
      </c>
      <c r="CU165" s="228">
        <v>3</v>
      </c>
      <c r="CV165" s="229">
        <v>8.0000000000000002E-3</v>
      </c>
      <c r="CW165" s="230">
        <v>2196</v>
      </c>
      <c r="CX165" s="230">
        <v>2256</v>
      </c>
      <c r="CY165" s="228">
        <v>-61</v>
      </c>
      <c r="CZ165" s="229">
        <v>-2.69E-2</v>
      </c>
      <c r="DA165" s="228">
        <v>29.98</v>
      </c>
      <c r="DB165" s="228">
        <v>32.68</v>
      </c>
      <c r="DC165" s="228">
        <v>-2.7</v>
      </c>
      <c r="DD165" s="228">
        <v>-2.7</v>
      </c>
      <c r="DE165" s="228">
        <v>47.07</v>
      </c>
      <c r="DF165" s="228">
        <v>46.9</v>
      </c>
      <c r="DG165" s="228">
        <v>-17.09</v>
      </c>
      <c r="DH165" s="228">
        <v>0.17</v>
      </c>
      <c r="DI165" s="228">
        <v>28.78</v>
      </c>
      <c r="DJ165" s="228">
        <v>33.35</v>
      </c>
      <c r="DK165" s="228">
        <v>-4.57</v>
      </c>
      <c r="DL165" s="228">
        <v>-4.57</v>
      </c>
      <c r="DM165" s="228">
        <v>31.96</v>
      </c>
      <c r="DN165" s="228">
        <v>32.07</v>
      </c>
      <c r="DO165" s="228">
        <v>-0.11</v>
      </c>
      <c r="DP165" s="228">
        <v>-0.11</v>
      </c>
      <c r="DQ165" s="228">
        <v>0.7</v>
      </c>
      <c r="DR165" s="228">
        <v>0.62</v>
      </c>
      <c r="DS165" s="228">
        <v>0.08</v>
      </c>
      <c r="DT165" s="229">
        <v>0.129</v>
      </c>
      <c r="DU165" s="231">
        <v>1900</v>
      </c>
      <c r="DV165" s="231">
        <v>1700</v>
      </c>
      <c r="DW165" s="228">
        <v>0.6</v>
      </c>
      <c r="DX165" s="228">
        <v>1.1100000000000001</v>
      </c>
      <c r="DY165" s="228">
        <v>-0.51</v>
      </c>
      <c r="DZ165" s="229">
        <v>-0.45950000000000002</v>
      </c>
      <c r="EA165" s="229">
        <v>7.9600000000000004E-2</v>
      </c>
      <c r="EB165" s="230">
        <v>517650</v>
      </c>
      <c r="EC165" s="229">
        <v>6.0000000000000001E-3</v>
      </c>
      <c r="ED165" s="229">
        <v>7.9600000000000004E-2</v>
      </c>
      <c r="EE165" s="228">
        <v>11.92</v>
      </c>
      <c r="EF165" s="229">
        <v>6.6E-3</v>
      </c>
      <c r="EG165" s="230">
        <v>748244</v>
      </c>
      <c r="EH165" s="230">
        <v>848570</v>
      </c>
      <c r="EI165" s="229">
        <v>-0.1182</v>
      </c>
      <c r="EJ165" s="229">
        <v>0.44979999999999998</v>
      </c>
      <c r="EK165" s="231">
        <v>1525.87</v>
      </c>
      <c r="EL165" s="228">
        <v>863.64</v>
      </c>
      <c r="EM165" s="228">
        <v>278.44</v>
      </c>
      <c r="EN165" s="228">
        <v>69.97</v>
      </c>
      <c r="EO165" s="231">
        <v>2667.95</v>
      </c>
      <c r="EP165" s="231">
        <v>4441.38</v>
      </c>
      <c r="EQ165" s="231">
        <v>-1773.43</v>
      </c>
      <c r="ER165" s="229">
        <v>-0.39929999999999999</v>
      </c>
      <c r="ES165" s="228">
        <v>606.95000000000005</v>
      </c>
      <c r="ET165" s="228">
        <v>386.98</v>
      </c>
      <c r="EU165" s="231">
        <v>1215.1600000000001</v>
      </c>
      <c r="EV165" s="231">
        <v>51720057</v>
      </c>
      <c r="EW165" s="231">
        <v>2209.09</v>
      </c>
      <c r="EX165" s="231">
        <v>2223.96</v>
      </c>
      <c r="EY165" s="228">
        <v>-14.87</v>
      </c>
      <c r="EZ165" s="229">
        <v>-6.7000000000000002E-3</v>
      </c>
      <c r="FA165" s="229">
        <v>0.23080000000000001</v>
      </c>
      <c r="FB165" s="227" t="s">
        <v>555</v>
      </c>
      <c r="FC165">
        <f t="shared" si="3"/>
        <v>0</v>
      </c>
    </row>
    <row r="166" spans="1:159" ht="17.25" thickBot="1" x14ac:dyDescent="0.3">
      <c r="A166" s="226">
        <v>46009</v>
      </c>
      <c r="B166" s="227" t="s">
        <v>184</v>
      </c>
      <c r="C166" s="227" t="s">
        <v>519</v>
      </c>
      <c r="D166" s="228">
        <v>125</v>
      </c>
      <c r="E166" s="228">
        <v>12</v>
      </c>
      <c r="F166" s="231">
        <v>7122</v>
      </c>
      <c r="G166" s="231">
        <v>7103</v>
      </c>
      <c r="H166" s="228">
        <v>19</v>
      </c>
      <c r="I166" s="229">
        <v>2.7000000000000001E-3</v>
      </c>
      <c r="J166" s="231">
        <v>7099</v>
      </c>
      <c r="K166" s="231">
        <v>7079.5</v>
      </c>
      <c r="L166" s="228">
        <v>19.5</v>
      </c>
      <c r="M166" s="229">
        <v>2.8E-3</v>
      </c>
      <c r="N166" s="231">
        <v>7122</v>
      </c>
      <c r="O166" s="231">
        <v>7103</v>
      </c>
      <c r="P166" s="228">
        <v>19</v>
      </c>
      <c r="Q166" s="229">
        <v>2.7000000000000001E-3</v>
      </c>
      <c r="R166" s="231">
        <v>7165</v>
      </c>
      <c r="S166" s="231">
        <v>7139</v>
      </c>
      <c r="T166" s="228">
        <v>26</v>
      </c>
      <c r="U166" s="229">
        <v>3.5999999999999999E-3</v>
      </c>
      <c r="V166" s="231">
        <v>7198</v>
      </c>
      <c r="W166" s="231">
        <v>7188.5</v>
      </c>
      <c r="X166" s="228">
        <v>9.5</v>
      </c>
      <c r="Y166" s="229">
        <v>1.2999999999999999E-3</v>
      </c>
      <c r="Z166" s="228">
        <v>23</v>
      </c>
      <c r="AA166" s="228">
        <v>23.5</v>
      </c>
      <c r="AB166" s="228">
        <v>-0.5</v>
      </c>
      <c r="AC166" s="229">
        <v>3.2000000000000002E-3</v>
      </c>
      <c r="AD166" s="228">
        <v>23</v>
      </c>
      <c r="AE166" s="228">
        <v>23.5</v>
      </c>
      <c r="AF166" s="228">
        <v>-0.5</v>
      </c>
      <c r="AG166" s="229">
        <v>3.2000000000000002E-3</v>
      </c>
      <c r="AH166" s="228">
        <v>66</v>
      </c>
      <c r="AI166" s="228">
        <v>59.5</v>
      </c>
      <c r="AJ166" s="228">
        <v>6.5</v>
      </c>
      <c r="AK166" s="229">
        <v>9.2999999999999992E-3</v>
      </c>
      <c r="AL166" s="228">
        <v>99</v>
      </c>
      <c r="AM166" s="228">
        <v>109</v>
      </c>
      <c r="AN166" s="228">
        <v>-10</v>
      </c>
      <c r="AO166" s="229">
        <v>1.3899999999999999E-2</v>
      </c>
      <c r="AP166" s="231">
        <v>7106.44</v>
      </c>
      <c r="AQ166" s="231">
        <v>7152</v>
      </c>
      <c r="AR166" s="228">
        <v>0</v>
      </c>
      <c r="AS166" s="228">
        <v>312</v>
      </c>
      <c r="AT166" s="228">
        <v>819</v>
      </c>
      <c r="AU166" s="228">
        <v>-507</v>
      </c>
      <c r="AV166" s="229">
        <v>-0.61899999999999999</v>
      </c>
      <c r="AW166" s="228">
        <v>254</v>
      </c>
      <c r="AX166" s="228">
        <v>708</v>
      </c>
      <c r="AY166" s="228">
        <v>-454</v>
      </c>
      <c r="AZ166" s="229">
        <v>-0.64090000000000003</v>
      </c>
      <c r="BA166" s="228">
        <v>56</v>
      </c>
      <c r="BB166" s="228">
        <v>105</v>
      </c>
      <c r="BC166" s="228">
        <v>-49</v>
      </c>
      <c r="BD166" s="229">
        <v>-0.46789999999999998</v>
      </c>
      <c r="BE166" s="228">
        <v>2</v>
      </c>
      <c r="BF166" s="228">
        <v>5</v>
      </c>
      <c r="BG166" s="228">
        <v>-4</v>
      </c>
      <c r="BH166" s="229">
        <v>-0.70489999999999997</v>
      </c>
      <c r="BI166" s="230">
        <v>1240</v>
      </c>
      <c r="BJ166" s="230">
        <v>3237</v>
      </c>
      <c r="BK166" s="230">
        <v>-1997</v>
      </c>
      <c r="BL166" s="229">
        <v>-0.6169</v>
      </c>
      <c r="BM166" s="228">
        <v>988</v>
      </c>
      <c r="BN166" s="230">
        <v>3916</v>
      </c>
      <c r="BO166" s="230">
        <v>-2928</v>
      </c>
      <c r="BP166" s="229">
        <v>-0.74770000000000003</v>
      </c>
      <c r="BQ166" s="230">
        <v>2540</v>
      </c>
      <c r="BR166" s="230">
        <v>7971</v>
      </c>
      <c r="BS166" s="230">
        <v>-5431</v>
      </c>
      <c r="BT166" s="229">
        <v>-0.68140000000000001</v>
      </c>
      <c r="BU166" s="230">
        <v>201958</v>
      </c>
      <c r="BV166" s="230">
        <v>1980056</v>
      </c>
      <c r="BW166" s="230">
        <v>-1778098</v>
      </c>
      <c r="BX166" s="229">
        <v>-0.89800000000000002</v>
      </c>
      <c r="BY166" s="230">
        <v>1616</v>
      </c>
      <c r="BZ166" s="230">
        <v>1587</v>
      </c>
      <c r="CA166" s="228">
        <v>29</v>
      </c>
      <c r="CB166" s="229">
        <v>1.8100000000000002E-2</v>
      </c>
      <c r="CC166" s="230">
        <v>1471</v>
      </c>
      <c r="CD166" s="230">
        <v>1471</v>
      </c>
      <c r="CE166" s="228">
        <v>0</v>
      </c>
      <c r="CF166" s="229">
        <v>2.0000000000000001E-4</v>
      </c>
      <c r="CG166" s="228">
        <v>137</v>
      </c>
      <c r="CH166" s="228">
        <v>109</v>
      </c>
      <c r="CI166" s="228">
        <v>28</v>
      </c>
      <c r="CJ166" s="229">
        <v>0.2606</v>
      </c>
      <c r="CK166" s="228">
        <v>8</v>
      </c>
      <c r="CL166" s="228">
        <v>8</v>
      </c>
      <c r="CM166" s="228">
        <v>0</v>
      </c>
      <c r="CN166" s="229">
        <v>0</v>
      </c>
      <c r="CO166" s="228">
        <v>703</v>
      </c>
      <c r="CP166" s="228">
        <v>769</v>
      </c>
      <c r="CQ166" s="228">
        <v>-66</v>
      </c>
      <c r="CR166" s="229">
        <v>-8.5199999999999998E-2</v>
      </c>
      <c r="CS166" s="228">
        <v>429</v>
      </c>
      <c r="CT166" s="228">
        <v>504</v>
      </c>
      <c r="CU166" s="228">
        <v>-75</v>
      </c>
      <c r="CV166" s="229">
        <v>-0.14929999999999999</v>
      </c>
      <c r="CW166" s="230">
        <v>2748</v>
      </c>
      <c r="CX166" s="230">
        <v>2860</v>
      </c>
      <c r="CY166" s="228">
        <v>-112</v>
      </c>
      <c r="CZ166" s="229">
        <v>-3.9199999999999999E-2</v>
      </c>
      <c r="DA166" s="228">
        <v>23.97</v>
      </c>
      <c r="DB166" s="228">
        <v>26.06</v>
      </c>
      <c r="DC166" s="228">
        <v>-2.09</v>
      </c>
      <c r="DD166" s="228">
        <v>-2.09</v>
      </c>
      <c r="DE166" s="228">
        <v>38.69</v>
      </c>
      <c r="DF166" s="228">
        <v>38.79</v>
      </c>
      <c r="DG166" s="228">
        <v>-14.72</v>
      </c>
      <c r="DH166" s="228">
        <v>-0.1</v>
      </c>
      <c r="DI166" s="228">
        <v>23.25</v>
      </c>
      <c r="DJ166" s="228">
        <v>25.81</v>
      </c>
      <c r="DK166" s="228">
        <v>-2.56</v>
      </c>
      <c r="DL166" s="228">
        <v>-2.56</v>
      </c>
      <c r="DM166" s="228">
        <v>24.88</v>
      </c>
      <c r="DN166" s="228">
        <v>26.27</v>
      </c>
      <c r="DO166" s="228">
        <v>-1.39</v>
      </c>
      <c r="DP166" s="228">
        <v>-1.39</v>
      </c>
      <c r="DQ166" s="228">
        <v>0.61</v>
      </c>
      <c r="DR166" s="228">
        <v>0.66</v>
      </c>
      <c r="DS166" s="228">
        <v>-0.05</v>
      </c>
      <c r="DT166" s="229">
        <v>-7.5800000000000006E-2</v>
      </c>
      <c r="DU166" s="231">
        <v>7500</v>
      </c>
      <c r="DV166" s="231">
        <v>7000</v>
      </c>
      <c r="DW166" s="228">
        <v>0.8</v>
      </c>
      <c r="DX166" s="228">
        <v>1.21</v>
      </c>
      <c r="DY166" s="228">
        <v>-0.41</v>
      </c>
      <c r="DZ166" s="229">
        <v>-0.33879999999999999</v>
      </c>
      <c r="EA166" s="229">
        <v>8.9700000000000002E-2</v>
      </c>
      <c r="EB166" s="230">
        <v>163750</v>
      </c>
      <c r="EC166" s="229">
        <v>6.0000000000000001E-3</v>
      </c>
      <c r="ED166" s="229">
        <v>8.9700000000000002E-2</v>
      </c>
      <c r="EE166" s="228">
        <v>45.56</v>
      </c>
      <c r="EF166" s="229">
        <v>6.4000000000000003E-3</v>
      </c>
      <c r="EG166" s="230">
        <v>100113</v>
      </c>
      <c r="EH166" s="230">
        <v>1072835</v>
      </c>
      <c r="EI166" s="229">
        <v>-0.90669999999999995</v>
      </c>
      <c r="EJ166" s="229">
        <v>0.49569999999999997</v>
      </c>
      <c r="EK166" s="231">
        <v>1284.8</v>
      </c>
      <c r="EL166" s="228">
        <v>967.46</v>
      </c>
      <c r="EM166" s="228">
        <v>311.64</v>
      </c>
      <c r="EN166" s="228">
        <v>41.78</v>
      </c>
      <c r="EO166" s="231">
        <v>2563.9</v>
      </c>
      <c r="EP166" s="231">
        <v>8065.68</v>
      </c>
      <c r="EQ166" s="231">
        <v>-5501.78</v>
      </c>
      <c r="ER166" s="229">
        <v>-0.68210000000000004</v>
      </c>
      <c r="ES166" s="228">
        <v>739.68</v>
      </c>
      <c r="ET166" s="228">
        <v>421.93</v>
      </c>
      <c r="EU166" s="231">
        <v>1616.89</v>
      </c>
      <c r="EV166" s="231">
        <v>8350688</v>
      </c>
      <c r="EW166" s="231">
        <v>2778.5</v>
      </c>
      <c r="EX166" s="231">
        <v>2885.85</v>
      </c>
      <c r="EY166" s="228">
        <v>-107.35</v>
      </c>
      <c r="EZ166" s="229">
        <v>-3.7199999999999997E-2</v>
      </c>
      <c r="FA166" s="229">
        <v>0.46200000000000002</v>
      </c>
      <c r="FB166" s="227" t="s">
        <v>555</v>
      </c>
      <c r="FC166">
        <f t="shared" si="3"/>
        <v>0</v>
      </c>
    </row>
    <row r="167" spans="1:159" ht="17.25" thickBot="1" x14ac:dyDescent="0.3">
      <c r="A167" s="226">
        <v>46009</v>
      </c>
      <c r="B167" s="227" t="s">
        <v>161</v>
      </c>
      <c r="C167" s="227" t="s">
        <v>276</v>
      </c>
      <c r="D167" s="228">
        <v>1900</v>
      </c>
      <c r="E167" s="228">
        <v>12</v>
      </c>
      <c r="F167" s="228">
        <v>258.75</v>
      </c>
      <c r="G167" s="228">
        <v>261.89999999999998</v>
      </c>
      <c r="H167" s="228">
        <v>-3.15</v>
      </c>
      <c r="I167" s="229">
        <v>-1.2E-2</v>
      </c>
      <c r="J167" s="228">
        <v>257.95</v>
      </c>
      <c r="K167" s="228">
        <v>261.10000000000002</v>
      </c>
      <c r="L167" s="228">
        <v>-3.15</v>
      </c>
      <c r="M167" s="229">
        <v>-1.21E-2</v>
      </c>
      <c r="N167" s="228">
        <v>258.75</v>
      </c>
      <c r="O167" s="228">
        <v>261.89999999999998</v>
      </c>
      <c r="P167" s="228">
        <v>-3.15</v>
      </c>
      <c r="Q167" s="229">
        <v>-1.2E-2</v>
      </c>
      <c r="R167" s="228">
        <v>260.35000000000002</v>
      </c>
      <c r="S167" s="228">
        <v>263.45</v>
      </c>
      <c r="T167" s="228">
        <v>-3.1</v>
      </c>
      <c r="U167" s="229">
        <v>-1.18E-2</v>
      </c>
      <c r="V167" s="228">
        <v>259.3</v>
      </c>
      <c r="W167" s="228">
        <v>262.39999999999998</v>
      </c>
      <c r="X167" s="228">
        <v>-3.1</v>
      </c>
      <c r="Y167" s="229">
        <v>-1.18E-2</v>
      </c>
      <c r="Z167" s="228">
        <v>0.8</v>
      </c>
      <c r="AA167" s="228">
        <v>0.8</v>
      </c>
      <c r="AB167" s="228">
        <v>0</v>
      </c>
      <c r="AC167" s="229">
        <v>3.0999999999999999E-3</v>
      </c>
      <c r="AD167" s="228">
        <v>0.8</v>
      </c>
      <c r="AE167" s="228">
        <v>0.8</v>
      </c>
      <c r="AF167" s="228">
        <v>0</v>
      </c>
      <c r="AG167" s="229">
        <v>3.0999999999999999E-3</v>
      </c>
      <c r="AH167" s="228">
        <v>2.4</v>
      </c>
      <c r="AI167" s="228">
        <v>2.35</v>
      </c>
      <c r="AJ167" s="228">
        <v>0.05</v>
      </c>
      <c r="AK167" s="229">
        <v>9.2999999999999992E-3</v>
      </c>
      <c r="AL167" s="228">
        <v>1.35</v>
      </c>
      <c r="AM167" s="228">
        <v>1.3</v>
      </c>
      <c r="AN167" s="228">
        <v>0.05</v>
      </c>
      <c r="AO167" s="229">
        <v>5.1999999999999998E-3</v>
      </c>
      <c r="AP167" s="228">
        <v>258.54000000000002</v>
      </c>
      <c r="AQ167" s="228">
        <v>260</v>
      </c>
      <c r="AR167" s="228">
        <v>0</v>
      </c>
      <c r="AS167" s="228">
        <v>483</v>
      </c>
      <c r="AT167" s="228">
        <v>192</v>
      </c>
      <c r="AU167" s="228">
        <v>291</v>
      </c>
      <c r="AV167" s="229">
        <v>1.5154000000000001</v>
      </c>
      <c r="AW167" s="228">
        <v>319</v>
      </c>
      <c r="AX167" s="228">
        <v>165</v>
      </c>
      <c r="AY167" s="228">
        <v>154</v>
      </c>
      <c r="AZ167" s="229">
        <v>0.93110000000000004</v>
      </c>
      <c r="BA167" s="228">
        <v>155</v>
      </c>
      <c r="BB167" s="228">
        <v>25</v>
      </c>
      <c r="BC167" s="228">
        <v>130</v>
      </c>
      <c r="BD167" s="229">
        <v>5.2272999999999996</v>
      </c>
      <c r="BE167" s="228">
        <v>10</v>
      </c>
      <c r="BF167" s="228">
        <v>2</v>
      </c>
      <c r="BG167" s="228">
        <v>7</v>
      </c>
      <c r="BH167" s="229">
        <v>3.3332999999999999</v>
      </c>
      <c r="BI167" s="228">
        <v>813</v>
      </c>
      <c r="BJ167" s="228">
        <v>412</v>
      </c>
      <c r="BK167" s="228">
        <v>401</v>
      </c>
      <c r="BL167" s="229">
        <v>0.97309999999999997</v>
      </c>
      <c r="BM167" s="228">
        <v>405</v>
      </c>
      <c r="BN167" s="228">
        <v>142</v>
      </c>
      <c r="BO167" s="228">
        <v>262</v>
      </c>
      <c r="BP167" s="229">
        <v>1.8402000000000001</v>
      </c>
      <c r="BQ167" s="230">
        <v>1700</v>
      </c>
      <c r="BR167" s="228">
        <v>746</v>
      </c>
      <c r="BS167" s="228">
        <v>954</v>
      </c>
      <c r="BT167" s="229">
        <v>1.2781</v>
      </c>
      <c r="BU167" s="230">
        <v>11622455</v>
      </c>
      <c r="BV167" s="230">
        <v>11180427</v>
      </c>
      <c r="BW167" s="230">
        <v>442028</v>
      </c>
      <c r="BX167" s="229">
        <v>3.95E-2</v>
      </c>
      <c r="BY167" s="230">
        <v>2256</v>
      </c>
      <c r="BZ167" s="230">
        <v>2144</v>
      </c>
      <c r="CA167" s="228">
        <v>112</v>
      </c>
      <c r="CB167" s="229">
        <v>5.2200000000000003E-2</v>
      </c>
      <c r="CC167" s="230">
        <v>1897</v>
      </c>
      <c r="CD167" s="230">
        <v>1903</v>
      </c>
      <c r="CE167" s="228">
        <v>-6</v>
      </c>
      <c r="CF167" s="229">
        <v>-3.3E-3</v>
      </c>
      <c r="CG167" s="228">
        <v>331</v>
      </c>
      <c r="CH167" s="228">
        <v>218</v>
      </c>
      <c r="CI167" s="228">
        <v>113</v>
      </c>
      <c r="CJ167" s="229">
        <v>0.51759999999999995</v>
      </c>
      <c r="CK167" s="228">
        <v>29</v>
      </c>
      <c r="CL167" s="228">
        <v>23</v>
      </c>
      <c r="CM167" s="228">
        <v>5</v>
      </c>
      <c r="CN167" s="229">
        <v>0.23039999999999999</v>
      </c>
      <c r="CO167" s="228">
        <v>955</v>
      </c>
      <c r="CP167" s="228">
        <v>899</v>
      </c>
      <c r="CQ167" s="228">
        <v>56</v>
      </c>
      <c r="CR167" s="229">
        <v>6.1899999999999997E-2</v>
      </c>
      <c r="CS167" s="228">
        <v>564</v>
      </c>
      <c r="CT167" s="228">
        <v>545</v>
      </c>
      <c r="CU167" s="228">
        <v>18</v>
      </c>
      <c r="CV167" s="229">
        <v>3.3500000000000002E-2</v>
      </c>
      <c r="CW167" s="230">
        <v>3774</v>
      </c>
      <c r="CX167" s="230">
        <v>3588</v>
      </c>
      <c r="CY167" s="228">
        <v>186</v>
      </c>
      <c r="CZ167" s="229">
        <v>5.1799999999999999E-2</v>
      </c>
      <c r="DA167" s="228">
        <v>17.93</v>
      </c>
      <c r="DB167" s="228">
        <v>17.27</v>
      </c>
      <c r="DC167" s="228">
        <v>0.66</v>
      </c>
      <c r="DD167" s="228">
        <v>0.66</v>
      </c>
      <c r="DE167" s="228">
        <v>27.75</v>
      </c>
      <c r="DF167" s="228">
        <v>27.77</v>
      </c>
      <c r="DG167" s="228">
        <v>-9.82</v>
      </c>
      <c r="DH167" s="228">
        <v>-0.02</v>
      </c>
      <c r="DI167" s="228">
        <v>18.170000000000002</v>
      </c>
      <c r="DJ167" s="228">
        <v>17.45</v>
      </c>
      <c r="DK167" s="228">
        <v>0.72</v>
      </c>
      <c r="DL167" s="228">
        <v>0.72</v>
      </c>
      <c r="DM167" s="228">
        <v>17.440000000000001</v>
      </c>
      <c r="DN167" s="228">
        <v>16.72</v>
      </c>
      <c r="DO167" s="228">
        <v>0.72</v>
      </c>
      <c r="DP167" s="228">
        <v>0.72</v>
      </c>
      <c r="DQ167" s="228">
        <v>0.59</v>
      </c>
      <c r="DR167" s="228">
        <v>0.61</v>
      </c>
      <c r="DS167" s="228">
        <v>-0.02</v>
      </c>
      <c r="DT167" s="229">
        <v>-3.2800000000000003E-2</v>
      </c>
      <c r="DU167" s="228">
        <v>280</v>
      </c>
      <c r="DV167" s="228">
        <v>260</v>
      </c>
      <c r="DW167" s="228">
        <v>0.5</v>
      </c>
      <c r="DX167" s="228">
        <v>0.35</v>
      </c>
      <c r="DY167" s="228">
        <v>0.15</v>
      </c>
      <c r="DZ167" s="229">
        <v>0.42859999999999998</v>
      </c>
      <c r="EA167" s="229">
        <v>0.15920000000000001</v>
      </c>
      <c r="EB167" s="230">
        <v>9315700</v>
      </c>
      <c r="EC167" s="229">
        <v>6.1999999999999998E-3</v>
      </c>
      <c r="ED167" s="229">
        <v>0.15920000000000001</v>
      </c>
      <c r="EE167" s="228">
        <v>1.46</v>
      </c>
      <c r="EF167" s="229">
        <v>5.5999999999999999E-3</v>
      </c>
      <c r="EG167" s="230">
        <v>7849245</v>
      </c>
      <c r="EH167" s="230">
        <v>8722909</v>
      </c>
      <c r="EI167" s="229">
        <v>-0.1002</v>
      </c>
      <c r="EJ167" s="229">
        <v>0.6754</v>
      </c>
      <c r="EK167" s="228">
        <v>841.17</v>
      </c>
      <c r="EL167" s="228">
        <v>404.76</v>
      </c>
      <c r="EM167" s="228">
        <v>483.52</v>
      </c>
      <c r="EN167" s="228">
        <v>37.869999999999997</v>
      </c>
      <c r="EO167" s="231">
        <v>1729.45</v>
      </c>
      <c r="EP167" s="228">
        <v>769.21</v>
      </c>
      <c r="EQ167" s="228">
        <v>960.23</v>
      </c>
      <c r="ER167" s="229">
        <v>1.2483</v>
      </c>
      <c r="ES167" s="231">
        <v>1032.97</v>
      </c>
      <c r="ET167" s="228">
        <v>586.69000000000005</v>
      </c>
      <c r="EU167" s="231">
        <v>2257.98</v>
      </c>
      <c r="EV167" s="231">
        <v>488832949</v>
      </c>
      <c r="EW167" s="231">
        <v>3877.64</v>
      </c>
      <c r="EX167" s="231">
        <v>3719.29</v>
      </c>
      <c r="EY167" s="228">
        <v>158.35</v>
      </c>
      <c r="EZ167" s="229">
        <v>4.2599999999999999E-2</v>
      </c>
      <c r="FA167" s="229">
        <v>0.2984</v>
      </c>
      <c r="FB167" s="227" t="s">
        <v>567</v>
      </c>
      <c r="FC167">
        <f t="shared" si="3"/>
        <v>0</v>
      </c>
    </row>
    <row r="168" spans="1:159" ht="17.25" thickBot="1" x14ac:dyDescent="0.3">
      <c r="A168" s="226">
        <v>46009</v>
      </c>
      <c r="B168" s="227" t="s">
        <v>184</v>
      </c>
      <c r="C168" s="227" t="s">
        <v>688</v>
      </c>
      <c r="D168" s="228">
        <v>50</v>
      </c>
      <c r="E168" s="228">
        <v>12</v>
      </c>
      <c r="F168" s="231">
        <v>18210</v>
      </c>
      <c r="G168" s="231">
        <v>19215</v>
      </c>
      <c r="H168" s="231">
        <v>-1005</v>
      </c>
      <c r="I168" s="229">
        <v>-5.2299999999999999E-2</v>
      </c>
      <c r="J168" s="231">
        <v>18160</v>
      </c>
      <c r="K168" s="231">
        <v>19150</v>
      </c>
      <c r="L168" s="228">
        <v>-990</v>
      </c>
      <c r="M168" s="229">
        <v>-5.1700000000000003E-2</v>
      </c>
      <c r="N168" s="231">
        <v>18210</v>
      </c>
      <c r="O168" s="231">
        <v>19215</v>
      </c>
      <c r="P168" s="231">
        <v>-1005</v>
      </c>
      <c r="Q168" s="229">
        <v>-5.2299999999999999E-2</v>
      </c>
      <c r="R168" s="231">
        <v>18305</v>
      </c>
      <c r="S168" s="231">
        <v>19290</v>
      </c>
      <c r="T168" s="228">
        <v>-985</v>
      </c>
      <c r="U168" s="229">
        <v>-5.11E-2</v>
      </c>
      <c r="V168" s="231">
        <v>18350</v>
      </c>
      <c r="W168" s="231">
        <v>19365</v>
      </c>
      <c r="X168" s="231">
        <v>-1015</v>
      </c>
      <c r="Y168" s="229">
        <v>-5.2400000000000002E-2</v>
      </c>
      <c r="Z168" s="228">
        <v>50</v>
      </c>
      <c r="AA168" s="228">
        <v>65</v>
      </c>
      <c r="AB168" s="228">
        <v>-15</v>
      </c>
      <c r="AC168" s="229">
        <v>2.8E-3</v>
      </c>
      <c r="AD168" s="228">
        <v>50</v>
      </c>
      <c r="AE168" s="228">
        <v>65</v>
      </c>
      <c r="AF168" s="228">
        <v>-15</v>
      </c>
      <c r="AG168" s="229">
        <v>2.8E-3</v>
      </c>
      <c r="AH168" s="228">
        <v>145</v>
      </c>
      <c r="AI168" s="228">
        <v>140</v>
      </c>
      <c r="AJ168" s="228">
        <v>5</v>
      </c>
      <c r="AK168" s="229">
        <v>8.0000000000000002E-3</v>
      </c>
      <c r="AL168" s="228">
        <v>190</v>
      </c>
      <c r="AM168" s="228">
        <v>215</v>
      </c>
      <c r="AN168" s="228">
        <v>-25</v>
      </c>
      <c r="AO168" s="229">
        <v>1.0500000000000001E-2</v>
      </c>
      <c r="AP168" s="231">
        <v>18486.900000000001</v>
      </c>
      <c r="AQ168" s="231">
        <v>18540.68</v>
      </c>
      <c r="AR168" s="228">
        <v>0</v>
      </c>
      <c r="AS168" s="228">
        <v>312</v>
      </c>
      <c r="AT168" s="228">
        <v>120</v>
      </c>
      <c r="AU168" s="228">
        <v>193</v>
      </c>
      <c r="AV168" s="229">
        <v>1.6131</v>
      </c>
      <c r="AW168" s="228">
        <v>250</v>
      </c>
      <c r="AX168" s="228">
        <v>106</v>
      </c>
      <c r="AY168" s="228">
        <v>144</v>
      </c>
      <c r="AZ168" s="229">
        <v>1.3634999999999999</v>
      </c>
      <c r="BA168" s="228">
        <v>59</v>
      </c>
      <c r="BB168" s="228">
        <v>13</v>
      </c>
      <c r="BC168" s="228">
        <v>46</v>
      </c>
      <c r="BD168" s="229">
        <v>3.3986000000000001</v>
      </c>
      <c r="BE168" s="228">
        <v>3</v>
      </c>
      <c r="BF168" s="228">
        <v>0</v>
      </c>
      <c r="BG168" s="228">
        <v>3</v>
      </c>
      <c r="BH168" s="229">
        <v>8</v>
      </c>
      <c r="BI168" s="230">
        <v>2921</v>
      </c>
      <c r="BJ168" s="228">
        <v>780</v>
      </c>
      <c r="BK168" s="230">
        <v>2140</v>
      </c>
      <c r="BL168" s="229">
        <v>2.7425000000000002</v>
      </c>
      <c r="BM168" s="230">
        <v>2298</v>
      </c>
      <c r="BN168" s="228">
        <v>217</v>
      </c>
      <c r="BO168" s="230">
        <v>2081</v>
      </c>
      <c r="BP168" s="229">
        <v>9.6095000000000006</v>
      </c>
      <c r="BQ168" s="230">
        <v>5531</v>
      </c>
      <c r="BR168" s="230">
        <v>1117</v>
      </c>
      <c r="BS168" s="230">
        <v>4415</v>
      </c>
      <c r="BT168" s="229">
        <v>3.9537</v>
      </c>
      <c r="BU168" s="230">
        <v>165741</v>
      </c>
      <c r="BV168" s="230">
        <v>76919</v>
      </c>
      <c r="BW168" s="230">
        <v>88822</v>
      </c>
      <c r="BX168" s="229">
        <v>1.1547000000000001</v>
      </c>
      <c r="BY168" s="228">
        <v>525</v>
      </c>
      <c r="BZ168" s="228">
        <v>489</v>
      </c>
      <c r="CA168" s="228">
        <v>37</v>
      </c>
      <c r="CB168" s="229">
        <v>7.4899999999999994E-2</v>
      </c>
      <c r="CC168" s="228">
        <v>481</v>
      </c>
      <c r="CD168" s="228">
        <v>463</v>
      </c>
      <c r="CE168" s="228">
        <v>18</v>
      </c>
      <c r="CF168" s="229">
        <v>3.9899999999999998E-2</v>
      </c>
      <c r="CG168" s="228">
        <v>40</v>
      </c>
      <c r="CH168" s="228">
        <v>23</v>
      </c>
      <c r="CI168" s="228">
        <v>16</v>
      </c>
      <c r="CJ168" s="229">
        <v>0.68989999999999996</v>
      </c>
      <c r="CK168" s="228">
        <v>4</v>
      </c>
      <c r="CL168" s="228">
        <v>2</v>
      </c>
      <c r="CM168" s="228">
        <v>2</v>
      </c>
      <c r="CN168" s="229">
        <v>0.80769999999999997</v>
      </c>
      <c r="CO168" s="230">
        <v>1202</v>
      </c>
      <c r="CP168" s="228">
        <v>951</v>
      </c>
      <c r="CQ168" s="228">
        <v>251</v>
      </c>
      <c r="CR168" s="229">
        <v>0.26390000000000002</v>
      </c>
      <c r="CS168" s="228">
        <v>380</v>
      </c>
      <c r="CT168" s="228">
        <v>361</v>
      </c>
      <c r="CU168" s="228">
        <v>19</v>
      </c>
      <c r="CV168" s="229">
        <v>5.2499999999999998E-2</v>
      </c>
      <c r="CW168" s="230">
        <v>2107</v>
      </c>
      <c r="CX168" s="230">
        <v>1801</v>
      </c>
      <c r="CY168" s="228">
        <v>306</v>
      </c>
      <c r="CZ168" s="229">
        <v>0.17019999999999999</v>
      </c>
      <c r="DA168" s="228">
        <v>37.299999999999997</v>
      </c>
      <c r="DB168" s="228">
        <v>35.520000000000003</v>
      </c>
      <c r="DC168" s="228">
        <v>1.78</v>
      </c>
      <c r="DD168" s="228">
        <v>1.78</v>
      </c>
      <c r="DE168" s="228">
        <v>58.51</v>
      </c>
      <c r="DF168" s="228">
        <v>58.22</v>
      </c>
      <c r="DG168" s="228">
        <v>-21.21</v>
      </c>
      <c r="DH168" s="228">
        <v>0.28999999999999998</v>
      </c>
      <c r="DI168" s="228">
        <v>39.76</v>
      </c>
      <c r="DJ168" s="228">
        <v>36.67</v>
      </c>
      <c r="DK168" s="228">
        <v>3.09</v>
      </c>
      <c r="DL168" s="228">
        <v>3.09</v>
      </c>
      <c r="DM168" s="228">
        <v>34.17</v>
      </c>
      <c r="DN168" s="228">
        <v>31.36</v>
      </c>
      <c r="DO168" s="228">
        <v>2.81</v>
      </c>
      <c r="DP168" s="228">
        <v>2.81</v>
      </c>
      <c r="DQ168" s="228">
        <v>0.32</v>
      </c>
      <c r="DR168" s="228">
        <v>0.38</v>
      </c>
      <c r="DS168" s="228">
        <v>-0.06</v>
      </c>
      <c r="DT168" s="229">
        <v>-0.15790000000000001</v>
      </c>
      <c r="DU168" s="231">
        <v>22000</v>
      </c>
      <c r="DV168" s="231">
        <v>17000</v>
      </c>
      <c r="DW168" s="228">
        <v>0.79</v>
      </c>
      <c r="DX168" s="228">
        <v>0.28000000000000003</v>
      </c>
      <c r="DY168" s="228">
        <v>0.51</v>
      </c>
      <c r="DZ168" s="229">
        <v>1.8213999999999999</v>
      </c>
      <c r="EA168" s="229">
        <v>8.3699999999999997E-2</v>
      </c>
      <c r="EB168" s="230">
        <v>14200</v>
      </c>
      <c r="EC168" s="229">
        <v>5.1999999999999998E-3</v>
      </c>
      <c r="ED168" s="229">
        <v>8.3699999999999997E-2</v>
      </c>
      <c r="EE168" s="228">
        <v>53.78</v>
      </c>
      <c r="EF168" s="229">
        <v>2.8999999999999998E-3</v>
      </c>
      <c r="EG168" s="230">
        <v>49759</v>
      </c>
      <c r="EH168" s="230">
        <v>24436</v>
      </c>
      <c r="EI168" s="229">
        <v>1.0363</v>
      </c>
      <c r="EJ168" s="229">
        <v>0.30020000000000002</v>
      </c>
      <c r="EK168" s="231">
        <v>3292.58</v>
      </c>
      <c r="EL168" s="231">
        <v>2288.69</v>
      </c>
      <c r="EM168" s="228">
        <v>317.36</v>
      </c>
      <c r="EN168" s="228">
        <v>13.84</v>
      </c>
      <c r="EO168" s="231">
        <v>5898.63</v>
      </c>
      <c r="EP168" s="231">
        <v>1266.33</v>
      </c>
      <c r="EQ168" s="231">
        <v>4632.3</v>
      </c>
      <c r="ER168" s="229">
        <v>3.6579999999999999</v>
      </c>
      <c r="ES168" s="231">
        <v>1391.19</v>
      </c>
      <c r="ET168" s="228">
        <v>388.43</v>
      </c>
      <c r="EU168" s="228">
        <v>525.41999999999996</v>
      </c>
      <c r="EV168" s="231">
        <v>1917916</v>
      </c>
      <c r="EW168" s="231">
        <v>2305.04</v>
      </c>
      <c r="EX168" s="231">
        <v>2022.86</v>
      </c>
      <c r="EY168" s="228">
        <v>282.18</v>
      </c>
      <c r="EZ168" s="229">
        <v>0.13950000000000001</v>
      </c>
      <c r="FA168" s="229">
        <v>0.60329999999999995</v>
      </c>
      <c r="FB168" s="227" t="s">
        <v>567</v>
      </c>
      <c r="FC168">
        <f t="shared" si="3"/>
        <v>0</v>
      </c>
    </row>
    <row r="169" spans="1:159" ht="17.25" thickBot="1" x14ac:dyDescent="0.3">
      <c r="A169" s="226">
        <v>46009</v>
      </c>
      <c r="B169" s="227" t="s">
        <v>170</v>
      </c>
      <c r="C169" s="227" t="s">
        <v>679</v>
      </c>
      <c r="D169" s="228">
        <v>2500</v>
      </c>
      <c r="E169" s="228">
        <v>12</v>
      </c>
      <c r="F169" s="228">
        <v>167.19</v>
      </c>
      <c r="G169" s="228">
        <v>168.2</v>
      </c>
      <c r="H169" s="228">
        <v>-1.01</v>
      </c>
      <c r="I169" s="229">
        <v>-6.0000000000000001E-3</v>
      </c>
      <c r="J169" s="228">
        <v>166.52</v>
      </c>
      <c r="K169" s="228">
        <v>167.9</v>
      </c>
      <c r="L169" s="228">
        <v>-1.38</v>
      </c>
      <c r="M169" s="229">
        <v>-8.2000000000000007E-3</v>
      </c>
      <c r="N169" s="228">
        <v>167.19</v>
      </c>
      <c r="O169" s="228">
        <v>168.2</v>
      </c>
      <c r="P169" s="228">
        <v>-1.01</v>
      </c>
      <c r="Q169" s="229">
        <v>-6.0000000000000001E-3</v>
      </c>
      <c r="R169" s="228">
        <v>168</v>
      </c>
      <c r="S169" s="228">
        <v>169.05</v>
      </c>
      <c r="T169" s="228">
        <v>-1.05</v>
      </c>
      <c r="U169" s="229">
        <v>-6.1999999999999998E-3</v>
      </c>
      <c r="V169" s="228">
        <v>169</v>
      </c>
      <c r="W169" s="228">
        <v>170.02</v>
      </c>
      <c r="X169" s="228">
        <v>-1.02</v>
      </c>
      <c r="Y169" s="229">
        <v>-6.0000000000000001E-3</v>
      </c>
      <c r="Z169" s="228">
        <v>0.67</v>
      </c>
      <c r="AA169" s="228">
        <v>0.3</v>
      </c>
      <c r="AB169" s="228">
        <v>0.37</v>
      </c>
      <c r="AC169" s="229">
        <v>4.0000000000000001E-3</v>
      </c>
      <c r="AD169" s="228">
        <v>0.67</v>
      </c>
      <c r="AE169" s="228">
        <v>0.3</v>
      </c>
      <c r="AF169" s="228">
        <v>0.37</v>
      </c>
      <c r="AG169" s="229">
        <v>4.0000000000000001E-3</v>
      </c>
      <c r="AH169" s="228">
        <v>1.48</v>
      </c>
      <c r="AI169" s="228">
        <v>1.1499999999999999</v>
      </c>
      <c r="AJ169" s="228">
        <v>0.33</v>
      </c>
      <c r="AK169" s="229">
        <v>8.8999999999999999E-3</v>
      </c>
      <c r="AL169" s="228">
        <v>2.48</v>
      </c>
      <c r="AM169" s="228">
        <v>2.12</v>
      </c>
      <c r="AN169" s="228">
        <v>0.36</v>
      </c>
      <c r="AO169" s="229">
        <v>1.49E-2</v>
      </c>
      <c r="AP169" s="228">
        <v>166.88</v>
      </c>
      <c r="AQ169" s="228">
        <v>167.72</v>
      </c>
      <c r="AR169" s="228">
        <v>0</v>
      </c>
      <c r="AS169" s="228">
        <v>63</v>
      </c>
      <c r="AT169" s="228">
        <v>67</v>
      </c>
      <c r="AU169" s="228">
        <v>-4</v>
      </c>
      <c r="AV169" s="229">
        <v>-5.7500000000000002E-2</v>
      </c>
      <c r="AW169" s="228">
        <v>43</v>
      </c>
      <c r="AX169" s="228">
        <v>55</v>
      </c>
      <c r="AY169" s="228">
        <v>-12</v>
      </c>
      <c r="AZ169" s="229">
        <v>-0.22090000000000001</v>
      </c>
      <c r="BA169" s="228">
        <v>19</v>
      </c>
      <c r="BB169" s="228">
        <v>12</v>
      </c>
      <c r="BC169" s="228">
        <v>7</v>
      </c>
      <c r="BD169" s="229">
        <v>0.56789999999999996</v>
      </c>
      <c r="BE169" s="228">
        <v>2</v>
      </c>
      <c r="BF169" s="228">
        <v>0</v>
      </c>
      <c r="BG169" s="228">
        <v>1</v>
      </c>
      <c r="BH169" s="229">
        <v>8.5</v>
      </c>
      <c r="BI169" s="228">
        <v>171</v>
      </c>
      <c r="BJ169" s="228">
        <v>136</v>
      </c>
      <c r="BK169" s="228">
        <v>35</v>
      </c>
      <c r="BL169" s="229">
        <v>0.25380000000000003</v>
      </c>
      <c r="BM169" s="228">
        <v>45</v>
      </c>
      <c r="BN169" s="228">
        <v>54</v>
      </c>
      <c r="BO169" s="228">
        <v>-9</v>
      </c>
      <c r="BP169" s="229">
        <v>-0.16420000000000001</v>
      </c>
      <c r="BQ169" s="228">
        <v>279</v>
      </c>
      <c r="BR169" s="228">
        <v>257</v>
      </c>
      <c r="BS169" s="228">
        <v>22</v>
      </c>
      <c r="BT169" s="229">
        <v>8.48E-2</v>
      </c>
      <c r="BU169" s="230">
        <v>2815670</v>
      </c>
      <c r="BV169" s="230">
        <v>2764784</v>
      </c>
      <c r="BW169" s="230">
        <v>50886</v>
      </c>
      <c r="BX169" s="229">
        <v>1.84E-2</v>
      </c>
      <c r="BY169" s="228">
        <v>474</v>
      </c>
      <c r="BZ169" s="228">
        <v>475</v>
      </c>
      <c r="CA169" s="228">
        <v>-1</v>
      </c>
      <c r="CB169" s="229">
        <v>-2.5999999999999999E-3</v>
      </c>
      <c r="CC169" s="228">
        <v>409</v>
      </c>
      <c r="CD169" s="228">
        <v>415</v>
      </c>
      <c r="CE169" s="228">
        <v>-7</v>
      </c>
      <c r="CF169" s="229">
        <v>-1.6500000000000001E-2</v>
      </c>
      <c r="CG169" s="228">
        <v>60</v>
      </c>
      <c r="CH169" s="228">
        <v>56</v>
      </c>
      <c r="CI169" s="228">
        <v>4</v>
      </c>
      <c r="CJ169" s="229">
        <v>7.4200000000000002E-2</v>
      </c>
      <c r="CK169" s="228">
        <v>5</v>
      </c>
      <c r="CL169" s="228">
        <v>4</v>
      </c>
      <c r="CM169" s="228">
        <v>1</v>
      </c>
      <c r="CN169" s="229">
        <v>0.39079999999999998</v>
      </c>
      <c r="CO169" s="228">
        <v>308</v>
      </c>
      <c r="CP169" s="228">
        <v>302</v>
      </c>
      <c r="CQ169" s="228">
        <v>5</v>
      </c>
      <c r="CR169" s="229">
        <v>1.7899999999999999E-2</v>
      </c>
      <c r="CS169" s="228">
        <v>131</v>
      </c>
      <c r="CT169" s="228">
        <v>129</v>
      </c>
      <c r="CU169" s="228">
        <v>1</v>
      </c>
      <c r="CV169" s="229">
        <v>1.0200000000000001E-2</v>
      </c>
      <c r="CW169" s="228">
        <v>912</v>
      </c>
      <c r="CX169" s="228">
        <v>906</v>
      </c>
      <c r="CY169" s="228">
        <v>6</v>
      </c>
      <c r="CZ169" s="229">
        <v>6.1000000000000004E-3</v>
      </c>
      <c r="DA169" s="228">
        <v>27.59</v>
      </c>
      <c r="DB169" s="228">
        <v>30.07</v>
      </c>
      <c r="DC169" s="228">
        <v>-2.48</v>
      </c>
      <c r="DD169" s="228">
        <v>-2.48</v>
      </c>
      <c r="DE169" s="228">
        <v>43.63</v>
      </c>
      <c r="DF169" s="228">
        <v>43.73</v>
      </c>
      <c r="DG169" s="228">
        <v>-16.04</v>
      </c>
      <c r="DH169" s="228">
        <v>-0.1</v>
      </c>
      <c r="DI169" s="228">
        <v>28.25</v>
      </c>
      <c r="DJ169" s="228">
        <v>31.07</v>
      </c>
      <c r="DK169" s="228">
        <v>-2.82</v>
      </c>
      <c r="DL169" s="228">
        <v>-2.82</v>
      </c>
      <c r="DM169" s="228">
        <v>25.11</v>
      </c>
      <c r="DN169" s="228">
        <v>27.55</v>
      </c>
      <c r="DO169" s="228">
        <v>-2.44</v>
      </c>
      <c r="DP169" s="228">
        <v>-2.44</v>
      </c>
      <c r="DQ169" s="228">
        <v>0.42</v>
      </c>
      <c r="DR169" s="228">
        <v>0.43</v>
      </c>
      <c r="DS169" s="228">
        <v>-0.01</v>
      </c>
      <c r="DT169" s="229">
        <v>-2.3300000000000001E-2</v>
      </c>
      <c r="DU169" s="228">
        <v>200</v>
      </c>
      <c r="DV169" s="228">
        <v>160</v>
      </c>
      <c r="DW169" s="228">
        <v>0.27</v>
      </c>
      <c r="DX169" s="228">
        <v>0.4</v>
      </c>
      <c r="DY169" s="228">
        <v>-0.13</v>
      </c>
      <c r="DZ169" s="229">
        <v>-0.32500000000000001</v>
      </c>
      <c r="EA169" s="229">
        <v>0.13730000000000001</v>
      </c>
      <c r="EB169" s="230">
        <v>3551625</v>
      </c>
      <c r="EC169" s="229">
        <v>4.7999999999999996E-3</v>
      </c>
      <c r="ED169" s="229">
        <v>0.13730000000000001</v>
      </c>
      <c r="EE169" s="228">
        <v>0.84</v>
      </c>
      <c r="EF169" s="229">
        <v>5.0000000000000001E-3</v>
      </c>
      <c r="EG169" s="230">
        <v>1289586</v>
      </c>
      <c r="EH169" s="230">
        <v>1249324</v>
      </c>
      <c r="EI169" s="229">
        <v>3.2199999999999999E-2</v>
      </c>
      <c r="EJ169" s="229">
        <v>0.45800000000000002</v>
      </c>
      <c r="EK169" s="228">
        <v>182.66</v>
      </c>
      <c r="EL169" s="228">
        <v>45.74</v>
      </c>
      <c r="EM169" s="228">
        <v>64.010000000000005</v>
      </c>
      <c r="EN169" s="228">
        <v>23.73</v>
      </c>
      <c r="EO169" s="228">
        <v>292.39999999999998</v>
      </c>
      <c r="EP169" s="228">
        <v>271.62</v>
      </c>
      <c r="EQ169" s="228">
        <v>20.79</v>
      </c>
      <c r="ER169" s="229">
        <v>7.6499999999999999E-2</v>
      </c>
      <c r="ES169" s="228">
        <v>346.9</v>
      </c>
      <c r="ET169" s="228">
        <v>137.49</v>
      </c>
      <c r="EU169" s="228">
        <v>473.91</v>
      </c>
      <c r="EV169" s="231">
        <v>120138597</v>
      </c>
      <c r="EW169" s="228">
        <v>958.31</v>
      </c>
      <c r="EX169" s="228">
        <v>957.4</v>
      </c>
      <c r="EY169" s="228">
        <v>0.91</v>
      </c>
      <c r="EZ169" s="229">
        <v>1E-3</v>
      </c>
      <c r="FA169" s="229">
        <v>0.45390000000000003</v>
      </c>
      <c r="FB169" s="227" t="s">
        <v>568</v>
      </c>
      <c r="FC169">
        <f t="shared" si="3"/>
        <v>0</v>
      </c>
    </row>
    <row r="170" spans="1:159" ht="17.25" thickBot="1" x14ac:dyDescent="0.3">
      <c r="A170" s="226">
        <v>46009</v>
      </c>
      <c r="B170" s="227" t="s">
        <v>206</v>
      </c>
      <c r="C170" s="227" t="s">
        <v>605</v>
      </c>
      <c r="D170" s="228">
        <v>450</v>
      </c>
      <c r="E170" s="228">
        <v>12</v>
      </c>
      <c r="F170" s="231">
        <v>1605.1</v>
      </c>
      <c r="G170" s="231">
        <v>1613.2</v>
      </c>
      <c r="H170" s="228">
        <v>-8.1</v>
      </c>
      <c r="I170" s="229">
        <v>-5.0000000000000001E-3</v>
      </c>
      <c r="J170" s="231">
        <v>1600.2</v>
      </c>
      <c r="K170" s="231">
        <v>1607.4</v>
      </c>
      <c r="L170" s="228">
        <v>-7.2</v>
      </c>
      <c r="M170" s="229">
        <v>-4.4999999999999997E-3</v>
      </c>
      <c r="N170" s="231">
        <v>1605.1</v>
      </c>
      <c r="O170" s="231">
        <v>1613.2</v>
      </c>
      <c r="P170" s="228">
        <v>-8.1</v>
      </c>
      <c r="Q170" s="229">
        <v>-5.0000000000000001E-3</v>
      </c>
      <c r="R170" s="231">
        <v>1614.9</v>
      </c>
      <c r="S170" s="231">
        <v>1621.3</v>
      </c>
      <c r="T170" s="228">
        <v>-6.4</v>
      </c>
      <c r="U170" s="229">
        <v>-3.8999999999999998E-3</v>
      </c>
      <c r="V170" s="231">
        <v>1629.1</v>
      </c>
      <c r="W170" s="231">
        <v>1632.5</v>
      </c>
      <c r="X170" s="228">
        <v>-3.4</v>
      </c>
      <c r="Y170" s="229">
        <v>-2.0999999999999999E-3</v>
      </c>
      <c r="Z170" s="228">
        <v>4.9000000000000004</v>
      </c>
      <c r="AA170" s="228">
        <v>5.8</v>
      </c>
      <c r="AB170" s="228">
        <v>-0.9</v>
      </c>
      <c r="AC170" s="229">
        <v>3.0999999999999999E-3</v>
      </c>
      <c r="AD170" s="228">
        <v>4.9000000000000004</v>
      </c>
      <c r="AE170" s="228">
        <v>5.8</v>
      </c>
      <c r="AF170" s="228">
        <v>-0.9</v>
      </c>
      <c r="AG170" s="229">
        <v>3.0999999999999999E-3</v>
      </c>
      <c r="AH170" s="228">
        <v>14.7</v>
      </c>
      <c r="AI170" s="228">
        <v>13.9</v>
      </c>
      <c r="AJ170" s="228">
        <v>0.8</v>
      </c>
      <c r="AK170" s="229">
        <v>9.1999999999999998E-3</v>
      </c>
      <c r="AL170" s="228">
        <v>28.9</v>
      </c>
      <c r="AM170" s="228">
        <v>25.1</v>
      </c>
      <c r="AN170" s="228">
        <v>3.8</v>
      </c>
      <c r="AO170" s="229">
        <v>1.8100000000000002E-2</v>
      </c>
      <c r="AP170" s="231">
        <v>1604.39</v>
      </c>
      <c r="AQ170" s="231">
        <v>1611.72</v>
      </c>
      <c r="AR170" s="228">
        <v>0</v>
      </c>
      <c r="AS170" s="228">
        <v>104</v>
      </c>
      <c r="AT170" s="228">
        <v>61</v>
      </c>
      <c r="AU170" s="228">
        <v>43</v>
      </c>
      <c r="AV170" s="229">
        <v>0.6966</v>
      </c>
      <c r="AW170" s="228">
        <v>79</v>
      </c>
      <c r="AX170" s="228">
        <v>50</v>
      </c>
      <c r="AY170" s="228">
        <v>29</v>
      </c>
      <c r="AZ170" s="229">
        <v>0.57469999999999999</v>
      </c>
      <c r="BA170" s="228">
        <v>24</v>
      </c>
      <c r="BB170" s="228">
        <v>11</v>
      </c>
      <c r="BC170" s="228">
        <v>14</v>
      </c>
      <c r="BD170" s="229">
        <v>1.3082</v>
      </c>
      <c r="BE170" s="228">
        <v>0</v>
      </c>
      <c r="BF170" s="228">
        <v>0</v>
      </c>
      <c r="BG170" s="228">
        <v>0</v>
      </c>
      <c r="BH170" s="229">
        <v>-0.2</v>
      </c>
      <c r="BI170" s="228">
        <v>222</v>
      </c>
      <c r="BJ170" s="228">
        <v>147</v>
      </c>
      <c r="BK170" s="228">
        <v>74</v>
      </c>
      <c r="BL170" s="229">
        <v>0.50470000000000004</v>
      </c>
      <c r="BM170" s="228">
        <v>91</v>
      </c>
      <c r="BN170" s="228">
        <v>75</v>
      </c>
      <c r="BO170" s="228">
        <v>16</v>
      </c>
      <c r="BP170" s="229">
        <v>0.2152</v>
      </c>
      <c r="BQ170" s="228">
        <v>417</v>
      </c>
      <c r="BR170" s="228">
        <v>284</v>
      </c>
      <c r="BS170" s="228">
        <v>133</v>
      </c>
      <c r="BT170" s="229">
        <v>0.46929999999999999</v>
      </c>
      <c r="BU170" s="230">
        <v>430489</v>
      </c>
      <c r="BV170" s="230">
        <v>449283</v>
      </c>
      <c r="BW170" s="230">
        <v>-18794</v>
      </c>
      <c r="BX170" s="229">
        <v>-4.1799999999999997E-2</v>
      </c>
      <c r="BY170" s="228">
        <v>669</v>
      </c>
      <c r="BZ170" s="228">
        <v>660</v>
      </c>
      <c r="CA170" s="228">
        <v>9</v>
      </c>
      <c r="CB170" s="229">
        <v>1.3599999999999999E-2</v>
      </c>
      <c r="CC170" s="228">
        <v>637</v>
      </c>
      <c r="CD170" s="228">
        <v>644</v>
      </c>
      <c r="CE170" s="228">
        <v>-7</v>
      </c>
      <c r="CF170" s="229">
        <v>-1.0500000000000001E-2</v>
      </c>
      <c r="CG170" s="228">
        <v>30</v>
      </c>
      <c r="CH170" s="228">
        <v>14</v>
      </c>
      <c r="CI170" s="228">
        <v>16</v>
      </c>
      <c r="CJ170" s="229">
        <v>1.1173</v>
      </c>
      <c r="CK170" s="228">
        <v>2</v>
      </c>
      <c r="CL170" s="228">
        <v>2</v>
      </c>
      <c r="CM170" s="228">
        <v>0</v>
      </c>
      <c r="CN170" s="229">
        <v>-0.04</v>
      </c>
      <c r="CO170" s="228">
        <v>324</v>
      </c>
      <c r="CP170" s="228">
        <v>327</v>
      </c>
      <c r="CQ170" s="228">
        <v>-3</v>
      </c>
      <c r="CR170" s="229">
        <v>-8.0000000000000002E-3</v>
      </c>
      <c r="CS170" s="228">
        <v>209</v>
      </c>
      <c r="CT170" s="228">
        <v>211</v>
      </c>
      <c r="CU170" s="228">
        <v>-2</v>
      </c>
      <c r="CV170" s="229">
        <v>-8.2000000000000007E-3</v>
      </c>
      <c r="CW170" s="230">
        <v>1202</v>
      </c>
      <c r="CX170" s="230">
        <v>1198</v>
      </c>
      <c r="CY170" s="228">
        <v>5</v>
      </c>
      <c r="CZ170" s="229">
        <v>3.8999999999999998E-3</v>
      </c>
      <c r="DA170" s="228">
        <v>27.29</v>
      </c>
      <c r="DB170" s="228">
        <v>28.83</v>
      </c>
      <c r="DC170" s="228">
        <v>-1.54</v>
      </c>
      <c r="DD170" s="228">
        <v>-1.54</v>
      </c>
      <c r="DE170" s="228">
        <v>44.69</v>
      </c>
      <c r="DF170" s="228">
        <v>44.8</v>
      </c>
      <c r="DG170" s="228">
        <v>-17.399999999999999</v>
      </c>
      <c r="DH170" s="228">
        <v>-0.11</v>
      </c>
      <c r="DI170" s="228">
        <v>27.82</v>
      </c>
      <c r="DJ170" s="228">
        <v>29.43</v>
      </c>
      <c r="DK170" s="228">
        <v>-1.61</v>
      </c>
      <c r="DL170" s="228">
        <v>-1.61</v>
      </c>
      <c r="DM170" s="228">
        <v>26.02</v>
      </c>
      <c r="DN170" s="228">
        <v>27.66</v>
      </c>
      <c r="DO170" s="228">
        <v>-1.64</v>
      </c>
      <c r="DP170" s="228">
        <v>-1.64</v>
      </c>
      <c r="DQ170" s="228">
        <v>0.65</v>
      </c>
      <c r="DR170" s="228">
        <v>0.65</v>
      </c>
      <c r="DS170" s="228">
        <v>0</v>
      </c>
      <c r="DT170" s="229">
        <v>0</v>
      </c>
      <c r="DU170" s="231">
        <v>1700</v>
      </c>
      <c r="DV170" s="231">
        <v>1540</v>
      </c>
      <c r="DW170" s="228">
        <v>0.41</v>
      </c>
      <c r="DX170" s="228">
        <v>0.51</v>
      </c>
      <c r="DY170" s="228">
        <v>-0.1</v>
      </c>
      <c r="DZ170" s="229">
        <v>-0.1961</v>
      </c>
      <c r="EA170" s="229">
        <v>4.7399999999999998E-2</v>
      </c>
      <c r="EB170" s="230">
        <v>99450</v>
      </c>
      <c r="EC170" s="229">
        <v>6.1000000000000004E-3</v>
      </c>
      <c r="ED170" s="229">
        <v>4.7399999999999998E-2</v>
      </c>
      <c r="EE170" s="228">
        <v>7.33</v>
      </c>
      <c r="EF170" s="229">
        <v>4.5999999999999999E-3</v>
      </c>
      <c r="EG170" s="230">
        <v>311480</v>
      </c>
      <c r="EH170" s="230">
        <v>297662</v>
      </c>
      <c r="EI170" s="229">
        <v>4.6399999999999997E-2</v>
      </c>
      <c r="EJ170" s="229">
        <v>0.72350000000000003</v>
      </c>
      <c r="EK170" s="228">
        <v>234.06</v>
      </c>
      <c r="EL170" s="228">
        <v>91.45</v>
      </c>
      <c r="EM170" s="228">
        <v>103.86</v>
      </c>
      <c r="EN170" s="228">
        <v>15.19</v>
      </c>
      <c r="EO170" s="228">
        <v>429.37</v>
      </c>
      <c r="EP170" s="228">
        <v>293.98</v>
      </c>
      <c r="EQ170" s="228">
        <v>135.4</v>
      </c>
      <c r="ER170" s="229">
        <v>0.46060000000000001</v>
      </c>
      <c r="ES170" s="228">
        <v>348.66</v>
      </c>
      <c r="ET170" s="228">
        <v>206.7</v>
      </c>
      <c r="EU170" s="228">
        <v>668.91</v>
      </c>
      <c r="EV170" s="231">
        <v>25234534</v>
      </c>
      <c r="EW170" s="231">
        <v>1224.27</v>
      </c>
      <c r="EX170" s="231">
        <v>1224.2</v>
      </c>
      <c r="EY170" s="228">
        <v>7.0000000000000007E-2</v>
      </c>
      <c r="EZ170" s="229">
        <v>1E-4</v>
      </c>
      <c r="FA170" s="229">
        <v>0.29680000000000001</v>
      </c>
      <c r="FB170" s="227" t="s">
        <v>567</v>
      </c>
      <c r="FC170">
        <f t="shared" si="3"/>
        <v>0</v>
      </c>
    </row>
    <row r="171" spans="1:159" ht="17.25" thickBot="1" x14ac:dyDescent="0.3">
      <c r="A171" s="226">
        <v>46009</v>
      </c>
      <c r="B171" s="227" t="s">
        <v>172</v>
      </c>
      <c r="C171" s="227" t="s">
        <v>279</v>
      </c>
      <c r="D171" s="228">
        <v>3175</v>
      </c>
      <c r="E171" s="228">
        <v>12</v>
      </c>
      <c r="F171" s="228">
        <v>299.05</v>
      </c>
      <c r="G171" s="228">
        <v>298</v>
      </c>
      <c r="H171" s="228">
        <v>1.05</v>
      </c>
      <c r="I171" s="229">
        <v>3.5000000000000001E-3</v>
      </c>
      <c r="J171" s="228">
        <v>298.75</v>
      </c>
      <c r="K171" s="228">
        <v>296.95</v>
      </c>
      <c r="L171" s="228">
        <v>1.8</v>
      </c>
      <c r="M171" s="229">
        <v>6.1000000000000004E-3</v>
      </c>
      <c r="N171" s="228">
        <v>299.05</v>
      </c>
      <c r="O171" s="228">
        <v>298</v>
      </c>
      <c r="P171" s="228">
        <v>1.05</v>
      </c>
      <c r="Q171" s="229">
        <v>3.5000000000000001E-3</v>
      </c>
      <c r="R171" s="228">
        <v>300.7</v>
      </c>
      <c r="S171" s="228">
        <v>299.89999999999998</v>
      </c>
      <c r="T171" s="228">
        <v>0.8</v>
      </c>
      <c r="U171" s="229">
        <v>2.7000000000000001E-3</v>
      </c>
      <c r="V171" s="228">
        <v>302.10000000000002</v>
      </c>
      <c r="W171" s="228">
        <v>301.7</v>
      </c>
      <c r="X171" s="228">
        <v>0.4</v>
      </c>
      <c r="Y171" s="229">
        <v>1.2999999999999999E-3</v>
      </c>
      <c r="Z171" s="228">
        <v>0.3</v>
      </c>
      <c r="AA171" s="228">
        <v>1.05</v>
      </c>
      <c r="AB171" s="228">
        <v>-0.75</v>
      </c>
      <c r="AC171" s="229">
        <v>1E-3</v>
      </c>
      <c r="AD171" s="228">
        <v>0.3</v>
      </c>
      <c r="AE171" s="228">
        <v>1.05</v>
      </c>
      <c r="AF171" s="228">
        <v>-0.75</v>
      </c>
      <c r="AG171" s="229">
        <v>1E-3</v>
      </c>
      <c r="AH171" s="228">
        <v>1.95</v>
      </c>
      <c r="AI171" s="228">
        <v>2.95</v>
      </c>
      <c r="AJ171" s="228">
        <v>-1</v>
      </c>
      <c r="AK171" s="229">
        <v>6.4999999999999997E-3</v>
      </c>
      <c r="AL171" s="228">
        <v>3.35</v>
      </c>
      <c r="AM171" s="228">
        <v>4.75</v>
      </c>
      <c r="AN171" s="228">
        <v>-1.4</v>
      </c>
      <c r="AO171" s="229">
        <v>1.12E-2</v>
      </c>
      <c r="AP171" s="228">
        <v>299.18</v>
      </c>
      <c r="AQ171" s="228">
        <v>300.39999999999998</v>
      </c>
      <c r="AR171" s="228">
        <v>0</v>
      </c>
      <c r="AS171" s="228">
        <v>245</v>
      </c>
      <c r="AT171" s="228">
        <v>474</v>
      </c>
      <c r="AU171" s="228">
        <v>-228</v>
      </c>
      <c r="AV171" s="229">
        <v>-0.48220000000000002</v>
      </c>
      <c r="AW171" s="228">
        <v>212</v>
      </c>
      <c r="AX171" s="228">
        <v>419</v>
      </c>
      <c r="AY171" s="228">
        <v>-206</v>
      </c>
      <c r="AZ171" s="229">
        <v>-0.49259999999999998</v>
      </c>
      <c r="BA171" s="228">
        <v>32</v>
      </c>
      <c r="BB171" s="228">
        <v>54</v>
      </c>
      <c r="BC171" s="228">
        <v>-22</v>
      </c>
      <c r="BD171" s="229">
        <v>-0.40039999999999998</v>
      </c>
      <c r="BE171" s="228">
        <v>1</v>
      </c>
      <c r="BF171" s="228">
        <v>1</v>
      </c>
      <c r="BG171" s="228">
        <v>-1</v>
      </c>
      <c r="BH171" s="229">
        <v>-0.5</v>
      </c>
      <c r="BI171" s="228">
        <v>291</v>
      </c>
      <c r="BJ171" s="228">
        <v>451</v>
      </c>
      <c r="BK171" s="228">
        <v>-160</v>
      </c>
      <c r="BL171" s="229">
        <v>-0.35399999999999998</v>
      </c>
      <c r="BM171" s="228">
        <v>142</v>
      </c>
      <c r="BN171" s="228">
        <v>437</v>
      </c>
      <c r="BO171" s="228">
        <v>-294</v>
      </c>
      <c r="BP171" s="229">
        <v>-0.67410000000000003</v>
      </c>
      <c r="BQ171" s="228">
        <v>679</v>
      </c>
      <c r="BR171" s="230">
        <v>1361</v>
      </c>
      <c r="BS171" s="228">
        <v>-682</v>
      </c>
      <c r="BT171" s="229">
        <v>-0.50129999999999997</v>
      </c>
      <c r="BU171" s="230">
        <v>2943475</v>
      </c>
      <c r="BV171" s="230">
        <v>5630116</v>
      </c>
      <c r="BW171" s="230">
        <v>-2686641</v>
      </c>
      <c r="BX171" s="229">
        <v>-0.47720000000000001</v>
      </c>
      <c r="BY171" s="230">
        <v>2320</v>
      </c>
      <c r="BZ171" s="230">
        <v>2317</v>
      </c>
      <c r="CA171" s="228">
        <v>3</v>
      </c>
      <c r="CB171" s="229">
        <v>1.4E-3</v>
      </c>
      <c r="CC171" s="230">
        <v>2226</v>
      </c>
      <c r="CD171" s="230">
        <v>2231</v>
      </c>
      <c r="CE171" s="228">
        <v>-5</v>
      </c>
      <c r="CF171" s="229">
        <v>-2.2000000000000001E-3</v>
      </c>
      <c r="CG171" s="228">
        <v>90</v>
      </c>
      <c r="CH171" s="228">
        <v>82</v>
      </c>
      <c r="CI171" s="228">
        <v>8</v>
      </c>
      <c r="CJ171" s="229">
        <v>0.1</v>
      </c>
      <c r="CK171" s="228">
        <v>4</v>
      </c>
      <c r="CL171" s="228">
        <v>4</v>
      </c>
      <c r="CM171" s="228">
        <v>0</v>
      </c>
      <c r="CN171" s="229">
        <v>-2.3800000000000002E-2</v>
      </c>
      <c r="CO171" s="228">
        <v>803</v>
      </c>
      <c r="CP171" s="228">
        <v>820</v>
      </c>
      <c r="CQ171" s="228">
        <v>-17</v>
      </c>
      <c r="CR171" s="229">
        <v>-2.0299999999999999E-2</v>
      </c>
      <c r="CS171" s="228">
        <v>517</v>
      </c>
      <c r="CT171" s="228">
        <v>515</v>
      </c>
      <c r="CU171" s="228">
        <v>2</v>
      </c>
      <c r="CV171" s="229">
        <v>4.7999999999999996E-3</v>
      </c>
      <c r="CW171" s="230">
        <v>3640</v>
      </c>
      <c r="CX171" s="230">
        <v>3651</v>
      </c>
      <c r="CY171" s="228">
        <v>-11</v>
      </c>
      <c r="CZ171" s="229">
        <v>-3.0000000000000001E-3</v>
      </c>
      <c r="DA171" s="228">
        <v>27.4</v>
      </c>
      <c r="DB171" s="228">
        <v>28.68</v>
      </c>
      <c r="DC171" s="228">
        <v>-1.28</v>
      </c>
      <c r="DD171" s="228">
        <v>-1.28</v>
      </c>
      <c r="DE171" s="228">
        <v>44.64</v>
      </c>
      <c r="DF171" s="228">
        <v>44.74</v>
      </c>
      <c r="DG171" s="228">
        <v>-17.239999999999998</v>
      </c>
      <c r="DH171" s="228">
        <v>-0.1</v>
      </c>
      <c r="DI171" s="228">
        <v>27.93</v>
      </c>
      <c r="DJ171" s="228">
        <v>29.5</v>
      </c>
      <c r="DK171" s="228">
        <v>-1.57</v>
      </c>
      <c r="DL171" s="228">
        <v>-1.57</v>
      </c>
      <c r="DM171" s="228">
        <v>26.32</v>
      </c>
      <c r="DN171" s="228">
        <v>27.84</v>
      </c>
      <c r="DO171" s="228">
        <v>-1.52</v>
      </c>
      <c r="DP171" s="228">
        <v>-1.52</v>
      </c>
      <c r="DQ171" s="228">
        <v>0.64</v>
      </c>
      <c r="DR171" s="228">
        <v>0.63</v>
      </c>
      <c r="DS171" s="228">
        <v>0.01</v>
      </c>
      <c r="DT171" s="229">
        <v>1.5900000000000001E-2</v>
      </c>
      <c r="DU171" s="228">
        <v>315</v>
      </c>
      <c r="DV171" s="228">
        <v>300</v>
      </c>
      <c r="DW171" s="228">
        <v>0.49</v>
      </c>
      <c r="DX171" s="228">
        <v>0.97</v>
      </c>
      <c r="DY171" s="228">
        <v>-0.48</v>
      </c>
      <c r="DZ171" s="229">
        <v>-0.49480000000000002</v>
      </c>
      <c r="EA171" s="229">
        <v>4.0399999999999998E-2</v>
      </c>
      <c r="EB171" s="230">
        <v>2863850</v>
      </c>
      <c r="EC171" s="229">
        <v>5.4999999999999997E-3</v>
      </c>
      <c r="ED171" s="229">
        <v>4.0399999999999998E-2</v>
      </c>
      <c r="EE171" s="228">
        <v>1.22</v>
      </c>
      <c r="EF171" s="229">
        <v>4.1000000000000003E-3</v>
      </c>
      <c r="EG171" s="230">
        <v>1032349</v>
      </c>
      <c r="EH171" s="230">
        <v>1642448</v>
      </c>
      <c r="EI171" s="229">
        <v>-0.3715</v>
      </c>
      <c r="EJ171" s="229">
        <v>0.35070000000000001</v>
      </c>
      <c r="EK171" s="228">
        <v>303.04000000000002</v>
      </c>
      <c r="EL171" s="228">
        <v>141.82</v>
      </c>
      <c r="EM171" s="228">
        <v>245.59</v>
      </c>
      <c r="EN171" s="228">
        <v>32.01</v>
      </c>
      <c r="EO171" s="228">
        <v>690.45</v>
      </c>
      <c r="EP171" s="231">
        <v>1379.03</v>
      </c>
      <c r="EQ171" s="228">
        <v>-688.58</v>
      </c>
      <c r="ER171" s="229">
        <v>-0.49930000000000002</v>
      </c>
      <c r="ES171" s="228">
        <v>847.27</v>
      </c>
      <c r="ET171" s="228">
        <v>518.32000000000005</v>
      </c>
      <c r="EU171" s="231">
        <v>2320.69</v>
      </c>
      <c r="EV171" s="231">
        <v>91351468</v>
      </c>
      <c r="EW171" s="231">
        <v>3686.28</v>
      </c>
      <c r="EX171" s="231">
        <v>3691.65</v>
      </c>
      <c r="EY171" s="228">
        <v>-5.37</v>
      </c>
      <c r="EZ171" s="229">
        <v>-1.5E-3</v>
      </c>
      <c r="FA171" s="229">
        <v>1.3325</v>
      </c>
      <c r="FB171" s="227" t="s">
        <v>555</v>
      </c>
      <c r="FC171">
        <f t="shared" si="3"/>
        <v>0</v>
      </c>
    </row>
    <row r="172" spans="1:159" ht="17.25" thickBot="1" x14ac:dyDescent="0.3">
      <c r="A172" s="226">
        <v>46009</v>
      </c>
      <c r="B172" s="227" t="s">
        <v>175</v>
      </c>
      <c r="C172" s="227" t="s">
        <v>280</v>
      </c>
      <c r="D172" s="228">
        <v>1275</v>
      </c>
      <c r="E172" s="228">
        <v>12</v>
      </c>
      <c r="F172" s="228">
        <v>337.8</v>
      </c>
      <c r="G172" s="228">
        <v>334.5</v>
      </c>
      <c r="H172" s="228">
        <v>3.3</v>
      </c>
      <c r="I172" s="229">
        <v>9.9000000000000008E-3</v>
      </c>
      <c r="J172" s="228">
        <v>337</v>
      </c>
      <c r="K172" s="228">
        <v>333.95</v>
      </c>
      <c r="L172" s="228">
        <v>3.05</v>
      </c>
      <c r="M172" s="229">
        <v>9.1000000000000004E-3</v>
      </c>
      <c r="N172" s="228">
        <v>337.8</v>
      </c>
      <c r="O172" s="228">
        <v>334.5</v>
      </c>
      <c r="P172" s="228">
        <v>3.3</v>
      </c>
      <c r="Q172" s="229">
        <v>9.9000000000000008E-3</v>
      </c>
      <c r="R172" s="228">
        <v>339.95</v>
      </c>
      <c r="S172" s="228">
        <v>336.5</v>
      </c>
      <c r="T172" s="228">
        <v>3.45</v>
      </c>
      <c r="U172" s="229">
        <v>1.03E-2</v>
      </c>
      <c r="V172" s="228">
        <v>339.05</v>
      </c>
      <c r="W172" s="228">
        <v>335.9</v>
      </c>
      <c r="X172" s="228">
        <v>3.15</v>
      </c>
      <c r="Y172" s="229">
        <v>9.4000000000000004E-3</v>
      </c>
      <c r="Z172" s="228">
        <v>0.8</v>
      </c>
      <c r="AA172" s="228">
        <v>0.55000000000000004</v>
      </c>
      <c r="AB172" s="228">
        <v>0.25</v>
      </c>
      <c r="AC172" s="229">
        <v>2.3999999999999998E-3</v>
      </c>
      <c r="AD172" s="228">
        <v>0.8</v>
      </c>
      <c r="AE172" s="228">
        <v>0.55000000000000004</v>
      </c>
      <c r="AF172" s="228">
        <v>0.25</v>
      </c>
      <c r="AG172" s="229">
        <v>2.3999999999999998E-3</v>
      </c>
      <c r="AH172" s="228">
        <v>2.95</v>
      </c>
      <c r="AI172" s="228">
        <v>2.5499999999999998</v>
      </c>
      <c r="AJ172" s="228">
        <v>0.4</v>
      </c>
      <c r="AK172" s="229">
        <v>8.8000000000000005E-3</v>
      </c>
      <c r="AL172" s="228">
        <v>2.0499999999999998</v>
      </c>
      <c r="AM172" s="228">
        <v>1.95</v>
      </c>
      <c r="AN172" s="228">
        <v>0.1</v>
      </c>
      <c r="AO172" s="229">
        <v>6.1000000000000004E-3</v>
      </c>
      <c r="AP172" s="228">
        <v>335.85</v>
      </c>
      <c r="AQ172" s="228">
        <v>337.81</v>
      </c>
      <c r="AR172" s="228">
        <v>0</v>
      </c>
      <c r="AS172" s="228">
        <v>266</v>
      </c>
      <c r="AT172" s="228">
        <v>237</v>
      </c>
      <c r="AU172" s="228">
        <v>29</v>
      </c>
      <c r="AV172" s="229">
        <v>0.12139999999999999</v>
      </c>
      <c r="AW172" s="228">
        <v>192</v>
      </c>
      <c r="AX172" s="228">
        <v>173</v>
      </c>
      <c r="AY172" s="228">
        <v>19</v>
      </c>
      <c r="AZ172" s="229">
        <v>0.1091</v>
      </c>
      <c r="BA172" s="228">
        <v>64</v>
      </c>
      <c r="BB172" s="228">
        <v>50</v>
      </c>
      <c r="BC172" s="228">
        <v>15</v>
      </c>
      <c r="BD172" s="229">
        <v>0.29370000000000002</v>
      </c>
      <c r="BE172" s="228">
        <v>10</v>
      </c>
      <c r="BF172" s="228">
        <v>15</v>
      </c>
      <c r="BG172" s="228">
        <v>-5</v>
      </c>
      <c r="BH172" s="229">
        <v>-0.32050000000000001</v>
      </c>
      <c r="BI172" s="230">
        <v>1073</v>
      </c>
      <c r="BJ172" s="230">
        <v>1055</v>
      </c>
      <c r="BK172" s="228">
        <v>18</v>
      </c>
      <c r="BL172" s="229">
        <v>1.7100000000000001E-2</v>
      </c>
      <c r="BM172" s="228">
        <v>448</v>
      </c>
      <c r="BN172" s="228">
        <v>478</v>
      </c>
      <c r="BO172" s="228">
        <v>-30</v>
      </c>
      <c r="BP172" s="229">
        <v>-6.2199999999999998E-2</v>
      </c>
      <c r="BQ172" s="230">
        <v>1787</v>
      </c>
      <c r="BR172" s="230">
        <v>1770</v>
      </c>
      <c r="BS172" s="228">
        <v>17</v>
      </c>
      <c r="BT172" s="229">
        <v>9.7000000000000003E-3</v>
      </c>
      <c r="BU172" s="230">
        <v>7130988</v>
      </c>
      <c r="BV172" s="230">
        <v>4706395</v>
      </c>
      <c r="BW172" s="230">
        <v>2424593</v>
      </c>
      <c r="BX172" s="229">
        <v>0.51519999999999999</v>
      </c>
      <c r="BY172" s="230">
        <v>3466</v>
      </c>
      <c r="BZ172" s="230">
        <v>3479</v>
      </c>
      <c r="CA172" s="228">
        <v>-13</v>
      </c>
      <c r="CB172" s="229">
        <v>-3.7000000000000002E-3</v>
      </c>
      <c r="CC172" s="230">
        <v>3067</v>
      </c>
      <c r="CD172" s="230">
        <v>3105</v>
      </c>
      <c r="CE172" s="228">
        <v>-39</v>
      </c>
      <c r="CF172" s="229">
        <v>-1.2500000000000001E-2</v>
      </c>
      <c r="CG172" s="228">
        <v>333</v>
      </c>
      <c r="CH172" s="228">
        <v>310</v>
      </c>
      <c r="CI172" s="228">
        <v>23</v>
      </c>
      <c r="CJ172" s="229">
        <v>7.5200000000000003E-2</v>
      </c>
      <c r="CK172" s="228">
        <v>66</v>
      </c>
      <c r="CL172" s="228">
        <v>64</v>
      </c>
      <c r="CM172" s="228">
        <v>3</v>
      </c>
      <c r="CN172" s="229">
        <v>4.24E-2</v>
      </c>
      <c r="CO172" s="230">
        <v>1674</v>
      </c>
      <c r="CP172" s="230">
        <v>1722</v>
      </c>
      <c r="CQ172" s="228">
        <v>-48</v>
      </c>
      <c r="CR172" s="229">
        <v>-2.7799999999999998E-2</v>
      </c>
      <c r="CS172" s="230">
        <v>1051</v>
      </c>
      <c r="CT172" s="230">
        <v>1050</v>
      </c>
      <c r="CU172" s="228">
        <v>1</v>
      </c>
      <c r="CV172" s="229">
        <v>6.9999999999999999E-4</v>
      </c>
      <c r="CW172" s="230">
        <v>6190</v>
      </c>
      <c r="CX172" s="230">
        <v>6250</v>
      </c>
      <c r="CY172" s="228">
        <v>-60</v>
      </c>
      <c r="CZ172" s="229">
        <v>-9.5999999999999992E-3</v>
      </c>
      <c r="DA172" s="228">
        <v>21.19</v>
      </c>
      <c r="DB172" s="228">
        <v>22.9</v>
      </c>
      <c r="DC172" s="228">
        <v>-1.71</v>
      </c>
      <c r="DD172" s="228">
        <v>-1.71</v>
      </c>
      <c r="DE172" s="228">
        <v>42</v>
      </c>
      <c r="DF172" s="228">
        <v>42.08</v>
      </c>
      <c r="DG172" s="228">
        <v>-20.81</v>
      </c>
      <c r="DH172" s="228">
        <v>-0.08</v>
      </c>
      <c r="DI172" s="228">
        <v>21.05</v>
      </c>
      <c r="DJ172" s="228">
        <v>23.32</v>
      </c>
      <c r="DK172" s="228">
        <v>-2.27</v>
      </c>
      <c r="DL172" s="228">
        <v>-2.27</v>
      </c>
      <c r="DM172" s="228">
        <v>21.51</v>
      </c>
      <c r="DN172" s="228">
        <v>21.95</v>
      </c>
      <c r="DO172" s="228">
        <v>-0.44</v>
      </c>
      <c r="DP172" s="228">
        <v>-0.44</v>
      </c>
      <c r="DQ172" s="228">
        <v>0.63</v>
      </c>
      <c r="DR172" s="228">
        <v>0.61</v>
      </c>
      <c r="DS172" s="228">
        <v>0.02</v>
      </c>
      <c r="DT172" s="229">
        <v>3.2800000000000003E-2</v>
      </c>
      <c r="DU172" s="228">
        <v>360</v>
      </c>
      <c r="DV172" s="228">
        <v>360</v>
      </c>
      <c r="DW172" s="228">
        <v>0.42</v>
      </c>
      <c r="DX172" s="228">
        <v>0.45</v>
      </c>
      <c r="DY172" s="228">
        <v>-0.03</v>
      </c>
      <c r="DZ172" s="229">
        <v>-6.6699999999999995E-2</v>
      </c>
      <c r="EA172" s="229">
        <v>0.11509999999999999</v>
      </c>
      <c r="EB172" s="230">
        <v>11044600</v>
      </c>
      <c r="EC172" s="229">
        <v>6.4000000000000003E-3</v>
      </c>
      <c r="ED172" s="229">
        <v>0.11509999999999999</v>
      </c>
      <c r="EE172" s="228">
        <v>1.96</v>
      </c>
      <c r="EF172" s="229">
        <v>5.7999999999999996E-3</v>
      </c>
      <c r="EG172" s="230">
        <v>3646506</v>
      </c>
      <c r="EH172" s="230">
        <v>2456635</v>
      </c>
      <c r="EI172" s="229">
        <v>0.48430000000000001</v>
      </c>
      <c r="EJ172" s="229">
        <v>0.51139999999999997</v>
      </c>
      <c r="EK172" s="231">
        <v>1118.3499999999999</v>
      </c>
      <c r="EL172" s="228">
        <v>450.67</v>
      </c>
      <c r="EM172" s="228">
        <v>271.89</v>
      </c>
      <c r="EN172" s="228">
        <v>62.74</v>
      </c>
      <c r="EO172" s="231">
        <v>1840.91</v>
      </c>
      <c r="EP172" s="231">
        <v>1841.39</v>
      </c>
      <c r="EQ172" s="228">
        <v>-0.47</v>
      </c>
      <c r="ER172" s="229">
        <v>-2.9999999999999997E-4</v>
      </c>
      <c r="ES172" s="231">
        <v>1819.65</v>
      </c>
      <c r="ET172" s="231">
        <v>1098.26</v>
      </c>
      <c r="EU172" s="231">
        <v>3467.92</v>
      </c>
      <c r="EV172" s="231">
        <v>187084550</v>
      </c>
      <c r="EW172" s="231">
        <v>6385.83</v>
      </c>
      <c r="EX172" s="231">
        <v>6414.93</v>
      </c>
      <c r="EY172" s="228">
        <v>-29.1</v>
      </c>
      <c r="EZ172" s="229">
        <v>-4.4999999999999997E-3</v>
      </c>
      <c r="FA172" s="229">
        <v>0.97950000000000004</v>
      </c>
      <c r="FB172" s="227" t="s">
        <v>556</v>
      </c>
      <c r="FC172">
        <f t="shared" si="3"/>
        <v>0</v>
      </c>
    </row>
    <row r="173" spans="1:159" ht="17.25" thickBot="1" x14ac:dyDescent="0.3">
      <c r="A173" s="226">
        <v>46009</v>
      </c>
      <c r="B173" s="227" t="s">
        <v>193</v>
      </c>
      <c r="C173" s="227" t="s">
        <v>281</v>
      </c>
      <c r="D173" s="228">
        <v>500</v>
      </c>
      <c r="E173" s="228">
        <v>12</v>
      </c>
      <c r="F173" s="231">
        <v>1548.1</v>
      </c>
      <c r="G173" s="231">
        <v>1548.8</v>
      </c>
      <c r="H173" s="228">
        <v>-0.7</v>
      </c>
      <c r="I173" s="229">
        <v>-5.0000000000000001E-4</v>
      </c>
      <c r="J173" s="231">
        <v>1544.4</v>
      </c>
      <c r="K173" s="231">
        <v>1544.4</v>
      </c>
      <c r="L173" s="228">
        <v>0</v>
      </c>
      <c r="M173" s="229">
        <v>0</v>
      </c>
      <c r="N173" s="231">
        <v>1548.1</v>
      </c>
      <c r="O173" s="231">
        <v>1548.8</v>
      </c>
      <c r="P173" s="228">
        <v>-0.7</v>
      </c>
      <c r="Q173" s="229">
        <v>-5.0000000000000001E-4</v>
      </c>
      <c r="R173" s="231">
        <v>1558.2</v>
      </c>
      <c r="S173" s="231">
        <v>1558.5</v>
      </c>
      <c r="T173" s="228">
        <v>-0.3</v>
      </c>
      <c r="U173" s="229">
        <v>-2.0000000000000001E-4</v>
      </c>
      <c r="V173" s="231">
        <v>1567.6</v>
      </c>
      <c r="W173" s="231">
        <v>1566.4</v>
      </c>
      <c r="X173" s="228">
        <v>1.2</v>
      </c>
      <c r="Y173" s="229">
        <v>8.0000000000000004E-4</v>
      </c>
      <c r="Z173" s="228">
        <v>3.7</v>
      </c>
      <c r="AA173" s="228">
        <v>4.4000000000000004</v>
      </c>
      <c r="AB173" s="228">
        <v>-0.7</v>
      </c>
      <c r="AC173" s="229">
        <v>2.3999999999999998E-3</v>
      </c>
      <c r="AD173" s="228">
        <v>3.7</v>
      </c>
      <c r="AE173" s="228">
        <v>4.4000000000000004</v>
      </c>
      <c r="AF173" s="228">
        <v>-0.7</v>
      </c>
      <c r="AG173" s="229">
        <v>2.3999999999999998E-3</v>
      </c>
      <c r="AH173" s="228">
        <v>13.8</v>
      </c>
      <c r="AI173" s="228">
        <v>14.1</v>
      </c>
      <c r="AJ173" s="228">
        <v>-0.3</v>
      </c>
      <c r="AK173" s="229">
        <v>8.8999999999999999E-3</v>
      </c>
      <c r="AL173" s="228">
        <v>23.2</v>
      </c>
      <c r="AM173" s="228">
        <v>22</v>
      </c>
      <c r="AN173" s="228">
        <v>1.2</v>
      </c>
      <c r="AO173" s="229">
        <v>1.4999999999999999E-2</v>
      </c>
      <c r="AP173" s="231">
        <v>1548.65</v>
      </c>
      <c r="AQ173" s="231">
        <v>1558.71</v>
      </c>
      <c r="AR173" s="228">
        <v>0</v>
      </c>
      <c r="AS173" s="230">
        <v>2313</v>
      </c>
      <c r="AT173" s="230">
        <v>1171</v>
      </c>
      <c r="AU173" s="230">
        <v>1142</v>
      </c>
      <c r="AV173" s="229">
        <v>0.97570000000000001</v>
      </c>
      <c r="AW173" s="230">
        <v>1451</v>
      </c>
      <c r="AX173" s="228">
        <v>879</v>
      </c>
      <c r="AY173" s="228">
        <v>572</v>
      </c>
      <c r="AZ173" s="229">
        <v>0.65100000000000002</v>
      </c>
      <c r="BA173" s="228">
        <v>842</v>
      </c>
      <c r="BB173" s="228">
        <v>280</v>
      </c>
      <c r="BC173" s="228">
        <v>562</v>
      </c>
      <c r="BD173" s="229">
        <v>2.0057999999999998</v>
      </c>
      <c r="BE173" s="228">
        <v>20</v>
      </c>
      <c r="BF173" s="228">
        <v>12</v>
      </c>
      <c r="BG173" s="228">
        <v>8</v>
      </c>
      <c r="BH173" s="229">
        <v>0.69930000000000003</v>
      </c>
      <c r="BI173" s="230">
        <v>6440</v>
      </c>
      <c r="BJ173" s="230">
        <v>5158</v>
      </c>
      <c r="BK173" s="230">
        <v>1282</v>
      </c>
      <c r="BL173" s="229">
        <v>0.2485</v>
      </c>
      <c r="BM173" s="230">
        <v>3752</v>
      </c>
      <c r="BN173" s="230">
        <v>3130</v>
      </c>
      <c r="BO173" s="228">
        <v>622</v>
      </c>
      <c r="BP173" s="229">
        <v>0.19869999999999999</v>
      </c>
      <c r="BQ173" s="230">
        <v>12505</v>
      </c>
      <c r="BR173" s="230">
        <v>9459</v>
      </c>
      <c r="BS173" s="230">
        <v>3046</v>
      </c>
      <c r="BT173" s="229">
        <v>0.32200000000000001</v>
      </c>
      <c r="BU173" s="230">
        <v>7598996</v>
      </c>
      <c r="BV173" s="230">
        <v>7357454</v>
      </c>
      <c r="BW173" s="230">
        <v>241542</v>
      </c>
      <c r="BX173" s="229">
        <v>3.2800000000000003E-2</v>
      </c>
      <c r="BY173" s="230">
        <v>15453</v>
      </c>
      <c r="BZ173" s="230">
        <v>15357</v>
      </c>
      <c r="CA173" s="228">
        <v>96</v>
      </c>
      <c r="CB173" s="229">
        <v>6.1999999999999998E-3</v>
      </c>
      <c r="CC173" s="230">
        <v>12908</v>
      </c>
      <c r="CD173" s="230">
        <v>13565</v>
      </c>
      <c r="CE173" s="228">
        <v>-657</v>
      </c>
      <c r="CF173" s="229">
        <v>-4.8500000000000001E-2</v>
      </c>
      <c r="CG173" s="230">
        <v>2381</v>
      </c>
      <c r="CH173" s="230">
        <v>1637</v>
      </c>
      <c r="CI173" s="228">
        <v>744</v>
      </c>
      <c r="CJ173" s="229">
        <v>0.45440000000000003</v>
      </c>
      <c r="CK173" s="228">
        <v>164</v>
      </c>
      <c r="CL173" s="228">
        <v>155</v>
      </c>
      <c r="CM173" s="228">
        <v>9</v>
      </c>
      <c r="CN173" s="229">
        <v>5.9900000000000002E-2</v>
      </c>
      <c r="CO173" s="230">
        <v>7928</v>
      </c>
      <c r="CP173" s="230">
        <v>8027</v>
      </c>
      <c r="CQ173" s="228">
        <v>-100</v>
      </c>
      <c r="CR173" s="229">
        <v>-1.24E-2</v>
      </c>
      <c r="CS173" s="230">
        <v>4217</v>
      </c>
      <c r="CT173" s="230">
        <v>4263</v>
      </c>
      <c r="CU173" s="228">
        <v>-47</v>
      </c>
      <c r="CV173" s="229">
        <v>-1.09E-2</v>
      </c>
      <c r="CW173" s="230">
        <v>27597</v>
      </c>
      <c r="CX173" s="230">
        <v>27648</v>
      </c>
      <c r="CY173" s="228">
        <v>-50</v>
      </c>
      <c r="CZ173" s="229">
        <v>-1.8E-3</v>
      </c>
      <c r="DA173" s="228">
        <v>14.65</v>
      </c>
      <c r="DB173" s="228">
        <v>15.29</v>
      </c>
      <c r="DC173" s="228">
        <v>-0.64</v>
      </c>
      <c r="DD173" s="228">
        <v>-0.64</v>
      </c>
      <c r="DE173" s="228">
        <v>23.28</v>
      </c>
      <c r="DF173" s="228">
        <v>23.34</v>
      </c>
      <c r="DG173" s="228">
        <v>-8.6300000000000008</v>
      </c>
      <c r="DH173" s="228">
        <v>-0.06</v>
      </c>
      <c r="DI173" s="228">
        <v>14.39</v>
      </c>
      <c r="DJ173" s="228">
        <v>15.01</v>
      </c>
      <c r="DK173" s="228">
        <v>-0.62</v>
      </c>
      <c r="DL173" s="228">
        <v>-0.62</v>
      </c>
      <c r="DM173" s="228">
        <v>15.1</v>
      </c>
      <c r="DN173" s="228">
        <v>15.74</v>
      </c>
      <c r="DO173" s="228">
        <v>-0.64</v>
      </c>
      <c r="DP173" s="228">
        <v>-0.64</v>
      </c>
      <c r="DQ173" s="228">
        <v>0.53</v>
      </c>
      <c r="DR173" s="228">
        <v>0.53</v>
      </c>
      <c r="DS173" s="228">
        <v>0</v>
      </c>
      <c r="DT173" s="229">
        <v>0</v>
      </c>
      <c r="DU173" s="231">
        <v>1600</v>
      </c>
      <c r="DV173" s="231">
        <v>1500</v>
      </c>
      <c r="DW173" s="228">
        <v>0.57999999999999996</v>
      </c>
      <c r="DX173" s="228">
        <v>0.61</v>
      </c>
      <c r="DY173" s="228">
        <v>-0.03</v>
      </c>
      <c r="DZ173" s="229">
        <v>-4.9200000000000001E-2</v>
      </c>
      <c r="EA173" s="229">
        <v>0.16470000000000001</v>
      </c>
      <c r="EB173" s="230">
        <v>11576000</v>
      </c>
      <c r="EC173" s="229">
        <v>6.4999999999999997E-3</v>
      </c>
      <c r="ED173" s="229">
        <v>0.16470000000000001</v>
      </c>
      <c r="EE173" s="228">
        <v>10.06</v>
      </c>
      <c r="EF173" s="229">
        <v>6.4999999999999997E-3</v>
      </c>
      <c r="EG173" s="230">
        <v>3388321</v>
      </c>
      <c r="EH173" s="230">
        <v>3907222</v>
      </c>
      <c r="EI173" s="229">
        <v>-0.1328</v>
      </c>
      <c r="EJ173" s="229">
        <v>0.44590000000000002</v>
      </c>
      <c r="EK173" s="231">
        <v>6586.19</v>
      </c>
      <c r="EL173" s="231">
        <v>3724.67</v>
      </c>
      <c r="EM173" s="231">
        <v>2319.86</v>
      </c>
      <c r="EN173" s="228">
        <v>162.99</v>
      </c>
      <c r="EO173" s="231">
        <v>12630.72</v>
      </c>
      <c r="EP173" s="231">
        <v>9554.7900000000009</v>
      </c>
      <c r="EQ173" s="231">
        <v>3075.93</v>
      </c>
      <c r="ER173" s="229">
        <v>0.32190000000000002</v>
      </c>
      <c r="ES173" s="231">
        <v>8076.09</v>
      </c>
      <c r="ET173" s="231">
        <v>4109.12</v>
      </c>
      <c r="EU173" s="231">
        <v>15470.43</v>
      </c>
      <c r="EV173" s="231">
        <v>662701060</v>
      </c>
      <c r="EW173" s="231">
        <v>27655.64</v>
      </c>
      <c r="EX173" s="231">
        <v>27712.52</v>
      </c>
      <c r="EY173" s="228">
        <v>-56.88</v>
      </c>
      <c r="EZ173" s="229">
        <v>-2.0999999999999999E-3</v>
      </c>
      <c r="FA173" s="229">
        <v>0.26900000000000002</v>
      </c>
      <c r="FB173" s="227" t="s">
        <v>567</v>
      </c>
      <c r="FC173">
        <f t="shared" si="3"/>
        <v>0</v>
      </c>
    </row>
    <row r="174" spans="1:159" ht="17.25" thickBot="1" x14ac:dyDescent="0.3">
      <c r="A174" s="226">
        <v>46009</v>
      </c>
      <c r="B174" s="227" t="s">
        <v>215</v>
      </c>
      <c r="C174" s="227" t="s">
        <v>676</v>
      </c>
      <c r="D174" s="228">
        <v>1375</v>
      </c>
      <c r="E174" s="228">
        <v>12</v>
      </c>
      <c r="F174" s="228">
        <v>304.60000000000002</v>
      </c>
      <c r="G174" s="228">
        <v>305.39999999999998</v>
      </c>
      <c r="H174" s="228">
        <v>-0.8</v>
      </c>
      <c r="I174" s="229">
        <v>-2.5999999999999999E-3</v>
      </c>
      <c r="J174" s="228">
        <v>305.95</v>
      </c>
      <c r="K174" s="228">
        <v>307.25</v>
      </c>
      <c r="L174" s="228">
        <v>-1.3</v>
      </c>
      <c r="M174" s="229">
        <v>-4.1999999999999997E-3</v>
      </c>
      <c r="N174" s="228">
        <v>304.60000000000002</v>
      </c>
      <c r="O174" s="228">
        <v>305.39999999999998</v>
      </c>
      <c r="P174" s="228">
        <v>-0.8</v>
      </c>
      <c r="Q174" s="229">
        <v>-2.5999999999999999E-3</v>
      </c>
      <c r="R174" s="228">
        <v>299.3</v>
      </c>
      <c r="S174" s="228">
        <v>299.95</v>
      </c>
      <c r="T174" s="228">
        <v>-0.65</v>
      </c>
      <c r="U174" s="229">
        <v>-2.2000000000000001E-3</v>
      </c>
      <c r="V174" s="228">
        <v>294.85000000000002</v>
      </c>
      <c r="W174" s="228">
        <v>295.2</v>
      </c>
      <c r="X174" s="228">
        <v>-0.35</v>
      </c>
      <c r="Y174" s="229">
        <v>-1.1999999999999999E-3</v>
      </c>
      <c r="Z174" s="228">
        <v>-1.35</v>
      </c>
      <c r="AA174" s="228">
        <v>-1.85</v>
      </c>
      <c r="AB174" s="228">
        <v>0.5</v>
      </c>
      <c r="AC174" s="229">
        <v>-4.4000000000000003E-3</v>
      </c>
      <c r="AD174" s="228">
        <v>-1.35</v>
      </c>
      <c r="AE174" s="228">
        <v>-1.85</v>
      </c>
      <c r="AF174" s="228">
        <v>0.5</v>
      </c>
      <c r="AG174" s="229">
        <v>-4.4000000000000003E-3</v>
      </c>
      <c r="AH174" s="228">
        <v>-6.65</v>
      </c>
      <c r="AI174" s="228">
        <v>-7.3</v>
      </c>
      <c r="AJ174" s="228">
        <v>0.65</v>
      </c>
      <c r="AK174" s="229">
        <v>-2.1700000000000001E-2</v>
      </c>
      <c r="AL174" s="228">
        <v>-11.1</v>
      </c>
      <c r="AM174" s="228">
        <v>-12.05</v>
      </c>
      <c r="AN174" s="228">
        <v>0.95</v>
      </c>
      <c r="AO174" s="229">
        <v>-3.6299999999999999E-2</v>
      </c>
      <c r="AP174" s="228">
        <v>303.64999999999998</v>
      </c>
      <c r="AQ174" s="228">
        <v>297.93</v>
      </c>
      <c r="AR174" s="228">
        <v>0</v>
      </c>
      <c r="AS174" s="228">
        <v>135</v>
      </c>
      <c r="AT174" s="228">
        <v>135</v>
      </c>
      <c r="AU174" s="228">
        <v>0</v>
      </c>
      <c r="AV174" s="229">
        <v>-8.9999999999999998E-4</v>
      </c>
      <c r="AW174" s="228">
        <v>89</v>
      </c>
      <c r="AX174" s="228">
        <v>86</v>
      </c>
      <c r="AY174" s="228">
        <v>3</v>
      </c>
      <c r="AZ174" s="229">
        <v>3.0099999999999998E-2</v>
      </c>
      <c r="BA174" s="228">
        <v>41</v>
      </c>
      <c r="BB174" s="228">
        <v>44</v>
      </c>
      <c r="BC174" s="228">
        <v>-3</v>
      </c>
      <c r="BD174" s="229">
        <v>-6.7699999999999996E-2</v>
      </c>
      <c r="BE174" s="228">
        <v>5</v>
      </c>
      <c r="BF174" s="228">
        <v>5</v>
      </c>
      <c r="BG174" s="228">
        <v>0</v>
      </c>
      <c r="BH174" s="229">
        <v>5.1299999999999998E-2</v>
      </c>
      <c r="BI174" s="228">
        <v>282</v>
      </c>
      <c r="BJ174" s="228">
        <v>277</v>
      </c>
      <c r="BK174" s="228">
        <v>5</v>
      </c>
      <c r="BL174" s="229">
        <v>1.8700000000000001E-2</v>
      </c>
      <c r="BM174" s="228">
        <v>77</v>
      </c>
      <c r="BN174" s="228">
        <v>61</v>
      </c>
      <c r="BO174" s="228">
        <v>17</v>
      </c>
      <c r="BP174" s="229">
        <v>0.27250000000000002</v>
      </c>
      <c r="BQ174" s="228">
        <v>494</v>
      </c>
      <c r="BR174" s="228">
        <v>473</v>
      </c>
      <c r="BS174" s="228">
        <v>22</v>
      </c>
      <c r="BT174" s="229">
        <v>4.5600000000000002E-2</v>
      </c>
      <c r="BU174" s="230">
        <v>2313584</v>
      </c>
      <c r="BV174" s="230">
        <v>2155109</v>
      </c>
      <c r="BW174" s="230">
        <v>158475</v>
      </c>
      <c r="BX174" s="229">
        <v>7.3499999999999996E-2</v>
      </c>
      <c r="BY174" s="230">
        <v>1488</v>
      </c>
      <c r="BZ174" s="230">
        <v>1464</v>
      </c>
      <c r="CA174" s="228">
        <v>23</v>
      </c>
      <c r="CB174" s="229">
        <v>1.6E-2</v>
      </c>
      <c r="CC174" s="230">
        <v>1190</v>
      </c>
      <c r="CD174" s="230">
        <v>1190</v>
      </c>
      <c r="CE174" s="228">
        <v>1</v>
      </c>
      <c r="CF174" s="229">
        <v>5.9999999999999995E-4</v>
      </c>
      <c r="CG174" s="228">
        <v>264</v>
      </c>
      <c r="CH174" s="228">
        <v>244</v>
      </c>
      <c r="CI174" s="228">
        <v>20</v>
      </c>
      <c r="CJ174" s="229">
        <v>8.3500000000000005E-2</v>
      </c>
      <c r="CK174" s="228">
        <v>34</v>
      </c>
      <c r="CL174" s="228">
        <v>31</v>
      </c>
      <c r="CM174" s="228">
        <v>2</v>
      </c>
      <c r="CN174" s="229">
        <v>7.7399999999999997E-2</v>
      </c>
      <c r="CO174" s="228">
        <v>658</v>
      </c>
      <c r="CP174" s="228">
        <v>656</v>
      </c>
      <c r="CQ174" s="228">
        <v>2</v>
      </c>
      <c r="CR174" s="229">
        <v>2.3999999999999998E-3</v>
      </c>
      <c r="CS174" s="228">
        <v>299</v>
      </c>
      <c r="CT174" s="228">
        <v>299</v>
      </c>
      <c r="CU174" s="228">
        <v>0</v>
      </c>
      <c r="CV174" s="229">
        <v>2.9999999999999997E-4</v>
      </c>
      <c r="CW174" s="230">
        <v>2445</v>
      </c>
      <c r="CX174" s="230">
        <v>2420</v>
      </c>
      <c r="CY174" s="228">
        <v>25</v>
      </c>
      <c r="CZ174" s="229">
        <v>1.04E-2</v>
      </c>
      <c r="DA174" s="228">
        <v>30.68</v>
      </c>
      <c r="DB174" s="228">
        <v>30.68</v>
      </c>
      <c r="DC174" s="228">
        <v>0</v>
      </c>
      <c r="DD174" s="228">
        <v>0</v>
      </c>
      <c r="DE174" s="228">
        <v>53.84</v>
      </c>
      <c r="DF174" s="228">
        <v>53.97</v>
      </c>
      <c r="DG174" s="228">
        <v>-23.16</v>
      </c>
      <c r="DH174" s="228">
        <v>-0.13</v>
      </c>
      <c r="DI174" s="228">
        <v>31.16</v>
      </c>
      <c r="DJ174" s="228">
        <v>31.25</v>
      </c>
      <c r="DK174" s="228">
        <v>-0.09</v>
      </c>
      <c r="DL174" s="228">
        <v>-0.09</v>
      </c>
      <c r="DM174" s="228">
        <v>28.94</v>
      </c>
      <c r="DN174" s="228">
        <v>28.08</v>
      </c>
      <c r="DO174" s="228">
        <v>0.86</v>
      </c>
      <c r="DP174" s="228">
        <v>0.86</v>
      </c>
      <c r="DQ174" s="228">
        <v>0.46</v>
      </c>
      <c r="DR174" s="228">
        <v>0.46</v>
      </c>
      <c r="DS174" s="228">
        <v>0</v>
      </c>
      <c r="DT174" s="229">
        <v>0</v>
      </c>
      <c r="DU174" s="228">
        <v>330</v>
      </c>
      <c r="DV174" s="228">
        <v>290</v>
      </c>
      <c r="DW174" s="228">
        <v>0.27</v>
      </c>
      <c r="DX174" s="228">
        <v>0.22</v>
      </c>
      <c r="DY174" s="228">
        <v>0.05</v>
      </c>
      <c r="DZ174" s="229">
        <v>0.2273</v>
      </c>
      <c r="EA174" s="229">
        <v>0.2001</v>
      </c>
      <c r="EB174" s="230">
        <v>9024950</v>
      </c>
      <c r="EC174" s="229">
        <v>-1.7399999999999999E-2</v>
      </c>
      <c r="ED174" s="229">
        <v>0.2001</v>
      </c>
      <c r="EE174" s="228">
        <v>-5.72</v>
      </c>
      <c r="EF174" s="229">
        <v>-1.8800000000000001E-2</v>
      </c>
      <c r="EG174" s="230">
        <v>747266</v>
      </c>
      <c r="EH174" s="230">
        <v>830614</v>
      </c>
      <c r="EI174" s="229">
        <v>-0.1003</v>
      </c>
      <c r="EJ174" s="229">
        <v>0.32300000000000001</v>
      </c>
      <c r="EK174" s="228">
        <v>302.69</v>
      </c>
      <c r="EL174" s="228">
        <v>77.599999999999994</v>
      </c>
      <c r="EM174" s="228">
        <v>138.49</v>
      </c>
      <c r="EN174" s="228">
        <v>29.11</v>
      </c>
      <c r="EO174" s="228">
        <v>518.78</v>
      </c>
      <c r="EP174" s="228">
        <v>501.18</v>
      </c>
      <c r="EQ174" s="228">
        <v>17.600000000000001</v>
      </c>
      <c r="ER174" s="229">
        <v>3.5099999999999999E-2</v>
      </c>
      <c r="ES174" s="228">
        <v>708.41</v>
      </c>
      <c r="ET174" s="228">
        <v>297.44</v>
      </c>
      <c r="EU174" s="231">
        <v>1482.21</v>
      </c>
      <c r="EV174" s="231">
        <v>84941460</v>
      </c>
      <c r="EW174" s="231">
        <v>2488.06</v>
      </c>
      <c r="EX174" s="231">
        <v>2468.5700000000002</v>
      </c>
      <c r="EY174" s="228">
        <v>19.489999999999998</v>
      </c>
      <c r="EZ174" s="229">
        <v>7.9000000000000008E-3</v>
      </c>
      <c r="FA174" s="229">
        <v>0.94510000000000005</v>
      </c>
      <c r="FB174" s="227" t="s">
        <v>567</v>
      </c>
      <c r="FC174">
        <f t="shared" si="3"/>
        <v>0</v>
      </c>
    </row>
    <row r="175" spans="1:159" ht="17.25" thickBot="1" x14ac:dyDescent="0.3">
      <c r="A175" s="226">
        <v>46009</v>
      </c>
      <c r="B175" s="227" t="s">
        <v>227</v>
      </c>
      <c r="C175" s="227" t="s">
        <v>282</v>
      </c>
      <c r="D175" s="228">
        <v>4700</v>
      </c>
      <c r="E175" s="228">
        <v>12</v>
      </c>
      <c r="F175" s="228">
        <v>127.26</v>
      </c>
      <c r="G175" s="228">
        <v>130.31</v>
      </c>
      <c r="H175" s="228">
        <v>-3.05</v>
      </c>
      <c r="I175" s="229">
        <v>-2.3400000000000001E-2</v>
      </c>
      <c r="J175" s="228">
        <v>127.27</v>
      </c>
      <c r="K175" s="228">
        <v>130.19999999999999</v>
      </c>
      <c r="L175" s="228">
        <v>-2.93</v>
      </c>
      <c r="M175" s="229">
        <v>-2.2499999999999999E-2</v>
      </c>
      <c r="N175" s="228">
        <v>127.26</v>
      </c>
      <c r="O175" s="228">
        <v>130.31</v>
      </c>
      <c r="P175" s="228">
        <v>-3.05</v>
      </c>
      <c r="Q175" s="229">
        <v>-2.3400000000000001E-2</v>
      </c>
      <c r="R175" s="228">
        <v>128.05000000000001</v>
      </c>
      <c r="S175" s="228">
        <v>131.13999999999999</v>
      </c>
      <c r="T175" s="228">
        <v>-3.09</v>
      </c>
      <c r="U175" s="229">
        <v>-2.3599999999999999E-2</v>
      </c>
      <c r="V175" s="228">
        <v>128.56</v>
      </c>
      <c r="W175" s="228">
        <v>131.72999999999999</v>
      </c>
      <c r="X175" s="228">
        <v>-3.17</v>
      </c>
      <c r="Y175" s="229">
        <v>-2.41E-2</v>
      </c>
      <c r="Z175" s="228">
        <v>-0.01</v>
      </c>
      <c r="AA175" s="228">
        <v>0.11</v>
      </c>
      <c r="AB175" s="228">
        <v>-0.12</v>
      </c>
      <c r="AC175" s="229">
        <v>-1E-4</v>
      </c>
      <c r="AD175" s="228">
        <v>-0.01</v>
      </c>
      <c r="AE175" s="228">
        <v>0.11</v>
      </c>
      <c r="AF175" s="228">
        <v>-0.12</v>
      </c>
      <c r="AG175" s="229">
        <v>-1E-4</v>
      </c>
      <c r="AH175" s="228">
        <v>0.78</v>
      </c>
      <c r="AI175" s="228">
        <v>0.94</v>
      </c>
      <c r="AJ175" s="228">
        <v>-0.16</v>
      </c>
      <c r="AK175" s="229">
        <v>6.1000000000000004E-3</v>
      </c>
      <c r="AL175" s="228">
        <v>1.29</v>
      </c>
      <c r="AM175" s="228">
        <v>1.53</v>
      </c>
      <c r="AN175" s="228">
        <v>-0.24</v>
      </c>
      <c r="AO175" s="229">
        <v>1.01E-2</v>
      </c>
      <c r="AP175" s="228">
        <v>128.51</v>
      </c>
      <c r="AQ175" s="228">
        <v>129.37</v>
      </c>
      <c r="AR175" s="228">
        <v>0</v>
      </c>
      <c r="AS175" s="228">
        <v>297</v>
      </c>
      <c r="AT175" s="228">
        <v>181</v>
      </c>
      <c r="AU175" s="228">
        <v>116</v>
      </c>
      <c r="AV175" s="229">
        <v>0.64070000000000005</v>
      </c>
      <c r="AW175" s="228">
        <v>243</v>
      </c>
      <c r="AX175" s="228">
        <v>141</v>
      </c>
      <c r="AY175" s="228">
        <v>102</v>
      </c>
      <c r="AZ175" s="229">
        <v>0.72540000000000004</v>
      </c>
      <c r="BA175" s="228">
        <v>47</v>
      </c>
      <c r="BB175" s="228">
        <v>33</v>
      </c>
      <c r="BC175" s="228">
        <v>14</v>
      </c>
      <c r="BD175" s="229">
        <v>0.42959999999999998</v>
      </c>
      <c r="BE175" s="228">
        <v>7</v>
      </c>
      <c r="BF175" s="228">
        <v>7</v>
      </c>
      <c r="BG175" s="228">
        <v>0</v>
      </c>
      <c r="BH175" s="229">
        <v>-4.1300000000000003E-2</v>
      </c>
      <c r="BI175" s="228">
        <v>571</v>
      </c>
      <c r="BJ175" s="228">
        <v>276</v>
      </c>
      <c r="BK175" s="228">
        <v>295</v>
      </c>
      <c r="BL175" s="229">
        <v>1.0690999999999999</v>
      </c>
      <c r="BM175" s="228">
        <v>268</v>
      </c>
      <c r="BN175" s="228">
        <v>85</v>
      </c>
      <c r="BO175" s="228">
        <v>182</v>
      </c>
      <c r="BP175" s="229">
        <v>2.1440999999999999</v>
      </c>
      <c r="BQ175" s="230">
        <v>1136</v>
      </c>
      <c r="BR175" s="228">
        <v>542</v>
      </c>
      <c r="BS175" s="228">
        <v>594</v>
      </c>
      <c r="BT175" s="229">
        <v>1.0946</v>
      </c>
      <c r="BU175" s="230">
        <v>13093776</v>
      </c>
      <c r="BV175" s="230">
        <v>8790384</v>
      </c>
      <c r="BW175" s="230">
        <v>4303392</v>
      </c>
      <c r="BX175" s="229">
        <v>0.48959999999999998</v>
      </c>
      <c r="BY175" s="230">
        <v>2261</v>
      </c>
      <c r="BZ175" s="230">
        <v>2238</v>
      </c>
      <c r="CA175" s="228">
        <v>24</v>
      </c>
      <c r="CB175" s="229">
        <v>1.06E-2</v>
      </c>
      <c r="CC175" s="230">
        <v>1999</v>
      </c>
      <c r="CD175" s="230">
        <v>1993</v>
      </c>
      <c r="CE175" s="228">
        <v>6</v>
      </c>
      <c r="CF175" s="229">
        <v>3.0999999999999999E-3</v>
      </c>
      <c r="CG175" s="228">
        <v>215</v>
      </c>
      <c r="CH175" s="228">
        <v>201</v>
      </c>
      <c r="CI175" s="228">
        <v>15</v>
      </c>
      <c r="CJ175" s="229">
        <v>7.2700000000000001E-2</v>
      </c>
      <c r="CK175" s="228">
        <v>47</v>
      </c>
      <c r="CL175" s="228">
        <v>44</v>
      </c>
      <c r="CM175" s="228">
        <v>3</v>
      </c>
      <c r="CN175" s="229">
        <v>6.7900000000000002E-2</v>
      </c>
      <c r="CO175" s="228">
        <v>714</v>
      </c>
      <c r="CP175" s="228">
        <v>673</v>
      </c>
      <c r="CQ175" s="228">
        <v>41</v>
      </c>
      <c r="CR175" s="229">
        <v>6.1400000000000003E-2</v>
      </c>
      <c r="CS175" s="228">
        <v>392</v>
      </c>
      <c r="CT175" s="228">
        <v>379</v>
      </c>
      <c r="CU175" s="228">
        <v>13</v>
      </c>
      <c r="CV175" s="229">
        <v>3.4500000000000003E-2</v>
      </c>
      <c r="CW175" s="230">
        <v>3368</v>
      </c>
      <c r="CX175" s="230">
        <v>3289</v>
      </c>
      <c r="CY175" s="228">
        <v>78</v>
      </c>
      <c r="CZ175" s="229">
        <v>2.3800000000000002E-2</v>
      </c>
      <c r="DA175" s="228">
        <v>29.54</v>
      </c>
      <c r="DB175" s="228">
        <v>28.21</v>
      </c>
      <c r="DC175" s="228">
        <v>1.33</v>
      </c>
      <c r="DD175" s="228">
        <v>1.33</v>
      </c>
      <c r="DE175" s="228">
        <v>43.36</v>
      </c>
      <c r="DF175" s="228">
        <v>43.35</v>
      </c>
      <c r="DG175" s="228">
        <v>-13.82</v>
      </c>
      <c r="DH175" s="228">
        <v>0.01</v>
      </c>
      <c r="DI175" s="228">
        <v>30.15</v>
      </c>
      <c r="DJ175" s="228">
        <v>28.58</v>
      </c>
      <c r="DK175" s="228">
        <v>1.57</v>
      </c>
      <c r="DL175" s="228">
        <v>1.57</v>
      </c>
      <c r="DM175" s="228">
        <v>28.23</v>
      </c>
      <c r="DN175" s="228">
        <v>27.03</v>
      </c>
      <c r="DO175" s="228">
        <v>1.2</v>
      </c>
      <c r="DP175" s="228">
        <v>1.2</v>
      </c>
      <c r="DQ175" s="228">
        <v>0.55000000000000004</v>
      </c>
      <c r="DR175" s="228">
        <v>0.56000000000000005</v>
      </c>
      <c r="DS175" s="228">
        <v>-0.01</v>
      </c>
      <c r="DT175" s="229">
        <v>-1.7899999999999999E-2</v>
      </c>
      <c r="DU175" s="228">
        <v>140</v>
      </c>
      <c r="DV175" s="228">
        <v>130</v>
      </c>
      <c r="DW175" s="228">
        <v>0.47</v>
      </c>
      <c r="DX175" s="228">
        <v>0.31</v>
      </c>
      <c r="DY175" s="228">
        <v>0.16</v>
      </c>
      <c r="DZ175" s="229">
        <v>0.5161</v>
      </c>
      <c r="EA175" s="229">
        <v>0.11609999999999999</v>
      </c>
      <c r="EB175" s="230">
        <v>19241800</v>
      </c>
      <c r="EC175" s="229">
        <v>6.1999999999999998E-3</v>
      </c>
      <c r="ED175" s="229">
        <v>0.11609999999999999</v>
      </c>
      <c r="EE175" s="228">
        <v>0.86</v>
      </c>
      <c r="EF175" s="229">
        <v>6.7000000000000002E-3</v>
      </c>
      <c r="EG175" s="230">
        <v>5117124</v>
      </c>
      <c r="EH175" s="230">
        <v>4118739</v>
      </c>
      <c r="EI175" s="229">
        <v>0.2424</v>
      </c>
      <c r="EJ175" s="229">
        <v>0.39079999999999998</v>
      </c>
      <c r="EK175" s="228">
        <v>607.75</v>
      </c>
      <c r="EL175" s="228">
        <v>268.81</v>
      </c>
      <c r="EM175" s="228">
        <v>300.76</v>
      </c>
      <c r="EN175" s="228">
        <v>39.08</v>
      </c>
      <c r="EO175" s="231">
        <v>1177.32</v>
      </c>
      <c r="EP175" s="228">
        <v>568.70000000000005</v>
      </c>
      <c r="EQ175" s="228">
        <v>608.62</v>
      </c>
      <c r="ER175" s="229">
        <v>1.0702</v>
      </c>
      <c r="ES175" s="228">
        <v>776.63</v>
      </c>
      <c r="ET175" s="228">
        <v>399.38</v>
      </c>
      <c r="EU175" s="231">
        <v>2263.14</v>
      </c>
      <c r="EV175" s="231">
        <v>216861410</v>
      </c>
      <c r="EW175" s="231">
        <v>3439.15</v>
      </c>
      <c r="EX175" s="231">
        <v>3417.13</v>
      </c>
      <c r="EY175" s="228">
        <v>22.02</v>
      </c>
      <c r="EZ175" s="229">
        <v>6.4000000000000003E-3</v>
      </c>
      <c r="FA175" s="229">
        <v>1.2202</v>
      </c>
      <c r="FB175" s="227" t="s">
        <v>567</v>
      </c>
      <c r="FC175">
        <f t="shared" si="3"/>
        <v>0</v>
      </c>
    </row>
    <row r="176" spans="1:159" ht="17.25" thickBot="1" x14ac:dyDescent="0.3">
      <c r="A176" s="226">
        <v>46009</v>
      </c>
      <c r="B176" s="227" t="s">
        <v>175</v>
      </c>
      <c r="C176" s="227" t="s">
        <v>687</v>
      </c>
      <c r="D176" s="228">
        <v>4300</v>
      </c>
      <c r="E176" s="228">
        <v>12</v>
      </c>
      <c r="F176" s="228">
        <v>144.03</v>
      </c>
      <c r="G176" s="228">
        <v>146.19</v>
      </c>
      <c r="H176" s="228">
        <v>-2.16</v>
      </c>
      <c r="I176" s="229">
        <v>-1.4800000000000001E-2</v>
      </c>
      <c r="J176" s="228">
        <v>143.47999999999999</v>
      </c>
      <c r="K176" s="228">
        <v>145.78</v>
      </c>
      <c r="L176" s="228">
        <v>-2.2999999999999998</v>
      </c>
      <c r="M176" s="229">
        <v>-1.5800000000000002E-2</v>
      </c>
      <c r="N176" s="228">
        <v>144.03</v>
      </c>
      <c r="O176" s="228">
        <v>146.19</v>
      </c>
      <c r="P176" s="228">
        <v>-2.16</v>
      </c>
      <c r="Q176" s="229">
        <v>-1.4800000000000001E-2</v>
      </c>
      <c r="R176" s="228">
        <v>144.68</v>
      </c>
      <c r="S176" s="228">
        <v>147.16999999999999</v>
      </c>
      <c r="T176" s="228">
        <v>-2.4900000000000002</v>
      </c>
      <c r="U176" s="229">
        <v>-1.6899999999999998E-2</v>
      </c>
      <c r="V176" s="228">
        <v>146.41999999999999</v>
      </c>
      <c r="W176" s="228">
        <v>147.65</v>
      </c>
      <c r="X176" s="228">
        <v>-1.23</v>
      </c>
      <c r="Y176" s="229">
        <v>-8.3000000000000001E-3</v>
      </c>
      <c r="Z176" s="228">
        <v>0.55000000000000004</v>
      </c>
      <c r="AA176" s="228">
        <v>0.41</v>
      </c>
      <c r="AB176" s="228">
        <v>0.14000000000000001</v>
      </c>
      <c r="AC176" s="229">
        <v>3.8E-3</v>
      </c>
      <c r="AD176" s="228">
        <v>0.55000000000000004</v>
      </c>
      <c r="AE176" s="228">
        <v>0.41</v>
      </c>
      <c r="AF176" s="228">
        <v>0.14000000000000001</v>
      </c>
      <c r="AG176" s="229">
        <v>3.8E-3</v>
      </c>
      <c r="AH176" s="228">
        <v>1.2</v>
      </c>
      <c r="AI176" s="228">
        <v>1.39</v>
      </c>
      <c r="AJ176" s="228">
        <v>-0.19</v>
      </c>
      <c r="AK176" s="229">
        <v>8.3999999999999995E-3</v>
      </c>
      <c r="AL176" s="228">
        <v>2.94</v>
      </c>
      <c r="AM176" s="228">
        <v>1.87</v>
      </c>
      <c r="AN176" s="228">
        <v>1.07</v>
      </c>
      <c r="AO176" s="229">
        <v>2.0500000000000001E-2</v>
      </c>
      <c r="AP176" s="228">
        <v>142.80000000000001</v>
      </c>
      <c r="AQ176" s="228">
        <v>143.54</v>
      </c>
      <c r="AR176" s="228">
        <v>0</v>
      </c>
      <c r="AS176" s="228">
        <v>785</v>
      </c>
      <c r="AT176" s="230">
        <v>1181</v>
      </c>
      <c r="AU176" s="228">
        <v>-396</v>
      </c>
      <c r="AV176" s="229">
        <v>-0.33510000000000001</v>
      </c>
      <c r="AW176" s="228">
        <v>595</v>
      </c>
      <c r="AX176" s="228">
        <v>845</v>
      </c>
      <c r="AY176" s="228">
        <v>-250</v>
      </c>
      <c r="AZ176" s="229">
        <v>-0.29549999999999998</v>
      </c>
      <c r="BA176" s="228">
        <v>179</v>
      </c>
      <c r="BB176" s="228">
        <v>319</v>
      </c>
      <c r="BC176" s="228">
        <v>-139</v>
      </c>
      <c r="BD176" s="229">
        <v>-0.43669999999999998</v>
      </c>
      <c r="BE176" s="228">
        <v>11</v>
      </c>
      <c r="BF176" s="228">
        <v>18</v>
      </c>
      <c r="BG176" s="228">
        <v>-7</v>
      </c>
      <c r="BH176" s="229">
        <v>-0.39579999999999999</v>
      </c>
      <c r="BI176" s="230">
        <v>1685</v>
      </c>
      <c r="BJ176" s="230">
        <v>3098</v>
      </c>
      <c r="BK176" s="230">
        <v>-1413</v>
      </c>
      <c r="BL176" s="229">
        <v>-0.45610000000000001</v>
      </c>
      <c r="BM176" s="230">
        <v>1673</v>
      </c>
      <c r="BN176" s="230">
        <v>1757</v>
      </c>
      <c r="BO176" s="228">
        <v>-84</v>
      </c>
      <c r="BP176" s="229">
        <v>-4.7899999999999998E-2</v>
      </c>
      <c r="BQ176" s="230">
        <v>4143</v>
      </c>
      <c r="BR176" s="230">
        <v>6036</v>
      </c>
      <c r="BS176" s="230">
        <v>-1893</v>
      </c>
      <c r="BT176" s="229">
        <v>-0.31359999999999999</v>
      </c>
      <c r="BU176" s="230">
        <v>25594890</v>
      </c>
      <c r="BV176" s="230">
        <v>41847304</v>
      </c>
      <c r="BW176" s="230">
        <v>-16252414</v>
      </c>
      <c r="BX176" s="229">
        <v>-0.38840000000000002</v>
      </c>
      <c r="BY176" s="230">
        <v>1700</v>
      </c>
      <c r="BZ176" s="230">
        <v>1645</v>
      </c>
      <c r="CA176" s="228">
        <v>56</v>
      </c>
      <c r="CB176" s="229">
        <v>3.3799999999999997E-2</v>
      </c>
      <c r="CC176" s="230">
        <v>1234</v>
      </c>
      <c r="CD176" s="230">
        <v>1229</v>
      </c>
      <c r="CE176" s="228">
        <v>6</v>
      </c>
      <c r="CF176" s="229">
        <v>4.7000000000000002E-3</v>
      </c>
      <c r="CG176" s="228">
        <v>444</v>
      </c>
      <c r="CH176" s="228">
        <v>399</v>
      </c>
      <c r="CI176" s="228">
        <v>45</v>
      </c>
      <c r="CJ176" s="229">
        <v>0.1116</v>
      </c>
      <c r="CK176" s="228">
        <v>22</v>
      </c>
      <c r="CL176" s="228">
        <v>17</v>
      </c>
      <c r="CM176" s="228">
        <v>5</v>
      </c>
      <c r="CN176" s="229">
        <v>0.315</v>
      </c>
      <c r="CO176" s="228">
        <v>942</v>
      </c>
      <c r="CP176" s="228">
        <v>941</v>
      </c>
      <c r="CQ176" s="228">
        <v>1</v>
      </c>
      <c r="CR176" s="229">
        <v>1.1000000000000001E-3</v>
      </c>
      <c r="CS176" s="228">
        <v>665</v>
      </c>
      <c r="CT176" s="228">
        <v>592</v>
      </c>
      <c r="CU176" s="228">
        <v>73</v>
      </c>
      <c r="CV176" s="229">
        <v>0.124</v>
      </c>
      <c r="CW176" s="230">
        <v>3307</v>
      </c>
      <c r="CX176" s="230">
        <v>3177</v>
      </c>
      <c r="CY176" s="228">
        <v>130</v>
      </c>
      <c r="CZ176" s="229">
        <v>4.0899999999999999E-2</v>
      </c>
      <c r="DA176" s="228">
        <v>49.41</v>
      </c>
      <c r="DB176" s="228">
        <v>46.62</v>
      </c>
      <c r="DC176" s="228">
        <v>2.79</v>
      </c>
      <c r="DD176" s="228">
        <v>2.79</v>
      </c>
      <c r="DE176" s="228">
        <v>57.39</v>
      </c>
      <c r="DF176" s="228">
        <v>57.49</v>
      </c>
      <c r="DG176" s="228">
        <v>-7.98</v>
      </c>
      <c r="DH176" s="228">
        <v>-0.1</v>
      </c>
      <c r="DI176" s="228">
        <v>46.38</v>
      </c>
      <c r="DJ176" s="228">
        <v>47.54</v>
      </c>
      <c r="DK176" s="228">
        <v>-1.1599999999999999</v>
      </c>
      <c r="DL176" s="228">
        <v>-1.1599999999999999</v>
      </c>
      <c r="DM176" s="228">
        <v>52.46</v>
      </c>
      <c r="DN176" s="228">
        <v>45</v>
      </c>
      <c r="DO176" s="228">
        <v>7.46</v>
      </c>
      <c r="DP176" s="228">
        <v>7.46</v>
      </c>
      <c r="DQ176" s="228">
        <v>0.71</v>
      </c>
      <c r="DR176" s="228">
        <v>0.63</v>
      </c>
      <c r="DS176" s="228">
        <v>0.08</v>
      </c>
      <c r="DT176" s="229">
        <v>0.127</v>
      </c>
      <c r="DU176" s="228">
        <v>155</v>
      </c>
      <c r="DV176" s="228">
        <v>140</v>
      </c>
      <c r="DW176" s="228">
        <v>0.99</v>
      </c>
      <c r="DX176" s="228">
        <v>0.56999999999999995</v>
      </c>
      <c r="DY176" s="228">
        <v>0.42</v>
      </c>
      <c r="DZ176" s="229">
        <v>0.73680000000000001</v>
      </c>
      <c r="EA176" s="229">
        <v>0.27400000000000002</v>
      </c>
      <c r="EB176" s="230">
        <v>28887400</v>
      </c>
      <c r="EC176" s="229">
        <v>4.4999999999999997E-3</v>
      </c>
      <c r="ED176" s="229">
        <v>0.27400000000000002</v>
      </c>
      <c r="EE176" s="228">
        <v>0.74</v>
      </c>
      <c r="EF176" s="229">
        <v>5.1999999999999998E-3</v>
      </c>
      <c r="EG176" s="230">
        <v>4618074</v>
      </c>
      <c r="EH176" s="230">
        <v>8582370</v>
      </c>
      <c r="EI176" s="229">
        <v>-0.46189999999999998</v>
      </c>
      <c r="EJ176" s="229">
        <v>0.1804</v>
      </c>
      <c r="EK176" s="231">
        <v>1817.01</v>
      </c>
      <c r="EL176" s="231">
        <v>1610.31</v>
      </c>
      <c r="EM176" s="228">
        <v>779.68</v>
      </c>
      <c r="EN176" s="228">
        <v>83.56</v>
      </c>
      <c r="EO176" s="231">
        <v>4207.01</v>
      </c>
      <c r="EP176" s="231">
        <v>6455.2</v>
      </c>
      <c r="EQ176" s="231">
        <v>-2248.19</v>
      </c>
      <c r="ER176" s="229">
        <v>-0.3483</v>
      </c>
      <c r="ES176" s="231">
        <v>1084.79</v>
      </c>
      <c r="ET176" s="228">
        <v>685.01</v>
      </c>
      <c r="EU176" s="231">
        <v>1702.68</v>
      </c>
      <c r="EV176" s="231">
        <v>122326971</v>
      </c>
      <c r="EW176" s="231">
        <v>3472.48</v>
      </c>
      <c r="EX176" s="231">
        <v>3384.45</v>
      </c>
      <c r="EY176" s="228">
        <v>88.03</v>
      </c>
      <c r="EZ176" s="229">
        <v>2.5999999999999999E-2</v>
      </c>
      <c r="FA176" s="229">
        <v>1.8768</v>
      </c>
      <c r="FB176" s="227" t="s">
        <v>567</v>
      </c>
      <c r="FC176">
        <f t="shared" si="3"/>
        <v>0</v>
      </c>
    </row>
    <row r="177" spans="1:159" ht="17.25" thickBot="1" x14ac:dyDescent="0.3">
      <c r="A177" s="226">
        <v>46009</v>
      </c>
      <c r="B177" s="227" t="s">
        <v>175</v>
      </c>
      <c r="C177" s="227" t="s">
        <v>536</v>
      </c>
      <c r="D177" s="228">
        <v>800</v>
      </c>
      <c r="E177" s="228">
        <v>12</v>
      </c>
      <c r="F177" s="228">
        <v>851.15</v>
      </c>
      <c r="G177" s="228">
        <v>836.55</v>
      </c>
      <c r="H177" s="228">
        <v>14.6</v>
      </c>
      <c r="I177" s="229">
        <v>1.7500000000000002E-2</v>
      </c>
      <c r="J177" s="228">
        <v>848.15</v>
      </c>
      <c r="K177" s="228">
        <v>834.4</v>
      </c>
      <c r="L177" s="228">
        <v>13.75</v>
      </c>
      <c r="M177" s="229">
        <v>1.6500000000000001E-2</v>
      </c>
      <c r="N177" s="228">
        <v>851.15</v>
      </c>
      <c r="O177" s="228">
        <v>836.55</v>
      </c>
      <c r="P177" s="228">
        <v>14.6</v>
      </c>
      <c r="Q177" s="229">
        <v>1.7500000000000002E-2</v>
      </c>
      <c r="R177" s="228">
        <v>852.6</v>
      </c>
      <c r="S177" s="228">
        <v>836.75</v>
      </c>
      <c r="T177" s="228">
        <v>15.85</v>
      </c>
      <c r="U177" s="229">
        <v>1.89E-2</v>
      </c>
      <c r="V177" s="228">
        <v>852.75</v>
      </c>
      <c r="W177" s="228">
        <v>838</v>
      </c>
      <c r="X177" s="228">
        <v>14.75</v>
      </c>
      <c r="Y177" s="229">
        <v>1.7600000000000001E-2</v>
      </c>
      <c r="Z177" s="228">
        <v>3</v>
      </c>
      <c r="AA177" s="228">
        <v>2.15</v>
      </c>
      <c r="AB177" s="228">
        <v>0.85</v>
      </c>
      <c r="AC177" s="229">
        <v>3.5000000000000001E-3</v>
      </c>
      <c r="AD177" s="228">
        <v>3</v>
      </c>
      <c r="AE177" s="228">
        <v>2.15</v>
      </c>
      <c r="AF177" s="228">
        <v>0.85</v>
      </c>
      <c r="AG177" s="229">
        <v>3.5000000000000001E-3</v>
      </c>
      <c r="AH177" s="228">
        <v>4.45</v>
      </c>
      <c r="AI177" s="228">
        <v>2.35</v>
      </c>
      <c r="AJ177" s="228">
        <v>2.1</v>
      </c>
      <c r="AK177" s="229">
        <v>5.1999999999999998E-3</v>
      </c>
      <c r="AL177" s="228">
        <v>4.5999999999999996</v>
      </c>
      <c r="AM177" s="228">
        <v>3.6</v>
      </c>
      <c r="AN177" s="228">
        <v>1</v>
      </c>
      <c r="AO177" s="229">
        <v>5.4000000000000003E-3</v>
      </c>
      <c r="AP177" s="228">
        <v>848.28</v>
      </c>
      <c r="AQ177" s="228">
        <v>846.99</v>
      </c>
      <c r="AR177" s="228">
        <v>0</v>
      </c>
      <c r="AS177" s="228">
        <v>248</v>
      </c>
      <c r="AT177" s="228">
        <v>210</v>
      </c>
      <c r="AU177" s="228">
        <v>39</v>
      </c>
      <c r="AV177" s="229">
        <v>0.18440000000000001</v>
      </c>
      <c r="AW177" s="228">
        <v>213</v>
      </c>
      <c r="AX177" s="228">
        <v>171</v>
      </c>
      <c r="AY177" s="228">
        <v>41</v>
      </c>
      <c r="AZ177" s="229">
        <v>0.24149999999999999</v>
      </c>
      <c r="BA177" s="228">
        <v>33</v>
      </c>
      <c r="BB177" s="228">
        <v>36</v>
      </c>
      <c r="BC177" s="228">
        <v>-3</v>
      </c>
      <c r="BD177" s="229">
        <v>-8.5800000000000001E-2</v>
      </c>
      <c r="BE177" s="228">
        <v>2</v>
      </c>
      <c r="BF177" s="228">
        <v>2</v>
      </c>
      <c r="BG177" s="228">
        <v>0</v>
      </c>
      <c r="BH177" s="229">
        <v>0.22220000000000001</v>
      </c>
      <c r="BI177" s="228">
        <v>836</v>
      </c>
      <c r="BJ177" s="228">
        <v>616</v>
      </c>
      <c r="BK177" s="228">
        <v>220</v>
      </c>
      <c r="BL177" s="229">
        <v>0.35630000000000001</v>
      </c>
      <c r="BM177" s="228">
        <v>436</v>
      </c>
      <c r="BN177" s="228">
        <v>550</v>
      </c>
      <c r="BO177" s="228">
        <v>-114</v>
      </c>
      <c r="BP177" s="229">
        <v>-0.2079</v>
      </c>
      <c r="BQ177" s="230">
        <v>1520</v>
      </c>
      <c r="BR177" s="230">
        <v>1376</v>
      </c>
      <c r="BS177" s="228">
        <v>144</v>
      </c>
      <c r="BT177" s="229">
        <v>0.1047</v>
      </c>
      <c r="BU177" s="230">
        <v>991864</v>
      </c>
      <c r="BV177" s="230">
        <v>912830</v>
      </c>
      <c r="BW177" s="230">
        <v>79034</v>
      </c>
      <c r="BX177" s="229">
        <v>8.6599999999999996E-2</v>
      </c>
      <c r="BY177" s="230">
        <v>1408</v>
      </c>
      <c r="BZ177" s="230">
        <v>1439</v>
      </c>
      <c r="CA177" s="228">
        <v>-30</v>
      </c>
      <c r="CB177" s="229">
        <v>-2.1000000000000001E-2</v>
      </c>
      <c r="CC177" s="230">
        <v>1286</v>
      </c>
      <c r="CD177" s="230">
        <v>1318</v>
      </c>
      <c r="CE177" s="228">
        <v>-32</v>
      </c>
      <c r="CF177" s="229">
        <v>-2.4400000000000002E-2</v>
      </c>
      <c r="CG177" s="228">
        <v>114</v>
      </c>
      <c r="CH177" s="228">
        <v>111</v>
      </c>
      <c r="CI177" s="228">
        <v>3</v>
      </c>
      <c r="CJ177" s="229">
        <v>2.52E-2</v>
      </c>
      <c r="CK177" s="228">
        <v>9</v>
      </c>
      <c r="CL177" s="228">
        <v>9</v>
      </c>
      <c r="CM177" s="228">
        <v>-1</v>
      </c>
      <c r="CN177" s="229">
        <v>-9.4200000000000006E-2</v>
      </c>
      <c r="CO177" s="228">
        <v>504</v>
      </c>
      <c r="CP177" s="228">
        <v>561</v>
      </c>
      <c r="CQ177" s="228">
        <v>-56</v>
      </c>
      <c r="CR177" s="229">
        <v>-0.1007</v>
      </c>
      <c r="CS177" s="228">
        <v>361</v>
      </c>
      <c r="CT177" s="228">
        <v>371</v>
      </c>
      <c r="CU177" s="228">
        <v>-9</v>
      </c>
      <c r="CV177" s="229">
        <v>-2.4799999999999999E-2</v>
      </c>
      <c r="CW177" s="230">
        <v>2274</v>
      </c>
      <c r="CX177" s="230">
        <v>2370</v>
      </c>
      <c r="CY177" s="228">
        <v>-96</v>
      </c>
      <c r="CZ177" s="229">
        <v>-4.0500000000000001E-2</v>
      </c>
      <c r="DA177" s="228">
        <v>22.84</v>
      </c>
      <c r="DB177" s="228">
        <v>23.93</v>
      </c>
      <c r="DC177" s="228">
        <v>-1.0900000000000001</v>
      </c>
      <c r="DD177" s="228">
        <v>-1.0900000000000001</v>
      </c>
      <c r="DE177" s="228">
        <v>29.31</v>
      </c>
      <c r="DF177" s="228">
        <v>29.3</v>
      </c>
      <c r="DG177" s="228">
        <v>-6.47</v>
      </c>
      <c r="DH177" s="228">
        <v>0.01</v>
      </c>
      <c r="DI177" s="228">
        <v>22.8</v>
      </c>
      <c r="DJ177" s="228">
        <v>25.19</v>
      </c>
      <c r="DK177" s="228">
        <v>-2.39</v>
      </c>
      <c r="DL177" s="228">
        <v>-2.39</v>
      </c>
      <c r="DM177" s="228">
        <v>22.94</v>
      </c>
      <c r="DN177" s="228">
        <v>22.53</v>
      </c>
      <c r="DO177" s="228">
        <v>0.41</v>
      </c>
      <c r="DP177" s="228">
        <v>0.41</v>
      </c>
      <c r="DQ177" s="228">
        <v>0.72</v>
      </c>
      <c r="DR177" s="228">
        <v>0.66</v>
      </c>
      <c r="DS177" s="228">
        <v>0.06</v>
      </c>
      <c r="DT177" s="229">
        <v>9.0899999999999995E-2</v>
      </c>
      <c r="DU177" s="228">
        <v>900</v>
      </c>
      <c r="DV177" s="228">
        <v>800</v>
      </c>
      <c r="DW177" s="228">
        <v>0.52</v>
      </c>
      <c r="DX177" s="228">
        <v>0.89</v>
      </c>
      <c r="DY177" s="228">
        <v>-0.37</v>
      </c>
      <c r="DZ177" s="229">
        <v>-0.41570000000000001</v>
      </c>
      <c r="EA177" s="229">
        <v>8.6699999999999999E-2</v>
      </c>
      <c r="EB177" s="230">
        <v>1412000</v>
      </c>
      <c r="EC177" s="229">
        <v>1.6999999999999999E-3</v>
      </c>
      <c r="ED177" s="229">
        <v>8.6699999999999999E-2</v>
      </c>
      <c r="EE177" s="228">
        <v>-1.29</v>
      </c>
      <c r="EF177" s="229">
        <v>-1.5E-3</v>
      </c>
      <c r="EG177" s="230">
        <v>390970</v>
      </c>
      <c r="EH177" s="230">
        <v>536389</v>
      </c>
      <c r="EI177" s="229">
        <v>-0.27110000000000001</v>
      </c>
      <c r="EJ177" s="229">
        <v>0.39419999999999999</v>
      </c>
      <c r="EK177" s="228">
        <v>863.92</v>
      </c>
      <c r="EL177" s="228">
        <v>429.58</v>
      </c>
      <c r="EM177" s="228">
        <v>247.59</v>
      </c>
      <c r="EN177" s="228">
        <v>28.08</v>
      </c>
      <c r="EO177" s="231">
        <v>1541.09</v>
      </c>
      <c r="EP177" s="231">
        <v>1391.32</v>
      </c>
      <c r="EQ177" s="228">
        <v>149.77000000000001</v>
      </c>
      <c r="ER177" s="229">
        <v>0.1076</v>
      </c>
      <c r="ES177" s="228">
        <v>538.45000000000005</v>
      </c>
      <c r="ET177" s="228">
        <v>353.36</v>
      </c>
      <c r="EU177" s="231">
        <v>1408.62</v>
      </c>
      <c r="EV177" s="231">
        <v>39583537</v>
      </c>
      <c r="EW177" s="231">
        <v>2300.44</v>
      </c>
      <c r="EX177" s="231">
        <v>2374.13</v>
      </c>
      <c r="EY177" s="228">
        <v>-73.69</v>
      </c>
      <c r="EZ177" s="229">
        <v>-3.1E-2</v>
      </c>
      <c r="FA177" s="229">
        <v>0.67500000000000004</v>
      </c>
      <c r="FB177" s="227" t="s">
        <v>556</v>
      </c>
      <c r="FC177">
        <f t="shared" si="3"/>
        <v>0</v>
      </c>
    </row>
    <row r="178" spans="1:159" ht="17.25" thickBot="1" x14ac:dyDescent="0.3">
      <c r="A178" s="226">
        <v>46009</v>
      </c>
      <c r="B178" s="227" t="s">
        <v>175</v>
      </c>
      <c r="C178" s="227" t="s">
        <v>462</v>
      </c>
      <c r="D178" s="228">
        <v>375</v>
      </c>
      <c r="E178" s="228">
        <v>12</v>
      </c>
      <c r="F178" s="231">
        <v>2018.5</v>
      </c>
      <c r="G178" s="231">
        <v>2016.3</v>
      </c>
      <c r="H178" s="228">
        <v>2.2000000000000002</v>
      </c>
      <c r="I178" s="229">
        <v>1.1000000000000001E-3</v>
      </c>
      <c r="J178" s="231">
        <v>2014.4</v>
      </c>
      <c r="K178" s="231">
        <v>2010.2</v>
      </c>
      <c r="L178" s="228">
        <v>4.2</v>
      </c>
      <c r="M178" s="229">
        <v>2.0999999999999999E-3</v>
      </c>
      <c r="N178" s="231">
        <v>2018.5</v>
      </c>
      <c r="O178" s="231">
        <v>2016.3</v>
      </c>
      <c r="P178" s="228">
        <v>2.2000000000000002</v>
      </c>
      <c r="Q178" s="229">
        <v>1.1000000000000001E-3</v>
      </c>
      <c r="R178" s="231">
        <v>2032.6</v>
      </c>
      <c r="S178" s="231">
        <v>2028.3</v>
      </c>
      <c r="T178" s="228">
        <v>4.3</v>
      </c>
      <c r="U178" s="229">
        <v>2.0999999999999999E-3</v>
      </c>
      <c r="V178" s="231">
        <v>2041.5</v>
      </c>
      <c r="W178" s="231">
        <v>2040.7</v>
      </c>
      <c r="X178" s="228">
        <v>0.8</v>
      </c>
      <c r="Y178" s="229">
        <v>4.0000000000000002E-4</v>
      </c>
      <c r="Z178" s="228">
        <v>4.0999999999999996</v>
      </c>
      <c r="AA178" s="228">
        <v>6.1</v>
      </c>
      <c r="AB178" s="228">
        <v>-2</v>
      </c>
      <c r="AC178" s="229">
        <v>2E-3</v>
      </c>
      <c r="AD178" s="228">
        <v>4.0999999999999996</v>
      </c>
      <c r="AE178" s="228">
        <v>6.1</v>
      </c>
      <c r="AF178" s="228">
        <v>-2</v>
      </c>
      <c r="AG178" s="229">
        <v>2E-3</v>
      </c>
      <c r="AH178" s="228">
        <v>18.2</v>
      </c>
      <c r="AI178" s="228">
        <v>18.100000000000001</v>
      </c>
      <c r="AJ178" s="228">
        <v>0.1</v>
      </c>
      <c r="AK178" s="229">
        <v>8.9999999999999993E-3</v>
      </c>
      <c r="AL178" s="228">
        <v>27.1</v>
      </c>
      <c r="AM178" s="228">
        <v>30.5</v>
      </c>
      <c r="AN178" s="228">
        <v>-3.4</v>
      </c>
      <c r="AO178" s="229">
        <v>1.35E-2</v>
      </c>
      <c r="AP178" s="231">
        <v>2016.78</v>
      </c>
      <c r="AQ178" s="231">
        <v>2029.95</v>
      </c>
      <c r="AR178" s="228">
        <v>0</v>
      </c>
      <c r="AS178" s="228">
        <v>178</v>
      </c>
      <c r="AT178" s="228">
        <v>308</v>
      </c>
      <c r="AU178" s="228">
        <v>-130</v>
      </c>
      <c r="AV178" s="229">
        <v>-0.42220000000000002</v>
      </c>
      <c r="AW178" s="228">
        <v>144</v>
      </c>
      <c r="AX178" s="228">
        <v>269</v>
      </c>
      <c r="AY178" s="228">
        <v>-125</v>
      </c>
      <c r="AZ178" s="229">
        <v>-0.46410000000000001</v>
      </c>
      <c r="BA178" s="228">
        <v>33</v>
      </c>
      <c r="BB178" s="228">
        <v>35</v>
      </c>
      <c r="BC178" s="228">
        <v>-2</v>
      </c>
      <c r="BD178" s="229">
        <v>-6.3200000000000006E-2</v>
      </c>
      <c r="BE178" s="228">
        <v>1</v>
      </c>
      <c r="BF178" s="228">
        <v>4</v>
      </c>
      <c r="BG178" s="228">
        <v>-3</v>
      </c>
      <c r="BH178" s="229">
        <v>-0.74</v>
      </c>
      <c r="BI178" s="228">
        <v>498</v>
      </c>
      <c r="BJ178" s="230">
        <v>1180</v>
      </c>
      <c r="BK178" s="228">
        <v>-681</v>
      </c>
      <c r="BL178" s="229">
        <v>-0.57750000000000001</v>
      </c>
      <c r="BM178" s="228">
        <v>228</v>
      </c>
      <c r="BN178" s="230">
        <v>1206</v>
      </c>
      <c r="BO178" s="228">
        <v>-978</v>
      </c>
      <c r="BP178" s="229">
        <v>-0.81110000000000004</v>
      </c>
      <c r="BQ178" s="228">
        <v>904</v>
      </c>
      <c r="BR178" s="230">
        <v>2694</v>
      </c>
      <c r="BS178" s="230">
        <v>-1790</v>
      </c>
      <c r="BT178" s="229">
        <v>-0.66439999999999999</v>
      </c>
      <c r="BU178" s="230">
        <v>413394</v>
      </c>
      <c r="BV178" s="230">
        <v>1004015</v>
      </c>
      <c r="BW178" s="230">
        <v>-590621</v>
      </c>
      <c r="BX178" s="229">
        <v>-0.58830000000000005</v>
      </c>
      <c r="BY178" s="230">
        <v>1589</v>
      </c>
      <c r="BZ178" s="230">
        <v>1596</v>
      </c>
      <c r="CA178" s="228">
        <v>-8</v>
      </c>
      <c r="CB178" s="229">
        <v>-4.8999999999999998E-3</v>
      </c>
      <c r="CC178" s="230">
        <v>1480</v>
      </c>
      <c r="CD178" s="230">
        <v>1510</v>
      </c>
      <c r="CE178" s="228">
        <v>-30</v>
      </c>
      <c r="CF178" s="229">
        <v>-1.9800000000000002E-2</v>
      </c>
      <c r="CG178" s="228">
        <v>95</v>
      </c>
      <c r="CH178" s="228">
        <v>73</v>
      </c>
      <c r="CI178" s="228">
        <v>22</v>
      </c>
      <c r="CJ178" s="229">
        <v>0.29559999999999997</v>
      </c>
      <c r="CK178" s="228">
        <v>14</v>
      </c>
      <c r="CL178" s="228">
        <v>13</v>
      </c>
      <c r="CM178" s="228">
        <v>0</v>
      </c>
      <c r="CN178" s="229">
        <v>1.6899999999999998E-2</v>
      </c>
      <c r="CO178" s="228">
        <v>902</v>
      </c>
      <c r="CP178" s="228">
        <v>890</v>
      </c>
      <c r="CQ178" s="228">
        <v>12</v>
      </c>
      <c r="CR178" s="229">
        <v>1.3100000000000001E-2</v>
      </c>
      <c r="CS178" s="228">
        <v>438</v>
      </c>
      <c r="CT178" s="228">
        <v>429</v>
      </c>
      <c r="CU178" s="228">
        <v>9</v>
      </c>
      <c r="CV178" s="229">
        <v>2.0799999999999999E-2</v>
      </c>
      <c r="CW178" s="230">
        <v>2929</v>
      </c>
      <c r="CX178" s="230">
        <v>2916</v>
      </c>
      <c r="CY178" s="228">
        <v>13</v>
      </c>
      <c r="CZ178" s="229">
        <v>4.4000000000000003E-3</v>
      </c>
      <c r="DA178" s="228">
        <v>14.96</v>
      </c>
      <c r="DB178" s="228">
        <v>15.66</v>
      </c>
      <c r="DC178" s="228">
        <v>-0.7</v>
      </c>
      <c r="DD178" s="228">
        <v>-0.7</v>
      </c>
      <c r="DE178" s="228">
        <v>24.32</v>
      </c>
      <c r="DF178" s="228">
        <v>24.38</v>
      </c>
      <c r="DG178" s="228">
        <v>-9.36</v>
      </c>
      <c r="DH178" s="228">
        <v>-0.06</v>
      </c>
      <c r="DI178" s="228">
        <v>14.78</v>
      </c>
      <c r="DJ178" s="228">
        <v>15.69</v>
      </c>
      <c r="DK178" s="228">
        <v>-0.91</v>
      </c>
      <c r="DL178" s="228">
        <v>-0.91</v>
      </c>
      <c r="DM178" s="228">
        <v>15.37</v>
      </c>
      <c r="DN178" s="228">
        <v>15.63</v>
      </c>
      <c r="DO178" s="228">
        <v>-0.26</v>
      </c>
      <c r="DP178" s="228">
        <v>-0.26</v>
      </c>
      <c r="DQ178" s="228">
        <v>0.49</v>
      </c>
      <c r="DR178" s="228">
        <v>0.48</v>
      </c>
      <c r="DS178" s="228">
        <v>0.01</v>
      </c>
      <c r="DT178" s="229">
        <v>2.0799999999999999E-2</v>
      </c>
      <c r="DU178" s="231">
        <v>2040</v>
      </c>
      <c r="DV178" s="231">
        <v>1900</v>
      </c>
      <c r="DW178" s="228">
        <v>0.46</v>
      </c>
      <c r="DX178" s="228">
        <v>1.02</v>
      </c>
      <c r="DY178" s="228">
        <v>-0.56000000000000005</v>
      </c>
      <c r="DZ178" s="229">
        <v>-0.54900000000000004</v>
      </c>
      <c r="EA178" s="229">
        <v>6.8500000000000005E-2</v>
      </c>
      <c r="EB178" s="230">
        <v>430500</v>
      </c>
      <c r="EC178" s="229">
        <v>7.0000000000000001E-3</v>
      </c>
      <c r="ED178" s="229">
        <v>6.8500000000000005E-2</v>
      </c>
      <c r="EE178" s="228">
        <v>13.17</v>
      </c>
      <c r="EF178" s="229">
        <v>6.4999999999999997E-3</v>
      </c>
      <c r="EG178" s="230">
        <v>232279</v>
      </c>
      <c r="EH178" s="230">
        <v>695607</v>
      </c>
      <c r="EI178" s="229">
        <v>-0.66610000000000003</v>
      </c>
      <c r="EJ178" s="229">
        <v>0.56189999999999996</v>
      </c>
      <c r="EK178" s="228">
        <v>509.97</v>
      </c>
      <c r="EL178" s="228">
        <v>225.37</v>
      </c>
      <c r="EM178" s="228">
        <v>177.8</v>
      </c>
      <c r="EN178" s="228">
        <v>29.04</v>
      </c>
      <c r="EO178" s="228">
        <v>913.14</v>
      </c>
      <c r="EP178" s="231">
        <v>2721.98</v>
      </c>
      <c r="EQ178" s="231">
        <v>-1808.84</v>
      </c>
      <c r="ER178" s="229">
        <v>-0.66449999999999998</v>
      </c>
      <c r="ES178" s="228">
        <v>928.63</v>
      </c>
      <c r="ET178" s="228">
        <v>420.74</v>
      </c>
      <c r="EU178" s="231">
        <v>1589.41</v>
      </c>
      <c r="EV178" s="231">
        <v>44735132</v>
      </c>
      <c r="EW178" s="231">
        <v>2938.78</v>
      </c>
      <c r="EX178" s="231">
        <v>2923.94</v>
      </c>
      <c r="EY178" s="228">
        <v>14.84</v>
      </c>
      <c r="EZ178" s="229">
        <v>5.1000000000000004E-3</v>
      </c>
      <c r="FA178" s="229">
        <v>0.32429999999999998</v>
      </c>
      <c r="FB178" s="227" t="s">
        <v>556</v>
      </c>
      <c r="FC178">
        <f t="shared" si="3"/>
        <v>0</v>
      </c>
    </row>
    <row r="179" spans="1:159" ht="17.25" thickBot="1" x14ac:dyDescent="0.3">
      <c r="A179" s="226">
        <v>46009</v>
      </c>
      <c r="B179" s="227" t="s">
        <v>172</v>
      </c>
      <c r="C179" s="227" t="s">
        <v>283</v>
      </c>
      <c r="D179" s="228">
        <v>750</v>
      </c>
      <c r="E179" s="228">
        <v>12</v>
      </c>
      <c r="F179" s="228">
        <v>977.85</v>
      </c>
      <c r="G179" s="228">
        <v>977.5</v>
      </c>
      <c r="H179" s="228">
        <v>0.35</v>
      </c>
      <c r="I179" s="229">
        <v>4.0000000000000002E-4</v>
      </c>
      <c r="J179" s="228">
        <v>977.55</v>
      </c>
      <c r="K179" s="228">
        <v>975.85</v>
      </c>
      <c r="L179" s="228">
        <v>1.7</v>
      </c>
      <c r="M179" s="229">
        <v>1.6999999999999999E-3</v>
      </c>
      <c r="N179" s="228">
        <v>977.85</v>
      </c>
      <c r="O179" s="228">
        <v>977.5</v>
      </c>
      <c r="P179" s="228">
        <v>0.35</v>
      </c>
      <c r="Q179" s="229">
        <v>4.0000000000000002E-4</v>
      </c>
      <c r="R179" s="228">
        <v>984.25</v>
      </c>
      <c r="S179" s="228">
        <v>983.55</v>
      </c>
      <c r="T179" s="228">
        <v>0.7</v>
      </c>
      <c r="U179" s="229">
        <v>6.9999999999999999E-4</v>
      </c>
      <c r="V179" s="228">
        <v>989.7</v>
      </c>
      <c r="W179" s="228">
        <v>988.95</v>
      </c>
      <c r="X179" s="228">
        <v>0.75</v>
      </c>
      <c r="Y179" s="229">
        <v>8.0000000000000004E-4</v>
      </c>
      <c r="Z179" s="228">
        <v>0.3</v>
      </c>
      <c r="AA179" s="228">
        <v>1.65</v>
      </c>
      <c r="AB179" s="228">
        <v>-1.35</v>
      </c>
      <c r="AC179" s="229">
        <v>2.9999999999999997E-4</v>
      </c>
      <c r="AD179" s="228">
        <v>0.3</v>
      </c>
      <c r="AE179" s="228">
        <v>1.65</v>
      </c>
      <c r="AF179" s="228">
        <v>-1.35</v>
      </c>
      <c r="AG179" s="229">
        <v>2.9999999999999997E-4</v>
      </c>
      <c r="AH179" s="228">
        <v>6.7</v>
      </c>
      <c r="AI179" s="228">
        <v>7.7</v>
      </c>
      <c r="AJ179" s="228">
        <v>-1</v>
      </c>
      <c r="AK179" s="229">
        <v>6.8999999999999999E-3</v>
      </c>
      <c r="AL179" s="228">
        <v>12.15</v>
      </c>
      <c r="AM179" s="228">
        <v>13.1</v>
      </c>
      <c r="AN179" s="228">
        <v>-0.95</v>
      </c>
      <c r="AO179" s="229">
        <v>1.24E-2</v>
      </c>
      <c r="AP179" s="228">
        <v>978.48</v>
      </c>
      <c r="AQ179" s="228">
        <v>984.61</v>
      </c>
      <c r="AR179" s="228">
        <v>0</v>
      </c>
      <c r="AS179" s="230">
        <v>1294</v>
      </c>
      <c r="AT179" s="230">
        <v>1762</v>
      </c>
      <c r="AU179" s="228">
        <v>-468</v>
      </c>
      <c r="AV179" s="229">
        <v>-0.26590000000000003</v>
      </c>
      <c r="AW179" s="228">
        <v>937</v>
      </c>
      <c r="AX179" s="230">
        <v>1403</v>
      </c>
      <c r="AY179" s="228">
        <v>-466</v>
      </c>
      <c r="AZ179" s="229">
        <v>-0.33210000000000001</v>
      </c>
      <c r="BA179" s="228">
        <v>348</v>
      </c>
      <c r="BB179" s="228">
        <v>341</v>
      </c>
      <c r="BC179" s="228">
        <v>7</v>
      </c>
      <c r="BD179" s="229">
        <v>2.1499999999999998E-2</v>
      </c>
      <c r="BE179" s="228">
        <v>8</v>
      </c>
      <c r="BF179" s="228">
        <v>18</v>
      </c>
      <c r="BG179" s="228">
        <v>-10</v>
      </c>
      <c r="BH179" s="229">
        <v>-0.54249999999999998</v>
      </c>
      <c r="BI179" s="230">
        <v>5739</v>
      </c>
      <c r="BJ179" s="230">
        <v>10197</v>
      </c>
      <c r="BK179" s="230">
        <v>-4457</v>
      </c>
      <c r="BL179" s="229">
        <v>-0.43719999999999998</v>
      </c>
      <c r="BM179" s="230">
        <v>3700</v>
      </c>
      <c r="BN179" s="230">
        <v>6008</v>
      </c>
      <c r="BO179" s="230">
        <v>-2308</v>
      </c>
      <c r="BP179" s="229">
        <v>-0.3841</v>
      </c>
      <c r="BQ179" s="230">
        <v>10733</v>
      </c>
      <c r="BR179" s="230">
        <v>17967</v>
      </c>
      <c r="BS179" s="230">
        <v>-7234</v>
      </c>
      <c r="BT179" s="229">
        <v>-0.40260000000000001</v>
      </c>
      <c r="BU179" s="230">
        <v>5521453</v>
      </c>
      <c r="BV179" s="230">
        <v>8583243</v>
      </c>
      <c r="BW179" s="230">
        <v>-3061790</v>
      </c>
      <c r="BX179" s="229">
        <v>-0.35670000000000002</v>
      </c>
      <c r="BY179" s="230">
        <v>7230</v>
      </c>
      <c r="BZ179" s="230">
        <v>7233</v>
      </c>
      <c r="CA179" s="228">
        <v>-3</v>
      </c>
      <c r="CB179" s="229">
        <v>-4.0000000000000002E-4</v>
      </c>
      <c r="CC179" s="230">
        <v>5606</v>
      </c>
      <c r="CD179" s="230">
        <v>5897</v>
      </c>
      <c r="CE179" s="228">
        <v>-291</v>
      </c>
      <c r="CF179" s="229">
        <v>-4.9399999999999999E-2</v>
      </c>
      <c r="CG179" s="230">
        <v>1540</v>
      </c>
      <c r="CH179" s="230">
        <v>1253</v>
      </c>
      <c r="CI179" s="228">
        <v>287</v>
      </c>
      <c r="CJ179" s="229">
        <v>0.2293</v>
      </c>
      <c r="CK179" s="228">
        <v>83</v>
      </c>
      <c r="CL179" s="228">
        <v>82</v>
      </c>
      <c r="CM179" s="228">
        <v>1</v>
      </c>
      <c r="CN179" s="229">
        <v>1.1599999999999999E-2</v>
      </c>
      <c r="CO179" s="230">
        <v>4608</v>
      </c>
      <c r="CP179" s="230">
        <v>4719</v>
      </c>
      <c r="CQ179" s="228">
        <v>-112</v>
      </c>
      <c r="CR179" s="229">
        <v>-2.3699999999999999E-2</v>
      </c>
      <c r="CS179" s="230">
        <v>3337</v>
      </c>
      <c r="CT179" s="230">
        <v>3328</v>
      </c>
      <c r="CU179" s="228">
        <v>9</v>
      </c>
      <c r="CV179" s="229">
        <v>2.8E-3</v>
      </c>
      <c r="CW179" s="230">
        <v>15175</v>
      </c>
      <c r="CX179" s="230">
        <v>15280</v>
      </c>
      <c r="CY179" s="228">
        <v>-105</v>
      </c>
      <c r="CZ179" s="229">
        <v>-6.8999999999999999E-3</v>
      </c>
      <c r="DA179" s="228">
        <v>15</v>
      </c>
      <c r="DB179" s="228">
        <v>15.72</v>
      </c>
      <c r="DC179" s="228">
        <v>-0.72</v>
      </c>
      <c r="DD179" s="228">
        <v>-0.72</v>
      </c>
      <c r="DE179" s="228">
        <v>24.76</v>
      </c>
      <c r="DF179" s="228">
        <v>24.82</v>
      </c>
      <c r="DG179" s="228">
        <v>-9.76</v>
      </c>
      <c r="DH179" s="228">
        <v>-0.06</v>
      </c>
      <c r="DI179" s="228">
        <v>14.97</v>
      </c>
      <c r="DJ179" s="228">
        <v>15.62</v>
      </c>
      <c r="DK179" s="228">
        <v>-0.65</v>
      </c>
      <c r="DL179" s="228">
        <v>-0.65</v>
      </c>
      <c r="DM179" s="228">
        <v>15.04</v>
      </c>
      <c r="DN179" s="228">
        <v>15.9</v>
      </c>
      <c r="DO179" s="228">
        <v>-0.86</v>
      </c>
      <c r="DP179" s="228">
        <v>-0.86</v>
      </c>
      <c r="DQ179" s="228">
        <v>0.72</v>
      </c>
      <c r="DR179" s="228">
        <v>0.71</v>
      </c>
      <c r="DS179" s="228">
        <v>0.01</v>
      </c>
      <c r="DT179" s="229">
        <v>1.41E-2</v>
      </c>
      <c r="DU179" s="231">
        <v>1000</v>
      </c>
      <c r="DV179" s="228">
        <v>950</v>
      </c>
      <c r="DW179" s="228">
        <v>0.64</v>
      </c>
      <c r="DX179" s="228">
        <v>0.59</v>
      </c>
      <c r="DY179" s="228">
        <v>0.05</v>
      </c>
      <c r="DZ179" s="229">
        <v>8.4699999999999998E-2</v>
      </c>
      <c r="EA179" s="229">
        <v>0.22459999999999999</v>
      </c>
      <c r="EB179" s="230">
        <v>13656000</v>
      </c>
      <c r="EC179" s="229">
        <v>6.4999999999999997E-3</v>
      </c>
      <c r="ED179" s="229">
        <v>0.22459999999999999</v>
      </c>
      <c r="EE179" s="228">
        <v>6.13</v>
      </c>
      <c r="EF179" s="229">
        <v>6.3E-3</v>
      </c>
      <c r="EG179" s="230">
        <v>3032822</v>
      </c>
      <c r="EH179" s="230">
        <v>4806961</v>
      </c>
      <c r="EI179" s="229">
        <v>-0.36909999999999998</v>
      </c>
      <c r="EJ179" s="229">
        <v>0.54930000000000001</v>
      </c>
      <c r="EK179" s="231">
        <v>5858.36</v>
      </c>
      <c r="EL179" s="231">
        <v>3675.62</v>
      </c>
      <c r="EM179" s="231">
        <v>1296.6600000000001</v>
      </c>
      <c r="EN179" s="228">
        <v>150.05000000000001</v>
      </c>
      <c r="EO179" s="231">
        <v>10830.64</v>
      </c>
      <c r="EP179" s="231">
        <v>18087.89</v>
      </c>
      <c r="EQ179" s="231">
        <v>-7257.25</v>
      </c>
      <c r="ER179" s="229">
        <v>-0.4012</v>
      </c>
      <c r="ES179" s="231">
        <v>4698.1099999999997</v>
      </c>
      <c r="ET179" s="231">
        <v>3235.48</v>
      </c>
      <c r="EU179" s="231">
        <v>7240.6</v>
      </c>
      <c r="EV179" s="231">
        <v>407307212</v>
      </c>
      <c r="EW179" s="231">
        <v>15174.2</v>
      </c>
      <c r="EX179" s="231">
        <v>15276.1</v>
      </c>
      <c r="EY179" s="228">
        <v>-101.9</v>
      </c>
      <c r="EZ179" s="229">
        <v>-6.7000000000000002E-3</v>
      </c>
      <c r="FA179" s="229">
        <v>0.38100000000000001</v>
      </c>
      <c r="FB179" s="227" t="s">
        <v>556</v>
      </c>
      <c r="FC179">
        <f t="shared" si="3"/>
        <v>0</v>
      </c>
    </row>
    <row r="180" spans="1:159" ht="17.25" thickBot="1" x14ac:dyDescent="0.3">
      <c r="A180" s="226">
        <v>46009</v>
      </c>
      <c r="B180" s="227" t="s">
        <v>157</v>
      </c>
      <c r="C180" s="227" t="s">
        <v>284</v>
      </c>
      <c r="D180" s="228">
        <v>25</v>
      </c>
      <c r="E180" s="228">
        <v>12</v>
      </c>
      <c r="F180" s="231">
        <v>25755</v>
      </c>
      <c r="G180" s="231">
        <v>26080</v>
      </c>
      <c r="H180" s="228">
        <v>-325</v>
      </c>
      <c r="I180" s="229">
        <v>-1.2500000000000001E-2</v>
      </c>
      <c r="J180" s="231">
        <v>25645</v>
      </c>
      <c r="K180" s="231">
        <v>26045</v>
      </c>
      <c r="L180" s="228">
        <v>-400</v>
      </c>
      <c r="M180" s="229">
        <v>-1.54E-2</v>
      </c>
      <c r="N180" s="231">
        <v>25755</v>
      </c>
      <c r="O180" s="231">
        <v>26080</v>
      </c>
      <c r="P180" s="228">
        <v>-325</v>
      </c>
      <c r="Q180" s="229">
        <v>-1.2500000000000001E-2</v>
      </c>
      <c r="R180" s="231">
        <v>25820</v>
      </c>
      <c r="S180" s="231">
        <v>26140</v>
      </c>
      <c r="T180" s="228">
        <v>-320</v>
      </c>
      <c r="U180" s="229">
        <v>-1.2200000000000001E-2</v>
      </c>
      <c r="V180" s="231">
        <v>25780</v>
      </c>
      <c r="W180" s="231">
        <v>26270</v>
      </c>
      <c r="X180" s="228">
        <v>-490</v>
      </c>
      <c r="Y180" s="229">
        <v>-1.8700000000000001E-2</v>
      </c>
      <c r="Z180" s="228">
        <v>110</v>
      </c>
      <c r="AA180" s="228">
        <v>35</v>
      </c>
      <c r="AB180" s="228">
        <v>75</v>
      </c>
      <c r="AC180" s="229">
        <v>4.3E-3</v>
      </c>
      <c r="AD180" s="228">
        <v>110</v>
      </c>
      <c r="AE180" s="228">
        <v>35</v>
      </c>
      <c r="AF180" s="228">
        <v>75</v>
      </c>
      <c r="AG180" s="229">
        <v>4.3E-3</v>
      </c>
      <c r="AH180" s="228">
        <v>175</v>
      </c>
      <c r="AI180" s="228">
        <v>95</v>
      </c>
      <c r="AJ180" s="228">
        <v>80</v>
      </c>
      <c r="AK180" s="229">
        <v>6.7999999999999996E-3</v>
      </c>
      <c r="AL180" s="228">
        <v>135</v>
      </c>
      <c r="AM180" s="228">
        <v>225</v>
      </c>
      <c r="AN180" s="228">
        <v>-90</v>
      </c>
      <c r="AO180" s="229">
        <v>5.3E-3</v>
      </c>
      <c r="AP180" s="231">
        <v>25848.65</v>
      </c>
      <c r="AQ180" s="231">
        <v>25952.41</v>
      </c>
      <c r="AR180" s="228">
        <v>0</v>
      </c>
      <c r="AS180" s="228">
        <v>163</v>
      </c>
      <c r="AT180" s="228">
        <v>97</v>
      </c>
      <c r="AU180" s="228">
        <v>67</v>
      </c>
      <c r="AV180" s="229">
        <v>0.68589999999999995</v>
      </c>
      <c r="AW180" s="228">
        <v>127</v>
      </c>
      <c r="AX180" s="228">
        <v>86</v>
      </c>
      <c r="AY180" s="228">
        <v>41</v>
      </c>
      <c r="AZ180" s="229">
        <v>0.47539999999999999</v>
      </c>
      <c r="BA180" s="228">
        <v>34</v>
      </c>
      <c r="BB180" s="228">
        <v>10</v>
      </c>
      <c r="BC180" s="228">
        <v>24</v>
      </c>
      <c r="BD180" s="229">
        <v>2.2839999999999998</v>
      </c>
      <c r="BE180" s="228">
        <v>2</v>
      </c>
      <c r="BF180" s="228">
        <v>0</v>
      </c>
      <c r="BG180" s="228">
        <v>2</v>
      </c>
      <c r="BH180" s="229">
        <v>12.5</v>
      </c>
      <c r="BI180" s="228">
        <v>336</v>
      </c>
      <c r="BJ180" s="228">
        <v>285</v>
      </c>
      <c r="BK180" s="228">
        <v>50</v>
      </c>
      <c r="BL180" s="229">
        <v>0.17660000000000001</v>
      </c>
      <c r="BM180" s="228">
        <v>89</v>
      </c>
      <c r="BN180" s="228">
        <v>53</v>
      </c>
      <c r="BO180" s="228">
        <v>36</v>
      </c>
      <c r="BP180" s="229">
        <v>0.68300000000000005</v>
      </c>
      <c r="BQ180" s="228">
        <v>588</v>
      </c>
      <c r="BR180" s="228">
        <v>435</v>
      </c>
      <c r="BS180" s="228">
        <v>153</v>
      </c>
      <c r="BT180" s="229">
        <v>0.35149999999999998</v>
      </c>
      <c r="BU180" s="230">
        <v>23740</v>
      </c>
      <c r="BV180" s="230">
        <v>64632</v>
      </c>
      <c r="BW180" s="230">
        <v>-40892</v>
      </c>
      <c r="BX180" s="229">
        <v>-0.63270000000000004</v>
      </c>
      <c r="BY180" s="228">
        <v>866</v>
      </c>
      <c r="BZ180" s="228">
        <v>839</v>
      </c>
      <c r="CA180" s="228">
        <v>27</v>
      </c>
      <c r="CB180" s="229">
        <v>3.2399999999999998E-2</v>
      </c>
      <c r="CC180" s="228">
        <v>766</v>
      </c>
      <c r="CD180" s="228">
        <v>751</v>
      </c>
      <c r="CE180" s="228">
        <v>15</v>
      </c>
      <c r="CF180" s="229">
        <v>1.9599999999999999E-2</v>
      </c>
      <c r="CG180" s="228">
        <v>96</v>
      </c>
      <c r="CH180" s="228">
        <v>83</v>
      </c>
      <c r="CI180" s="228">
        <v>13</v>
      </c>
      <c r="CJ180" s="229">
        <v>0.15609999999999999</v>
      </c>
      <c r="CK180" s="228">
        <v>4</v>
      </c>
      <c r="CL180" s="228">
        <v>5</v>
      </c>
      <c r="CM180" s="228">
        <v>-1</v>
      </c>
      <c r="CN180" s="229">
        <v>-0.1053</v>
      </c>
      <c r="CO180" s="228">
        <v>390</v>
      </c>
      <c r="CP180" s="228">
        <v>357</v>
      </c>
      <c r="CQ180" s="228">
        <v>33</v>
      </c>
      <c r="CR180" s="229">
        <v>9.1999999999999998E-2</v>
      </c>
      <c r="CS180" s="228">
        <v>156</v>
      </c>
      <c r="CT180" s="228">
        <v>157</v>
      </c>
      <c r="CU180" s="228">
        <v>-1</v>
      </c>
      <c r="CV180" s="229">
        <v>-4.4999999999999997E-3</v>
      </c>
      <c r="CW180" s="230">
        <v>1412</v>
      </c>
      <c r="CX180" s="230">
        <v>1353</v>
      </c>
      <c r="CY180" s="228">
        <v>59</v>
      </c>
      <c r="CZ180" s="229">
        <v>4.3799999999999999E-2</v>
      </c>
      <c r="DA180" s="228">
        <v>21.66</v>
      </c>
      <c r="DB180" s="228">
        <v>22.49</v>
      </c>
      <c r="DC180" s="228">
        <v>-0.83</v>
      </c>
      <c r="DD180" s="228">
        <v>-0.83</v>
      </c>
      <c r="DE180" s="228">
        <v>24.74</v>
      </c>
      <c r="DF180" s="228">
        <v>24.75</v>
      </c>
      <c r="DG180" s="228">
        <v>-3.08</v>
      </c>
      <c r="DH180" s="228">
        <v>-0.01</v>
      </c>
      <c r="DI180" s="228">
        <v>22.09</v>
      </c>
      <c r="DJ180" s="228">
        <v>22.81</v>
      </c>
      <c r="DK180" s="228">
        <v>-0.72</v>
      </c>
      <c r="DL180" s="228">
        <v>-0.72</v>
      </c>
      <c r="DM180" s="228">
        <v>20</v>
      </c>
      <c r="DN180" s="228">
        <v>20.76</v>
      </c>
      <c r="DO180" s="228">
        <v>-0.76</v>
      </c>
      <c r="DP180" s="228">
        <v>-0.76</v>
      </c>
      <c r="DQ180" s="228">
        <v>0.4</v>
      </c>
      <c r="DR180" s="228">
        <v>0.44</v>
      </c>
      <c r="DS180" s="228">
        <v>-0.04</v>
      </c>
      <c r="DT180" s="229">
        <v>-9.0899999999999995E-2</v>
      </c>
      <c r="DU180" s="231">
        <v>27000</v>
      </c>
      <c r="DV180" s="231">
        <v>25000</v>
      </c>
      <c r="DW180" s="228">
        <v>0.26</v>
      </c>
      <c r="DX180" s="228">
        <v>0.18</v>
      </c>
      <c r="DY180" s="228">
        <v>0.08</v>
      </c>
      <c r="DZ180" s="229">
        <v>0.44440000000000002</v>
      </c>
      <c r="EA180" s="229">
        <v>0.1158</v>
      </c>
      <c r="EB180" s="230">
        <v>34100</v>
      </c>
      <c r="EC180" s="229">
        <v>2.5000000000000001E-3</v>
      </c>
      <c r="ED180" s="229">
        <v>0.1158</v>
      </c>
      <c r="EE180" s="228">
        <v>103.76</v>
      </c>
      <c r="EF180" s="229">
        <v>4.0000000000000001E-3</v>
      </c>
      <c r="EG180" s="230">
        <v>16570</v>
      </c>
      <c r="EH180" s="230">
        <v>54319</v>
      </c>
      <c r="EI180" s="229">
        <v>-0.69499999999999995</v>
      </c>
      <c r="EJ180" s="229">
        <v>0.69799999999999995</v>
      </c>
      <c r="EK180" s="228">
        <v>356.44</v>
      </c>
      <c r="EL180" s="228">
        <v>87.86</v>
      </c>
      <c r="EM180" s="228">
        <v>164.21</v>
      </c>
      <c r="EN180" s="228">
        <v>19.09</v>
      </c>
      <c r="EO180" s="228">
        <v>608.51</v>
      </c>
      <c r="EP180" s="228">
        <v>456.95</v>
      </c>
      <c r="EQ180" s="228">
        <v>151.56</v>
      </c>
      <c r="ER180" s="229">
        <v>0.33169999999999999</v>
      </c>
      <c r="ES180" s="228">
        <v>414.02</v>
      </c>
      <c r="ET180" s="228">
        <v>156.52000000000001</v>
      </c>
      <c r="EU180" s="228">
        <v>866.06</v>
      </c>
      <c r="EV180" s="231">
        <v>1548028</v>
      </c>
      <c r="EW180" s="231">
        <v>1436.61</v>
      </c>
      <c r="EX180" s="231">
        <v>1387.78</v>
      </c>
      <c r="EY180" s="228">
        <v>48.83</v>
      </c>
      <c r="EZ180" s="229">
        <v>3.5200000000000002E-2</v>
      </c>
      <c r="FA180" s="229">
        <v>0.35410000000000003</v>
      </c>
      <c r="FB180" s="227" t="s">
        <v>567</v>
      </c>
      <c r="FC180">
        <f t="shared" si="3"/>
        <v>0</v>
      </c>
    </row>
    <row r="181" spans="1:159" ht="17.25" thickBot="1" x14ac:dyDescent="0.3">
      <c r="A181" s="226">
        <v>46009</v>
      </c>
      <c r="B181" s="227" t="s">
        <v>175</v>
      </c>
      <c r="C181" s="227" t="s">
        <v>562</v>
      </c>
      <c r="D181" s="228">
        <v>825</v>
      </c>
      <c r="E181" s="228">
        <v>12</v>
      </c>
      <c r="F181" s="228">
        <v>869.55</v>
      </c>
      <c r="G181" s="228">
        <v>867.95</v>
      </c>
      <c r="H181" s="228">
        <v>1.6</v>
      </c>
      <c r="I181" s="229">
        <v>1.8E-3</v>
      </c>
      <c r="J181" s="228">
        <v>869.45</v>
      </c>
      <c r="K181" s="228">
        <v>864.2</v>
      </c>
      <c r="L181" s="228">
        <v>5.25</v>
      </c>
      <c r="M181" s="229">
        <v>6.1000000000000004E-3</v>
      </c>
      <c r="N181" s="228">
        <v>869.55</v>
      </c>
      <c r="O181" s="228">
        <v>867.95</v>
      </c>
      <c r="P181" s="228">
        <v>1.6</v>
      </c>
      <c r="Q181" s="229">
        <v>1.8E-3</v>
      </c>
      <c r="R181" s="228">
        <v>875</v>
      </c>
      <c r="S181" s="228">
        <v>872.95</v>
      </c>
      <c r="T181" s="228">
        <v>2.0499999999999998</v>
      </c>
      <c r="U181" s="229">
        <v>2.3E-3</v>
      </c>
      <c r="V181" s="228">
        <v>874.8</v>
      </c>
      <c r="W181" s="228">
        <v>874.05</v>
      </c>
      <c r="X181" s="228">
        <v>0.75</v>
      </c>
      <c r="Y181" s="229">
        <v>8.9999999999999998E-4</v>
      </c>
      <c r="Z181" s="228">
        <v>0.1</v>
      </c>
      <c r="AA181" s="228">
        <v>3.75</v>
      </c>
      <c r="AB181" s="228">
        <v>-3.65</v>
      </c>
      <c r="AC181" s="229">
        <v>1E-4</v>
      </c>
      <c r="AD181" s="228">
        <v>0.1</v>
      </c>
      <c r="AE181" s="228">
        <v>3.75</v>
      </c>
      <c r="AF181" s="228">
        <v>-3.65</v>
      </c>
      <c r="AG181" s="229">
        <v>1E-4</v>
      </c>
      <c r="AH181" s="228">
        <v>5.55</v>
      </c>
      <c r="AI181" s="228">
        <v>8.75</v>
      </c>
      <c r="AJ181" s="228">
        <v>-3.2</v>
      </c>
      <c r="AK181" s="229">
        <v>6.4000000000000003E-3</v>
      </c>
      <c r="AL181" s="228">
        <v>5.35</v>
      </c>
      <c r="AM181" s="228">
        <v>9.85</v>
      </c>
      <c r="AN181" s="228">
        <v>-4.5</v>
      </c>
      <c r="AO181" s="229">
        <v>6.1999999999999998E-3</v>
      </c>
      <c r="AP181" s="228">
        <v>871.32</v>
      </c>
      <c r="AQ181" s="228">
        <v>876.29</v>
      </c>
      <c r="AR181" s="228">
        <v>0</v>
      </c>
      <c r="AS181" s="230">
        <v>1282</v>
      </c>
      <c r="AT181" s="230">
        <v>1316</v>
      </c>
      <c r="AU181" s="228">
        <v>-35</v>
      </c>
      <c r="AV181" s="229">
        <v>-2.6499999999999999E-2</v>
      </c>
      <c r="AW181" s="230">
        <v>1119</v>
      </c>
      <c r="AX181" s="230">
        <v>1082</v>
      </c>
      <c r="AY181" s="228">
        <v>37</v>
      </c>
      <c r="AZ181" s="229">
        <v>3.4599999999999999E-2</v>
      </c>
      <c r="BA181" s="228">
        <v>153</v>
      </c>
      <c r="BB181" s="228">
        <v>224</v>
      </c>
      <c r="BC181" s="228">
        <v>-71</v>
      </c>
      <c r="BD181" s="229">
        <v>-0.3155</v>
      </c>
      <c r="BE181" s="228">
        <v>9</v>
      </c>
      <c r="BF181" s="228">
        <v>11</v>
      </c>
      <c r="BG181" s="228">
        <v>-2</v>
      </c>
      <c r="BH181" s="229">
        <v>-0.14940000000000001</v>
      </c>
      <c r="BI181" s="230">
        <v>3442</v>
      </c>
      <c r="BJ181" s="230">
        <v>6768</v>
      </c>
      <c r="BK181" s="230">
        <v>-3326</v>
      </c>
      <c r="BL181" s="229">
        <v>-0.49149999999999999</v>
      </c>
      <c r="BM181" s="230">
        <v>1927</v>
      </c>
      <c r="BN181" s="230">
        <v>2371</v>
      </c>
      <c r="BO181" s="228">
        <v>-443</v>
      </c>
      <c r="BP181" s="229">
        <v>-0.187</v>
      </c>
      <c r="BQ181" s="230">
        <v>6651</v>
      </c>
      <c r="BR181" s="230">
        <v>10455</v>
      </c>
      <c r="BS181" s="230">
        <v>-3804</v>
      </c>
      <c r="BT181" s="229">
        <v>-0.3639</v>
      </c>
      <c r="BU181" s="230">
        <v>13354050</v>
      </c>
      <c r="BV181" s="230">
        <v>12360141</v>
      </c>
      <c r="BW181" s="230">
        <v>993909</v>
      </c>
      <c r="BX181" s="229">
        <v>8.0399999999999999E-2</v>
      </c>
      <c r="BY181" s="230">
        <v>5573</v>
      </c>
      <c r="BZ181" s="230">
        <v>5890</v>
      </c>
      <c r="CA181" s="228">
        <v>-317</v>
      </c>
      <c r="CB181" s="229">
        <v>-5.3800000000000001E-2</v>
      </c>
      <c r="CC181" s="230">
        <v>5199</v>
      </c>
      <c r="CD181" s="230">
        <v>5551</v>
      </c>
      <c r="CE181" s="228">
        <v>-352</v>
      </c>
      <c r="CF181" s="229">
        <v>-6.3399999999999998E-2</v>
      </c>
      <c r="CG181" s="228">
        <v>349</v>
      </c>
      <c r="CH181" s="228">
        <v>316</v>
      </c>
      <c r="CI181" s="228">
        <v>33</v>
      </c>
      <c r="CJ181" s="229">
        <v>0.1053</v>
      </c>
      <c r="CK181" s="228">
        <v>24</v>
      </c>
      <c r="CL181" s="228">
        <v>23</v>
      </c>
      <c r="CM181" s="228">
        <v>1</v>
      </c>
      <c r="CN181" s="229">
        <v>5.28E-2</v>
      </c>
      <c r="CO181" s="230">
        <v>1850</v>
      </c>
      <c r="CP181" s="230">
        <v>1950</v>
      </c>
      <c r="CQ181" s="228">
        <v>-99</v>
      </c>
      <c r="CR181" s="229">
        <v>-5.0900000000000001E-2</v>
      </c>
      <c r="CS181" s="230">
        <v>1232</v>
      </c>
      <c r="CT181" s="230">
        <v>1113</v>
      </c>
      <c r="CU181" s="228">
        <v>119</v>
      </c>
      <c r="CV181" s="229">
        <v>0.1069</v>
      </c>
      <c r="CW181" s="230">
        <v>8655</v>
      </c>
      <c r="CX181" s="230">
        <v>8952</v>
      </c>
      <c r="CY181" s="228">
        <v>-297</v>
      </c>
      <c r="CZ181" s="229">
        <v>-3.32E-2</v>
      </c>
      <c r="DA181" s="228">
        <v>33.86</v>
      </c>
      <c r="DB181" s="228">
        <v>33.799999999999997</v>
      </c>
      <c r="DC181" s="228">
        <v>0.06</v>
      </c>
      <c r="DD181" s="228">
        <v>0.06</v>
      </c>
      <c r="DE181" s="228">
        <v>39.04</v>
      </c>
      <c r="DF181" s="228">
        <v>39.130000000000003</v>
      </c>
      <c r="DG181" s="228">
        <v>-5.18</v>
      </c>
      <c r="DH181" s="228">
        <v>-0.09</v>
      </c>
      <c r="DI181" s="228">
        <v>33.659999999999997</v>
      </c>
      <c r="DJ181" s="228">
        <v>33.93</v>
      </c>
      <c r="DK181" s="228">
        <v>-0.27</v>
      </c>
      <c r="DL181" s="228">
        <v>-0.27</v>
      </c>
      <c r="DM181" s="228">
        <v>34.24</v>
      </c>
      <c r="DN181" s="228">
        <v>33.450000000000003</v>
      </c>
      <c r="DO181" s="228">
        <v>0.79</v>
      </c>
      <c r="DP181" s="228">
        <v>0.79</v>
      </c>
      <c r="DQ181" s="228">
        <v>0.67</v>
      </c>
      <c r="DR181" s="228">
        <v>0.56999999999999995</v>
      </c>
      <c r="DS181" s="228">
        <v>0.1</v>
      </c>
      <c r="DT181" s="229">
        <v>0.1754</v>
      </c>
      <c r="DU181" s="228">
        <v>880</v>
      </c>
      <c r="DV181" s="228">
        <v>850</v>
      </c>
      <c r="DW181" s="228">
        <v>0.56000000000000005</v>
      </c>
      <c r="DX181" s="228">
        <v>0.35</v>
      </c>
      <c r="DY181" s="228">
        <v>0.21</v>
      </c>
      <c r="DZ181" s="229">
        <v>0.6</v>
      </c>
      <c r="EA181" s="229">
        <v>6.7100000000000007E-2</v>
      </c>
      <c r="EB181" s="230">
        <v>3900600</v>
      </c>
      <c r="EC181" s="229">
        <v>6.3E-3</v>
      </c>
      <c r="ED181" s="229">
        <v>6.7100000000000007E-2</v>
      </c>
      <c r="EE181" s="228">
        <v>4.97</v>
      </c>
      <c r="EF181" s="229">
        <v>5.7000000000000002E-3</v>
      </c>
      <c r="EG181" s="230">
        <v>9299398</v>
      </c>
      <c r="EH181" s="230">
        <v>6903921</v>
      </c>
      <c r="EI181" s="229">
        <v>0.34699999999999998</v>
      </c>
      <c r="EJ181" s="229">
        <v>0.69640000000000002</v>
      </c>
      <c r="EK181" s="231">
        <v>3586.97</v>
      </c>
      <c r="EL181" s="231">
        <v>1892.25</v>
      </c>
      <c r="EM181" s="231">
        <v>1285.06</v>
      </c>
      <c r="EN181" s="228">
        <v>114.44</v>
      </c>
      <c r="EO181" s="231">
        <v>6764.27</v>
      </c>
      <c r="EP181" s="231">
        <v>10662.94</v>
      </c>
      <c r="EQ181" s="231">
        <v>-3898.67</v>
      </c>
      <c r="ER181" s="229">
        <v>-0.36559999999999998</v>
      </c>
      <c r="ES181" s="231">
        <v>1891.05</v>
      </c>
      <c r="ET181" s="231">
        <v>1166.6099999999999</v>
      </c>
      <c r="EU181" s="231">
        <v>5575.08</v>
      </c>
      <c r="EV181" s="231">
        <v>210459276</v>
      </c>
      <c r="EW181" s="231">
        <v>8632.74</v>
      </c>
      <c r="EX181" s="231">
        <v>8922.83</v>
      </c>
      <c r="EY181" s="228">
        <v>-290.08999999999997</v>
      </c>
      <c r="EZ181" s="229">
        <v>-3.2500000000000001E-2</v>
      </c>
      <c r="FA181" s="229">
        <v>0.47289999999999999</v>
      </c>
      <c r="FB181" s="227" t="s">
        <v>556</v>
      </c>
      <c r="FC181">
        <f t="shared" si="3"/>
        <v>0</v>
      </c>
    </row>
    <row r="182" spans="1:159" ht="17.25" thickBot="1" x14ac:dyDescent="0.3">
      <c r="A182" s="226">
        <v>46009</v>
      </c>
      <c r="B182" s="227" t="s">
        <v>184</v>
      </c>
      <c r="C182" s="227" t="s">
        <v>285</v>
      </c>
      <c r="D182" s="228">
        <v>125</v>
      </c>
      <c r="E182" s="228">
        <v>12</v>
      </c>
      <c r="F182" s="231">
        <v>3080.4</v>
      </c>
      <c r="G182" s="231">
        <v>3152.3</v>
      </c>
      <c r="H182" s="228">
        <v>-71.900000000000006</v>
      </c>
      <c r="I182" s="229">
        <v>-2.2800000000000001E-2</v>
      </c>
      <c r="J182" s="231">
        <v>3074</v>
      </c>
      <c r="K182" s="231">
        <v>3140.1</v>
      </c>
      <c r="L182" s="228">
        <v>-66.099999999999994</v>
      </c>
      <c r="M182" s="229">
        <v>-2.1100000000000001E-2</v>
      </c>
      <c r="N182" s="231">
        <v>3080.4</v>
      </c>
      <c r="O182" s="231">
        <v>3152.3</v>
      </c>
      <c r="P182" s="228">
        <v>-71.900000000000006</v>
      </c>
      <c r="Q182" s="229">
        <v>-2.2800000000000001E-2</v>
      </c>
      <c r="R182" s="231">
        <v>3097</v>
      </c>
      <c r="S182" s="231">
        <v>3163.3</v>
      </c>
      <c r="T182" s="228">
        <v>-66.3</v>
      </c>
      <c r="U182" s="229">
        <v>-2.1000000000000001E-2</v>
      </c>
      <c r="V182" s="231">
        <v>3097.7</v>
      </c>
      <c r="W182" s="231">
        <v>3183</v>
      </c>
      <c r="X182" s="228">
        <v>-85.3</v>
      </c>
      <c r="Y182" s="229">
        <v>-2.6800000000000001E-2</v>
      </c>
      <c r="Z182" s="228">
        <v>6.4</v>
      </c>
      <c r="AA182" s="228">
        <v>12.2</v>
      </c>
      <c r="AB182" s="228">
        <v>-5.8</v>
      </c>
      <c r="AC182" s="229">
        <v>2.0999999999999999E-3</v>
      </c>
      <c r="AD182" s="228">
        <v>6.4</v>
      </c>
      <c r="AE182" s="228">
        <v>12.2</v>
      </c>
      <c r="AF182" s="228">
        <v>-5.8</v>
      </c>
      <c r="AG182" s="229">
        <v>2.0999999999999999E-3</v>
      </c>
      <c r="AH182" s="228">
        <v>23</v>
      </c>
      <c r="AI182" s="228">
        <v>23.2</v>
      </c>
      <c r="AJ182" s="228">
        <v>-0.2</v>
      </c>
      <c r="AK182" s="229">
        <v>7.4999999999999997E-3</v>
      </c>
      <c r="AL182" s="228">
        <v>23.7</v>
      </c>
      <c r="AM182" s="228">
        <v>42.9</v>
      </c>
      <c r="AN182" s="228">
        <v>-19.2</v>
      </c>
      <c r="AO182" s="229">
        <v>7.7000000000000002E-3</v>
      </c>
      <c r="AP182" s="231">
        <v>3088.66</v>
      </c>
      <c r="AQ182" s="231">
        <v>3102.09</v>
      </c>
      <c r="AR182" s="228">
        <v>0</v>
      </c>
      <c r="AS182" s="228">
        <v>185</v>
      </c>
      <c r="AT182" s="228">
        <v>95</v>
      </c>
      <c r="AU182" s="228">
        <v>90</v>
      </c>
      <c r="AV182" s="229">
        <v>0.94310000000000005</v>
      </c>
      <c r="AW182" s="228">
        <v>154</v>
      </c>
      <c r="AX182" s="228">
        <v>89</v>
      </c>
      <c r="AY182" s="228">
        <v>65</v>
      </c>
      <c r="AZ182" s="229">
        <v>0.72489999999999999</v>
      </c>
      <c r="BA182" s="228">
        <v>31</v>
      </c>
      <c r="BB182" s="228">
        <v>6</v>
      </c>
      <c r="BC182" s="228">
        <v>24</v>
      </c>
      <c r="BD182" s="229">
        <v>3.9018000000000002</v>
      </c>
      <c r="BE182" s="228">
        <v>1</v>
      </c>
      <c r="BF182" s="228">
        <v>0</v>
      </c>
      <c r="BG182" s="228">
        <v>1</v>
      </c>
      <c r="BH182" s="229">
        <v>12</v>
      </c>
      <c r="BI182" s="230">
        <v>1278</v>
      </c>
      <c r="BJ182" s="228">
        <v>448</v>
      </c>
      <c r="BK182" s="228">
        <v>830</v>
      </c>
      <c r="BL182" s="229">
        <v>1.8525</v>
      </c>
      <c r="BM182" s="228">
        <v>754</v>
      </c>
      <c r="BN182" s="228">
        <v>180</v>
      </c>
      <c r="BO182" s="228">
        <v>574</v>
      </c>
      <c r="BP182" s="229">
        <v>3.1819000000000002</v>
      </c>
      <c r="BQ182" s="230">
        <v>2218</v>
      </c>
      <c r="BR182" s="228">
        <v>724</v>
      </c>
      <c r="BS182" s="230">
        <v>1494</v>
      </c>
      <c r="BT182" s="229">
        <v>2.0638999999999998</v>
      </c>
      <c r="BU182" s="230">
        <v>517078</v>
      </c>
      <c r="BV182" s="230">
        <v>298668</v>
      </c>
      <c r="BW182" s="230">
        <v>218410</v>
      </c>
      <c r="BX182" s="229">
        <v>0.73129999999999995</v>
      </c>
      <c r="BY182" s="228">
        <v>938</v>
      </c>
      <c r="BZ182" s="228">
        <v>943</v>
      </c>
      <c r="CA182" s="228">
        <v>-5</v>
      </c>
      <c r="CB182" s="229">
        <v>-4.8999999999999998E-3</v>
      </c>
      <c r="CC182" s="228">
        <v>828</v>
      </c>
      <c r="CD182" s="228">
        <v>836</v>
      </c>
      <c r="CE182" s="228">
        <v>-8</v>
      </c>
      <c r="CF182" s="229">
        <v>-9.9000000000000008E-3</v>
      </c>
      <c r="CG182" s="228">
        <v>105</v>
      </c>
      <c r="CH182" s="228">
        <v>102</v>
      </c>
      <c r="CI182" s="228">
        <v>3</v>
      </c>
      <c r="CJ182" s="229">
        <v>2.58E-2</v>
      </c>
      <c r="CK182" s="228">
        <v>5</v>
      </c>
      <c r="CL182" s="228">
        <v>4</v>
      </c>
      <c r="CM182" s="228">
        <v>1</v>
      </c>
      <c r="CN182" s="229">
        <v>0.24679999999999999</v>
      </c>
      <c r="CO182" s="228">
        <v>787</v>
      </c>
      <c r="CP182" s="228">
        <v>708</v>
      </c>
      <c r="CQ182" s="228">
        <v>79</v>
      </c>
      <c r="CR182" s="229">
        <v>0.1119</v>
      </c>
      <c r="CS182" s="228">
        <v>361</v>
      </c>
      <c r="CT182" s="228">
        <v>371</v>
      </c>
      <c r="CU182" s="228">
        <v>-10</v>
      </c>
      <c r="CV182" s="229">
        <v>-2.6100000000000002E-2</v>
      </c>
      <c r="CW182" s="230">
        <v>2087</v>
      </c>
      <c r="CX182" s="230">
        <v>2022</v>
      </c>
      <c r="CY182" s="228">
        <v>65</v>
      </c>
      <c r="CZ182" s="229">
        <v>3.2099999999999997E-2</v>
      </c>
      <c r="DA182" s="228">
        <v>26.02</v>
      </c>
      <c r="DB182" s="228">
        <v>26.01</v>
      </c>
      <c r="DC182" s="228">
        <v>0.01</v>
      </c>
      <c r="DD182" s="228">
        <v>0.01</v>
      </c>
      <c r="DE182" s="228">
        <v>37.81</v>
      </c>
      <c r="DF182" s="228">
        <v>37.799999999999997</v>
      </c>
      <c r="DG182" s="228">
        <v>-11.79</v>
      </c>
      <c r="DH182" s="228">
        <v>0.01</v>
      </c>
      <c r="DI182" s="228">
        <v>26.58</v>
      </c>
      <c r="DJ182" s="228">
        <v>26.32</v>
      </c>
      <c r="DK182" s="228">
        <v>0.26</v>
      </c>
      <c r="DL182" s="228">
        <v>0.26</v>
      </c>
      <c r="DM182" s="228">
        <v>25.08</v>
      </c>
      <c r="DN182" s="228">
        <v>25.26</v>
      </c>
      <c r="DO182" s="228">
        <v>-0.18</v>
      </c>
      <c r="DP182" s="228">
        <v>-0.18</v>
      </c>
      <c r="DQ182" s="228">
        <v>0.46</v>
      </c>
      <c r="DR182" s="228">
        <v>0.52</v>
      </c>
      <c r="DS182" s="228">
        <v>-0.06</v>
      </c>
      <c r="DT182" s="229">
        <v>-0.1154</v>
      </c>
      <c r="DU182" s="231">
        <v>3300</v>
      </c>
      <c r="DV182" s="231">
        <v>3000</v>
      </c>
      <c r="DW182" s="228">
        <v>0.59</v>
      </c>
      <c r="DX182" s="228">
        <v>0.4</v>
      </c>
      <c r="DY182" s="228">
        <v>0.19</v>
      </c>
      <c r="DZ182" s="229">
        <v>0.47499999999999998</v>
      </c>
      <c r="EA182" s="229">
        <v>0.11749999999999999</v>
      </c>
      <c r="EB182" s="230">
        <v>345800</v>
      </c>
      <c r="EC182" s="229">
        <v>5.4000000000000003E-3</v>
      </c>
      <c r="ED182" s="229">
        <v>0.11749999999999999</v>
      </c>
      <c r="EE182" s="228">
        <v>13.43</v>
      </c>
      <c r="EF182" s="229">
        <v>4.3E-3</v>
      </c>
      <c r="EG182" s="230">
        <v>296117</v>
      </c>
      <c r="EH182" s="230">
        <v>186621</v>
      </c>
      <c r="EI182" s="229">
        <v>0.5867</v>
      </c>
      <c r="EJ182" s="229">
        <v>0.57269999999999999</v>
      </c>
      <c r="EK182" s="231">
        <v>1356.3</v>
      </c>
      <c r="EL182" s="228">
        <v>754.56</v>
      </c>
      <c r="EM182" s="228">
        <v>198.76</v>
      </c>
      <c r="EN182" s="228">
        <v>77.37</v>
      </c>
      <c r="EO182" s="231">
        <v>2309.61</v>
      </c>
      <c r="EP182" s="228">
        <v>764.53</v>
      </c>
      <c r="EQ182" s="231">
        <v>1545.09</v>
      </c>
      <c r="ER182" s="229">
        <v>2.0209999999999999</v>
      </c>
      <c r="ES182" s="228">
        <v>847.3</v>
      </c>
      <c r="ET182" s="228">
        <v>356.98</v>
      </c>
      <c r="EU182" s="228">
        <v>938.56</v>
      </c>
      <c r="EV182" s="231">
        <v>13354588</v>
      </c>
      <c r="EW182" s="231">
        <v>2142.84</v>
      </c>
      <c r="EX182" s="231">
        <v>2099.17</v>
      </c>
      <c r="EY182" s="228">
        <v>43.67</v>
      </c>
      <c r="EZ182" s="229">
        <v>2.0799999999999999E-2</v>
      </c>
      <c r="FA182" s="229">
        <v>0.50719999999999998</v>
      </c>
      <c r="FB182" s="227" t="s">
        <v>568</v>
      </c>
      <c r="FC182">
        <f t="shared" si="3"/>
        <v>0</v>
      </c>
    </row>
    <row r="183" spans="1:159" ht="17.25" thickBot="1" x14ac:dyDescent="0.3">
      <c r="A183" s="226">
        <v>46009</v>
      </c>
      <c r="B183" s="227" t="s">
        <v>498</v>
      </c>
      <c r="C183" s="227" t="s">
        <v>646</v>
      </c>
      <c r="D183" s="228">
        <v>75</v>
      </c>
      <c r="E183" s="228">
        <v>12</v>
      </c>
      <c r="F183" s="231">
        <v>11802</v>
      </c>
      <c r="G183" s="231">
        <v>11824</v>
      </c>
      <c r="H183" s="228">
        <v>-22</v>
      </c>
      <c r="I183" s="229">
        <v>-1.9E-3</v>
      </c>
      <c r="J183" s="231">
        <v>11772</v>
      </c>
      <c r="K183" s="231">
        <v>11815</v>
      </c>
      <c r="L183" s="228">
        <v>-43</v>
      </c>
      <c r="M183" s="229">
        <v>-3.5999999999999999E-3</v>
      </c>
      <c r="N183" s="231">
        <v>11802</v>
      </c>
      <c r="O183" s="231">
        <v>11824</v>
      </c>
      <c r="P183" s="228">
        <v>-22</v>
      </c>
      <c r="Q183" s="229">
        <v>-1.9E-3</v>
      </c>
      <c r="R183" s="231">
        <v>11874</v>
      </c>
      <c r="S183" s="231">
        <v>11910</v>
      </c>
      <c r="T183" s="228">
        <v>-36</v>
      </c>
      <c r="U183" s="229">
        <v>-3.0000000000000001E-3</v>
      </c>
      <c r="V183" s="231">
        <v>11952</v>
      </c>
      <c r="W183" s="231">
        <v>11960</v>
      </c>
      <c r="X183" s="228">
        <v>-8</v>
      </c>
      <c r="Y183" s="229">
        <v>-6.9999999999999999E-4</v>
      </c>
      <c r="Z183" s="228">
        <v>30</v>
      </c>
      <c r="AA183" s="228">
        <v>9</v>
      </c>
      <c r="AB183" s="228">
        <v>21</v>
      </c>
      <c r="AC183" s="229">
        <v>2.5000000000000001E-3</v>
      </c>
      <c r="AD183" s="228">
        <v>30</v>
      </c>
      <c r="AE183" s="228">
        <v>9</v>
      </c>
      <c r="AF183" s="228">
        <v>21</v>
      </c>
      <c r="AG183" s="229">
        <v>2.5000000000000001E-3</v>
      </c>
      <c r="AH183" s="228">
        <v>102</v>
      </c>
      <c r="AI183" s="228">
        <v>95</v>
      </c>
      <c r="AJ183" s="228">
        <v>7</v>
      </c>
      <c r="AK183" s="229">
        <v>8.6999999999999994E-3</v>
      </c>
      <c r="AL183" s="228">
        <v>180</v>
      </c>
      <c r="AM183" s="228">
        <v>145</v>
      </c>
      <c r="AN183" s="228">
        <v>35</v>
      </c>
      <c r="AO183" s="229">
        <v>1.5299999999999999E-2</v>
      </c>
      <c r="AP183" s="231">
        <v>11775.34</v>
      </c>
      <c r="AQ183" s="231">
        <v>11853.8</v>
      </c>
      <c r="AR183" s="228">
        <v>0</v>
      </c>
      <c r="AS183" s="228">
        <v>208</v>
      </c>
      <c r="AT183" s="228">
        <v>144</v>
      </c>
      <c r="AU183" s="228">
        <v>63</v>
      </c>
      <c r="AV183" s="229">
        <v>0.43930000000000002</v>
      </c>
      <c r="AW183" s="228">
        <v>145</v>
      </c>
      <c r="AX183" s="228">
        <v>116</v>
      </c>
      <c r="AY183" s="228">
        <v>29</v>
      </c>
      <c r="AZ183" s="229">
        <v>0.25319999999999998</v>
      </c>
      <c r="BA183" s="228">
        <v>58</v>
      </c>
      <c r="BB183" s="228">
        <v>25</v>
      </c>
      <c r="BC183" s="228">
        <v>32</v>
      </c>
      <c r="BD183" s="229">
        <v>1.2639</v>
      </c>
      <c r="BE183" s="228">
        <v>5</v>
      </c>
      <c r="BF183" s="228">
        <v>3</v>
      </c>
      <c r="BG183" s="228">
        <v>2</v>
      </c>
      <c r="BH183" s="229">
        <v>0.63639999999999997</v>
      </c>
      <c r="BI183" s="228">
        <v>821</v>
      </c>
      <c r="BJ183" s="228">
        <v>760</v>
      </c>
      <c r="BK183" s="228">
        <v>61</v>
      </c>
      <c r="BL183" s="229">
        <v>8.0600000000000005E-2</v>
      </c>
      <c r="BM183" s="228">
        <v>478</v>
      </c>
      <c r="BN183" s="228">
        <v>478</v>
      </c>
      <c r="BO183" s="228">
        <v>0</v>
      </c>
      <c r="BP183" s="229">
        <v>-2.0000000000000001E-4</v>
      </c>
      <c r="BQ183" s="230">
        <v>1507</v>
      </c>
      <c r="BR183" s="230">
        <v>1382</v>
      </c>
      <c r="BS183" s="228">
        <v>125</v>
      </c>
      <c r="BT183" s="229">
        <v>9.0200000000000002E-2</v>
      </c>
      <c r="BU183" s="230">
        <v>122542</v>
      </c>
      <c r="BV183" s="230">
        <v>63667</v>
      </c>
      <c r="BW183" s="230">
        <v>58875</v>
      </c>
      <c r="BX183" s="229">
        <v>0.92469999999999997</v>
      </c>
      <c r="BY183" s="230">
        <v>1211</v>
      </c>
      <c r="BZ183" s="230">
        <v>1199</v>
      </c>
      <c r="CA183" s="228">
        <v>12</v>
      </c>
      <c r="CB183" s="229">
        <v>9.9000000000000008E-3</v>
      </c>
      <c r="CC183" s="230">
        <v>1092</v>
      </c>
      <c r="CD183" s="230">
        <v>1097</v>
      </c>
      <c r="CE183" s="228">
        <v>-5</v>
      </c>
      <c r="CF183" s="229">
        <v>-4.7000000000000002E-3</v>
      </c>
      <c r="CG183" s="228">
        <v>102</v>
      </c>
      <c r="CH183" s="228">
        <v>85</v>
      </c>
      <c r="CI183" s="228">
        <v>17</v>
      </c>
      <c r="CJ183" s="229">
        <v>0.20380000000000001</v>
      </c>
      <c r="CK183" s="228">
        <v>17</v>
      </c>
      <c r="CL183" s="228">
        <v>17</v>
      </c>
      <c r="CM183" s="228">
        <v>0</v>
      </c>
      <c r="CN183" s="229">
        <v>-1.3599999999999999E-2</v>
      </c>
      <c r="CO183" s="228">
        <v>949</v>
      </c>
      <c r="CP183" s="228">
        <v>985</v>
      </c>
      <c r="CQ183" s="228">
        <v>-35</v>
      </c>
      <c r="CR183" s="229">
        <v>-3.5900000000000001E-2</v>
      </c>
      <c r="CS183" s="228">
        <v>379</v>
      </c>
      <c r="CT183" s="228">
        <v>374</v>
      </c>
      <c r="CU183" s="228">
        <v>4</v>
      </c>
      <c r="CV183" s="229">
        <v>1.1900000000000001E-2</v>
      </c>
      <c r="CW183" s="230">
        <v>2539</v>
      </c>
      <c r="CX183" s="230">
        <v>2558</v>
      </c>
      <c r="CY183" s="228">
        <v>-19</v>
      </c>
      <c r="CZ183" s="229">
        <v>-7.4999999999999997E-3</v>
      </c>
      <c r="DA183" s="228">
        <v>30.59</v>
      </c>
      <c r="DB183" s="228">
        <v>31</v>
      </c>
      <c r="DC183" s="228">
        <v>-0.41</v>
      </c>
      <c r="DD183" s="228">
        <v>-0.41</v>
      </c>
      <c r="DE183" s="228">
        <v>39.17</v>
      </c>
      <c r="DF183" s="228">
        <v>39.26</v>
      </c>
      <c r="DG183" s="228">
        <v>-8.58</v>
      </c>
      <c r="DH183" s="228">
        <v>-0.09</v>
      </c>
      <c r="DI183" s="228">
        <v>31.13</v>
      </c>
      <c r="DJ183" s="228">
        <v>32.06</v>
      </c>
      <c r="DK183" s="228">
        <v>-0.93</v>
      </c>
      <c r="DL183" s="228">
        <v>-0.93</v>
      </c>
      <c r="DM183" s="228">
        <v>29.67</v>
      </c>
      <c r="DN183" s="228">
        <v>29.31</v>
      </c>
      <c r="DO183" s="228">
        <v>0.36</v>
      </c>
      <c r="DP183" s="228">
        <v>0.36</v>
      </c>
      <c r="DQ183" s="228">
        <v>0.4</v>
      </c>
      <c r="DR183" s="228">
        <v>0.38</v>
      </c>
      <c r="DS183" s="228">
        <v>0.02</v>
      </c>
      <c r="DT183" s="229">
        <v>5.2600000000000001E-2</v>
      </c>
      <c r="DU183" s="231">
        <v>14000</v>
      </c>
      <c r="DV183" s="231">
        <v>13000</v>
      </c>
      <c r="DW183" s="228">
        <v>0.57999999999999996</v>
      </c>
      <c r="DX183" s="228">
        <v>0.63</v>
      </c>
      <c r="DY183" s="228">
        <v>-0.05</v>
      </c>
      <c r="DZ183" s="229">
        <v>-7.9399999999999998E-2</v>
      </c>
      <c r="EA183" s="229">
        <v>9.8199999999999996E-2</v>
      </c>
      <c r="EB183" s="230">
        <v>86350</v>
      </c>
      <c r="EC183" s="229">
        <v>6.1000000000000004E-3</v>
      </c>
      <c r="ED183" s="229">
        <v>9.8199999999999996E-2</v>
      </c>
      <c r="EE183" s="228">
        <v>78.459999999999994</v>
      </c>
      <c r="EF183" s="229">
        <v>6.7000000000000002E-3</v>
      </c>
      <c r="EG183" s="230">
        <v>69935</v>
      </c>
      <c r="EH183" s="230">
        <v>27272</v>
      </c>
      <c r="EI183" s="229">
        <v>1.5644</v>
      </c>
      <c r="EJ183" s="229">
        <v>0.57069999999999999</v>
      </c>
      <c r="EK183" s="228">
        <v>882.63</v>
      </c>
      <c r="EL183" s="228">
        <v>463.88</v>
      </c>
      <c r="EM183" s="228">
        <v>186.96</v>
      </c>
      <c r="EN183" s="228">
        <v>16.93</v>
      </c>
      <c r="EO183" s="231">
        <v>1533.46</v>
      </c>
      <c r="EP183" s="231">
        <v>1429.62</v>
      </c>
      <c r="EQ183" s="228">
        <v>103.84</v>
      </c>
      <c r="ER183" s="229">
        <v>7.2599999999999998E-2</v>
      </c>
      <c r="ES183" s="231">
        <v>1072.3399999999999</v>
      </c>
      <c r="ET183" s="228">
        <v>397.61</v>
      </c>
      <c r="EU183" s="231">
        <v>1211.58</v>
      </c>
      <c r="EV183" s="231">
        <v>3644817</v>
      </c>
      <c r="EW183" s="231">
        <v>2681.53</v>
      </c>
      <c r="EX183" s="231">
        <v>2714.97</v>
      </c>
      <c r="EY183" s="228">
        <v>-33.44</v>
      </c>
      <c r="EZ183" s="229">
        <v>-1.23E-2</v>
      </c>
      <c r="FA183" s="229">
        <v>0.59019999999999995</v>
      </c>
      <c r="FB183" s="227" t="s">
        <v>567</v>
      </c>
      <c r="FC183">
        <f t="shared" si="3"/>
        <v>0</v>
      </c>
    </row>
    <row r="184" spans="1:159" ht="17.25" thickBot="1" x14ac:dyDescent="0.3">
      <c r="A184" s="226">
        <v>46009</v>
      </c>
      <c r="B184" s="227" t="s">
        <v>162</v>
      </c>
      <c r="C184" s="227" t="s">
        <v>614</v>
      </c>
      <c r="D184" s="228">
        <v>1050</v>
      </c>
      <c r="E184" s="228">
        <v>12</v>
      </c>
      <c r="F184" s="228">
        <v>486.85</v>
      </c>
      <c r="G184" s="228">
        <v>491.45</v>
      </c>
      <c r="H184" s="228">
        <v>-4.5999999999999996</v>
      </c>
      <c r="I184" s="229">
        <v>-9.4000000000000004E-3</v>
      </c>
      <c r="J184" s="228">
        <v>486.45</v>
      </c>
      <c r="K184" s="228">
        <v>489.9</v>
      </c>
      <c r="L184" s="228">
        <v>-3.45</v>
      </c>
      <c r="M184" s="229">
        <v>-7.0000000000000001E-3</v>
      </c>
      <c r="N184" s="228">
        <v>486.85</v>
      </c>
      <c r="O184" s="228">
        <v>491.45</v>
      </c>
      <c r="P184" s="228">
        <v>-4.5999999999999996</v>
      </c>
      <c r="Q184" s="229">
        <v>-9.4000000000000004E-3</v>
      </c>
      <c r="R184" s="228">
        <v>490.15</v>
      </c>
      <c r="S184" s="228">
        <v>494.55</v>
      </c>
      <c r="T184" s="228">
        <v>-4.4000000000000004</v>
      </c>
      <c r="U184" s="229">
        <v>-8.8999999999999999E-3</v>
      </c>
      <c r="V184" s="228">
        <v>495</v>
      </c>
      <c r="W184" s="228">
        <v>496</v>
      </c>
      <c r="X184" s="228">
        <v>-1</v>
      </c>
      <c r="Y184" s="229">
        <v>-2E-3</v>
      </c>
      <c r="Z184" s="228">
        <v>0.4</v>
      </c>
      <c r="AA184" s="228">
        <v>1.55</v>
      </c>
      <c r="AB184" s="228">
        <v>-1.1499999999999999</v>
      </c>
      <c r="AC184" s="229">
        <v>8.0000000000000004E-4</v>
      </c>
      <c r="AD184" s="228">
        <v>0.4</v>
      </c>
      <c r="AE184" s="228">
        <v>1.55</v>
      </c>
      <c r="AF184" s="228">
        <v>-1.1499999999999999</v>
      </c>
      <c r="AG184" s="229">
        <v>8.0000000000000004E-4</v>
      </c>
      <c r="AH184" s="228">
        <v>3.7</v>
      </c>
      <c r="AI184" s="228">
        <v>4.6500000000000004</v>
      </c>
      <c r="AJ184" s="228">
        <v>-0.95</v>
      </c>
      <c r="AK184" s="229">
        <v>7.6E-3</v>
      </c>
      <c r="AL184" s="228">
        <v>8.5500000000000007</v>
      </c>
      <c r="AM184" s="228">
        <v>6.1</v>
      </c>
      <c r="AN184" s="228">
        <v>2.4500000000000002</v>
      </c>
      <c r="AO184" s="229">
        <v>1.7600000000000001E-2</v>
      </c>
      <c r="AP184" s="228">
        <v>486.37</v>
      </c>
      <c r="AQ184" s="228">
        <v>489.65</v>
      </c>
      <c r="AR184" s="228">
        <v>0</v>
      </c>
      <c r="AS184" s="228">
        <v>89</v>
      </c>
      <c r="AT184" s="228">
        <v>84</v>
      </c>
      <c r="AU184" s="228">
        <v>5</v>
      </c>
      <c r="AV184" s="229">
        <v>5.7700000000000001E-2</v>
      </c>
      <c r="AW184" s="228">
        <v>79</v>
      </c>
      <c r="AX184" s="228">
        <v>73</v>
      </c>
      <c r="AY184" s="228">
        <v>5</v>
      </c>
      <c r="AZ184" s="229">
        <v>7.2400000000000006E-2</v>
      </c>
      <c r="BA184" s="228">
        <v>10</v>
      </c>
      <c r="BB184" s="228">
        <v>10</v>
      </c>
      <c r="BC184" s="228">
        <v>0</v>
      </c>
      <c r="BD184" s="229">
        <v>0</v>
      </c>
      <c r="BE184" s="228">
        <v>0</v>
      </c>
      <c r="BF184" s="228">
        <v>1</v>
      </c>
      <c r="BG184" s="228">
        <v>0</v>
      </c>
      <c r="BH184" s="229">
        <v>-0.69230000000000003</v>
      </c>
      <c r="BI184" s="228">
        <v>223</v>
      </c>
      <c r="BJ184" s="228">
        <v>267</v>
      </c>
      <c r="BK184" s="228">
        <v>-43</v>
      </c>
      <c r="BL184" s="229">
        <v>-0.16289999999999999</v>
      </c>
      <c r="BM184" s="228">
        <v>59</v>
      </c>
      <c r="BN184" s="228">
        <v>72</v>
      </c>
      <c r="BO184" s="228">
        <v>-13</v>
      </c>
      <c r="BP184" s="229">
        <v>-0.1855</v>
      </c>
      <c r="BQ184" s="228">
        <v>371</v>
      </c>
      <c r="BR184" s="228">
        <v>423</v>
      </c>
      <c r="BS184" s="228">
        <v>-52</v>
      </c>
      <c r="BT184" s="229">
        <v>-0.12280000000000001</v>
      </c>
      <c r="BU184" s="230">
        <v>1388783</v>
      </c>
      <c r="BV184" s="230">
        <v>866567</v>
      </c>
      <c r="BW184" s="230">
        <v>522216</v>
      </c>
      <c r="BX184" s="229">
        <v>0.60260000000000002</v>
      </c>
      <c r="BY184" s="228">
        <v>709</v>
      </c>
      <c r="BZ184" s="228">
        <v>705</v>
      </c>
      <c r="CA184" s="228">
        <v>4</v>
      </c>
      <c r="CB184" s="229">
        <v>6.1999999999999998E-3</v>
      </c>
      <c r="CC184" s="228">
        <v>673</v>
      </c>
      <c r="CD184" s="228">
        <v>673</v>
      </c>
      <c r="CE184" s="228">
        <v>0</v>
      </c>
      <c r="CF184" s="229">
        <v>-2.0000000000000001E-4</v>
      </c>
      <c r="CG184" s="228">
        <v>32</v>
      </c>
      <c r="CH184" s="228">
        <v>28</v>
      </c>
      <c r="CI184" s="228">
        <v>4</v>
      </c>
      <c r="CJ184" s="229">
        <v>0.1555</v>
      </c>
      <c r="CK184" s="228">
        <v>4</v>
      </c>
      <c r="CL184" s="228">
        <v>4</v>
      </c>
      <c r="CM184" s="228">
        <v>0</v>
      </c>
      <c r="CN184" s="229">
        <v>6.6699999999999995E-2</v>
      </c>
      <c r="CO184" s="228">
        <v>293</v>
      </c>
      <c r="CP184" s="228">
        <v>306</v>
      </c>
      <c r="CQ184" s="228">
        <v>-12</v>
      </c>
      <c r="CR184" s="229">
        <v>-4.07E-2</v>
      </c>
      <c r="CS184" s="228">
        <v>139</v>
      </c>
      <c r="CT184" s="228">
        <v>138</v>
      </c>
      <c r="CU184" s="228">
        <v>0</v>
      </c>
      <c r="CV184" s="229">
        <v>2.5000000000000001E-3</v>
      </c>
      <c r="CW184" s="230">
        <v>1141</v>
      </c>
      <c r="CX184" s="230">
        <v>1148</v>
      </c>
      <c r="CY184" s="228">
        <v>-8</v>
      </c>
      <c r="CZ184" s="229">
        <v>-6.7000000000000002E-3</v>
      </c>
      <c r="DA184" s="228">
        <v>27.17</v>
      </c>
      <c r="DB184" s="228">
        <v>28.95</v>
      </c>
      <c r="DC184" s="228">
        <v>-1.78</v>
      </c>
      <c r="DD184" s="228">
        <v>-1.78</v>
      </c>
      <c r="DE184" s="228">
        <v>38.93</v>
      </c>
      <c r="DF184" s="228">
        <v>39.020000000000003</v>
      </c>
      <c r="DG184" s="228">
        <v>-11.76</v>
      </c>
      <c r="DH184" s="228">
        <v>-0.09</v>
      </c>
      <c r="DI184" s="228">
        <v>27.26</v>
      </c>
      <c r="DJ184" s="228">
        <v>28.95</v>
      </c>
      <c r="DK184" s="228">
        <v>-1.69</v>
      </c>
      <c r="DL184" s="228">
        <v>-1.69</v>
      </c>
      <c r="DM184" s="228">
        <v>26.79</v>
      </c>
      <c r="DN184" s="228">
        <v>28.95</v>
      </c>
      <c r="DO184" s="228">
        <v>-2.16</v>
      </c>
      <c r="DP184" s="228">
        <v>-2.16</v>
      </c>
      <c r="DQ184" s="228">
        <v>0.47</v>
      </c>
      <c r="DR184" s="228">
        <v>0.45</v>
      </c>
      <c r="DS184" s="228">
        <v>0.02</v>
      </c>
      <c r="DT184" s="229">
        <v>4.4400000000000002E-2</v>
      </c>
      <c r="DU184" s="228">
        <v>520</v>
      </c>
      <c r="DV184" s="228">
        <v>500</v>
      </c>
      <c r="DW184" s="228">
        <v>0.26</v>
      </c>
      <c r="DX184" s="228">
        <v>0.27</v>
      </c>
      <c r="DY184" s="228">
        <v>-0.01</v>
      </c>
      <c r="DZ184" s="229">
        <v>-3.6999999999999998E-2</v>
      </c>
      <c r="EA184" s="229">
        <v>5.04E-2</v>
      </c>
      <c r="EB184" s="230">
        <v>640675</v>
      </c>
      <c r="EC184" s="229">
        <v>6.7999999999999996E-3</v>
      </c>
      <c r="ED184" s="229">
        <v>5.04E-2</v>
      </c>
      <c r="EE184" s="228">
        <v>3.28</v>
      </c>
      <c r="EF184" s="229">
        <v>6.7000000000000002E-3</v>
      </c>
      <c r="EG184" s="230">
        <v>835706</v>
      </c>
      <c r="EH184" s="230">
        <v>395294</v>
      </c>
      <c r="EI184" s="229">
        <v>1.1141000000000001</v>
      </c>
      <c r="EJ184" s="229">
        <v>0.6018</v>
      </c>
      <c r="EK184" s="228">
        <v>234.21</v>
      </c>
      <c r="EL184" s="228">
        <v>58.42</v>
      </c>
      <c r="EM184" s="228">
        <v>90.76</v>
      </c>
      <c r="EN184" s="228">
        <v>19.010000000000002</v>
      </c>
      <c r="EO184" s="228">
        <v>383.39</v>
      </c>
      <c r="EP184" s="228">
        <v>437.09</v>
      </c>
      <c r="EQ184" s="228">
        <v>-53.7</v>
      </c>
      <c r="ER184" s="229">
        <v>-0.1229</v>
      </c>
      <c r="ES184" s="228">
        <v>311.67</v>
      </c>
      <c r="ET184" s="228">
        <v>136.51</v>
      </c>
      <c r="EU184" s="228">
        <v>709.19</v>
      </c>
      <c r="EV184" s="231">
        <v>67126548</v>
      </c>
      <c r="EW184" s="231">
        <v>1157.3800000000001</v>
      </c>
      <c r="EX184" s="231">
        <v>1172.83</v>
      </c>
      <c r="EY184" s="228">
        <v>-15.45</v>
      </c>
      <c r="EZ184" s="229">
        <v>-1.32E-2</v>
      </c>
      <c r="FA184" s="229">
        <v>0.34899999999999998</v>
      </c>
      <c r="FB184" s="227" t="s">
        <v>567</v>
      </c>
      <c r="FC184">
        <f t="shared" si="3"/>
        <v>0</v>
      </c>
    </row>
    <row r="185" spans="1:159" ht="17.25" thickBot="1" x14ac:dyDescent="0.3">
      <c r="A185" s="226">
        <v>46009</v>
      </c>
      <c r="B185" s="227" t="s">
        <v>197</v>
      </c>
      <c r="C185" s="227" t="s">
        <v>286</v>
      </c>
      <c r="D185" s="228">
        <v>200</v>
      </c>
      <c r="E185" s="228">
        <v>12</v>
      </c>
      <c r="F185" s="231">
        <v>3052.3</v>
      </c>
      <c r="G185" s="231">
        <v>3036.7</v>
      </c>
      <c r="H185" s="228">
        <v>15.6</v>
      </c>
      <c r="I185" s="229">
        <v>5.1000000000000004E-3</v>
      </c>
      <c r="J185" s="231">
        <v>3050.7</v>
      </c>
      <c r="K185" s="231">
        <v>3033.3</v>
      </c>
      <c r="L185" s="228">
        <v>17.399999999999999</v>
      </c>
      <c r="M185" s="229">
        <v>5.7000000000000002E-3</v>
      </c>
      <c r="N185" s="231">
        <v>3052.3</v>
      </c>
      <c r="O185" s="231">
        <v>3036.7</v>
      </c>
      <c r="P185" s="228">
        <v>15.6</v>
      </c>
      <c r="Q185" s="229">
        <v>5.1000000000000004E-3</v>
      </c>
      <c r="R185" s="231">
        <v>3071.8</v>
      </c>
      <c r="S185" s="231">
        <v>3053.3</v>
      </c>
      <c r="T185" s="228">
        <v>18.5</v>
      </c>
      <c r="U185" s="229">
        <v>6.1000000000000004E-3</v>
      </c>
      <c r="V185" s="231">
        <v>3081.9</v>
      </c>
      <c r="W185" s="231">
        <v>3048.1</v>
      </c>
      <c r="X185" s="228">
        <v>33.799999999999997</v>
      </c>
      <c r="Y185" s="229">
        <v>1.11E-2</v>
      </c>
      <c r="Z185" s="228">
        <v>1.6</v>
      </c>
      <c r="AA185" s="228">
        <v>3.4</v>
      </c>
      <c r="AB185" s="228">
        <v>-1.8</v>
      </c>
      <c r="AC185" s="229">
        <v>5.0000000000000001E-4</v>
      </c>
      <c r="AD185" s="228">
        <v>1.6</v>
      </c>
      <c r="AE185" s="228">
        <v>3.4</v>
      </c>
      <c r="AF185" s="228">
        <v>-1.8</v>
      </c>
      <c r="AG185" s="229">
        <v>5.0000000000000001E-4</v>
      </c>
      <c r="AH185" s="228">
        <v>21.1</v>
      </c>
      <c r="AI185" s="228">
        <v>20</v>
      </c>
      <c r="AJ185" s="228">
        <v>1.1000000000000001</v>
      </c>
      <c r="AK185" s="229">
        <v>6.8999999999999999E-3</v>
      </c>
      <c r="AL185" s="228">
        <v>31.2</v>
      </c>
      <c r="AM185" s="228">
        <v>14.8</v>
      </c>
      <c r="AN185" s="228">
        <v>16.399999999999999</v>
      </c>
      <c r="AO185" s="229">
        <v>1.0200000000000001E-2</v>
      </c>
      <c r="AP185" s="231">
        <v>3044.88</v>
      </c>
      <c r="AQ185" s="231">
        <v>3062.04</v>
      </c>
      <c r="AR185" s="228">
        <v>0</v>
      </c>
      <c r="AS185" s="228">
        <v>258</v>
      </c>
      <c r="AT185" s="228">
        <v>192</v>
      </c>
      <c r="AU185" s="228">
        <v>66</v>
      </c>
      <c r="AV185" s="229">
        <v>0.34489999999999998</v>
      </c>
      <c r="AW185" s="228">
        <v>232</v>
      </c>
      <c r="AX185" s="228">
        <v>176</v>
      </c>
      <c r="AY185" s="228">
        <v>56</v>
      </c>
      <c r="AZ185" s="229">
        <v>0.32069999999999999</v>
      </c>
      <c r="BA185" s="228">
        <v>25</v>
      </c>
      <c r="BB185" s="228">
        <v>16</v>
      </c>
      <c r="BC185" s="228">
        <v>9</v>
      </c>
      <c r="BD185" s="229">
        <v>0.58079999999999998</v>
      </c>
      <c r="BE185" s="228">
        <v>1</v>
      </c>
      <c r="BF185" s="228">
        <v>0</v>
      </c>
      <c r="BG185" s="228">
        <v>1</v>
      </c>
      <c r="BH185" s="229">
        <v>2</v>
      </c>
      <c r="BI185" s="230">
        <v>1282</v>
      </c>
      <c r="BJ185" s="228">
        <v>995</v>
      </c>
      <c r="BK185" s="228">
        <v>287</v>
      </c>
      <c r="BL185" s="229">
        <v>0.28860000000000002</v>
      </c>
      <c r="BM185" s="228">
        <v>473</v>
      </c>
      <c r="BN185" s="228">
        <v>353</v>
      </c>
      <c r="BO185" s="228">
        <v>120</v>
      </c>
      <c r="BP185" s="229">
        <v>0.33839999999999998</v>
      </c>
      <c r="BQ185" s="230">
        <v>2012</v>
      </c>
      <c r="BR185" s="230">
        <v>1540</v>
      </c>
      <c r="BS185" s="228">
        <v>473</v>
      </c>
      <c r="BT185" s="229">
        <v>0.30709999999999998</v>
      </c>
      <c r="BU185" s="230">
        <v>581365</v>
      </c>
      <c r="BV185" s="230">
        <v>334975</v>
      </c>
      <c r="BW185" s="230">
        <v>246390</v>
      </c>
      <c r="BX185" s="229">
        <v>0.73550000000000004</v>
      </c>
      <c r="BY185" s="230">
        <v>1026</v>
      </c>
      <c r="BZ185" s="230">
        <v>1050</v>
      </c>
      <c r="CA185" s="228">
        <v>-24</v>
      </c>
      <c r="CB185" s="229">
        <v>-2.2700000000000001E-2</v>
      </c>
      <c r="CC185" s="228">
        <v>972</v>
      </c>
      <c r="CD185" s="230">
        <v>1004</v>
      </c>
      <c r="CE185" s="228">
        <v>-32</v>
      </c>
      <c r="CF185" s="229">
        <v>-3.15E-2</v>
      </c>
      <c r="CG185" s="228">
        <v>49</v>
      </c>
      <c r="CH185" s="228">
        <v>41</v>
      </c>
      <c r="CI185" s="228">
        <v>8</v>
      </c>
      <c r="CJ185" s="229">
        <v>0.18959999999999999</v>
      </c>
      <c r="CK185" s="228">
        <v>5</v>
      </c>
      <c r="CL185" s="228">
        <v>5</v>
      </c>
      <c r="CM185" s="228">
        <v>0</v>
      </c>
      <c r="CN185" s="229">
        <v>0</v>
      </c>
      <c r="CO185" s="228">
        <v>577</v>
      </c>
      <c r="CP185" s="228">
        <v>617</v>
      </c>
      <c r="CQ185" s="228">
        <v>-41</v>
      </c>
      <c r="CR185" s="229">
        <v>-6.6299999999999998E-2</v>
      </c>
      <c r="CS185" s="228">
        <v>470</v>
      </c>
      <c r="CT185" s="228">
        <v>454</v>
      </c>
      <c r="CU185" s="228">
        <v>16</v>
      </c>
      <c r="CV185" s="229">
        <v>3.5499999999999997E-2</v>
      </c>
      <c r="CW185" s="230">
        <v>2072</v>
      </c>
      <c r="CX185" s="230">
        <v>2121</v>
      </c>
      <c r="CY185" s="228">
        <v>-49</v>
      </c>
      <c r="CZ185" s="229">
        <v>-2.29E-2</v>
      </c>
      <c r="DA185" s="228">
        <v>20.6</v>
      </c>
      <c r="DB185" s="228">
        <v>21.93</v>
      </c>
      <c r="DC185" s="228">
        <v>-1.33</v>
      </c>
      <c r="DD185" s="228">
        <v>-1.33</v>
      </c>
      <c r="DE185" s="228">
        <v>30.97</v>
      </c>
      <c r="DF185" s="228">
        <v>31.04</v>
      </c>
      <c r="DG185" s="228">
        <v>-10.37</v>
      </c>
      <c r="DH185" s="228">
        <v>-7.0000000000000007E-2</v>
      </c>
      <c r="DI185" s="228">
        <v>20.23</v>
      </c>
      <c r="DJ185" s="228">
        <v>21.58</v>
      </c>
      <c r="DK185" s="228">
        <v>-1.35</v>
      </c>
      <c r="DL185" s="228">
        <v>-1.35</v>
      </c>
      <c r="DM185" s="228">
        <v>21.62</v>
      </c>
      <c r="DN185" s="228">
        <v>22.92</v>
      </c>
      <c r="DO185" s="228">
        <v>-1.3</v>
      </c>
      <c r="DP185" s="228">
        <v>-1.3</v>
      </c>
      <c r="DQ185" s="228">
        <v>0.82</v>
      </c>
      <c r="DR185" s="228">
        <v>0.74</v>
      </c>
      <c r="DS185" s="228">
        <v>0.08</v>
      </c>
      <c r="DT185" s="229">
        <v>0.1081</v>
      </c>
      <c r="DU185" s="231">
        <v>3050</v>
      </c>
      <c r="DV185" s="231">
        <v>2900</v>
      </c>
      <c r="DW185" s="228">
        <v>0.37</v>
      </c>
      <c r="DX185" s="228">
        <v>0.36</v>
      </c>
      <c r="DY185" s="228">
        <v>0.01</v>
      </c>
      <c r="DZ185" s="229">
        <v>2.7799999999999998E-2</v>
      </c>
      <c r="EA185" s="229">
        <v>5.2299999999999999E-2</v>
      </c>
      <c r="EB185" s="230">
        <v>150000</v>
      </c>
      <c r="EC185" s="229">
        <v>6.4000000000000003E-3</v>
      </c>
      <c r="ED185" s="229">
        <v>5.2299999999999999E-2</v>
      </c>
      <c r="EE185" s="228">
        <v>17.16</v>
      </c>
      <c r="EF185" s="229">
        <v>5.5999999999999999E-3</v>
      </c>
      <c r="EG185" s="230">
        <v>379758</v>
      </c>
      <c r="EH185" s="230">
        <v>223613</v>
      </c>
      <c r="EI185" s="229">
        <v>0.69830000000000003</v>
      </c>
      <c r="EJ185" s="229">
        <v>0.6532</v>
      </c>
      <c r="EK185" s="231">
        <v>1309.3</v>
      </c>
      <c r="EL185" s="228">
        <v>464.08</v>
      </c>
      <c r="EM185" s="228">
        <v>257.32</v>
      </c>
      <c r="EN185" s="228">
        <v>45.64</v>
      </c>
      <c r="EO185" s="231">
        <v>2030.7</v>
      </c>
      <c r="EP185" s="231">
        <v>1548.45</v>
      </c>
      <c r="EQ185" s="228">
        <v>482.25</v>
      </c>
      <c r="ER185" s="229">
        <v>0.31140000000000001</v>
      </c>
      <c r="ES185" s="228">
        <v>578.82000000000005</v>
      </c>
      <c r="ET185" s="228">
        <v>446.26</v>
      </c>
      <c r="EU185" s="231">
        <v>1026.05</v>
      </c>
      <c r="EV185" s="231">
        <v>21205300</v>
      </c>
      <c r="EW185" s="231">
        <v>2051.13</v>
      </c>
      <c r="EX185" s="231">
        <v>2093.36</v>
      </c>
      <c r="EY185" s="228">
        <v>-42.23</v>
      </c>
      <c r="EZ185" s="229">
        <v>-2.0199999999999999E-2</v>
      </c>
      <c r="FA185" s="229">
        <v>0.32019999999999998</v>
      </c>
      <c r="FB185" s="227" t="s">
        <v>556</v>
      </c>
      <c r="FC185">
        <f t="shared" si="3"/>
        <v>0</v>
      </c>
    </row>
    <row r="186" spans="1:159" ht="17.25" thickBot="1" x14ac:dyDescent="0.3">
      <c r="A186" s="226">
        <v>46009</v>
      </c>
      <c r="B186" s="227" t="s">
        <v>170</v>
      </c>
      <c r="C186" s="227" t="s">
        <v>288</v>
      </c>
      <c r="D186" s="228">
        <v>350</v>
      </c>
      <c r="E186" s="228">
        <v>12</v>
      </c>
      <c r="F186" s="231">
        <v>1749.5</v>
      </c>
      <c r="G186" s="231">
        <v>1799.2</v>
      </c>
      <c r="H186" s="228">
        <v>-49.7</v>
      </c>
      <c r="I186" s="229">
        <v>-2.76E-2</v>
      </c>
      <c r="J186" s="231">
        <v>1745.9</v>
      </c>
      <c r="K186" s="231">
        <v>1792.9</v>
      </c>
      <c r="L186" s="228">
        <v>-47</v>
      </c>
      <c r="M186" s="229">
        <v>-2.6200000000000001E-2</v>
      </c>
      <c r="N186" s="231">
        <v>1749.5</v>
      </c>
      <c r="O186" s="231">
        <v>1799.2</v>
      </c>
      <c r="P186" s="228">
        <v>-49.7</v>
      </c>
      <c r="Q186" s="229">
        <v>-2.76E-2</v>
      </c>
      <c r="R186" s="231">
        <v>1761</v>
      </c>
      <c r="S186" s="231">
        <v>1810.5</v>
      </c>
      <c r="T186" s="228">
        <v>-49.5</v>
      </c>
      <c r="U186" s="229">
        <v>-2.7300000000000001E-2</v>
      </c>
      <c r="V186" s="231">
        <v>1761.1</v>
      </c>
      <c r="W186" s="231">
        <v>1807</v>
      </c>
      <c r="X186" s="228">
        <v>-45.9</v>
      </c>
      <c r="Y186" s="229">
        <v>-2.5399999999999999E-2</v>
      </c>
      <c r="Z186" s="228">
        <v>3.6</v>
      </c>
      <c r="AA186" s="228">
        <v>6.3</v>
      </c>
      <c r="AB186" s="228">
        <v>-2.7</v>
      </c>
      <c r="AC186" s="229">
        <v>2.0999999999999999E-3</v>
      </c>
      <c r="AD186" s="228">
        <v>3.6</v>
      </c>
      <c r="AE186" s="228">
        <v>6.3</v>
      </c>
      <c r="AF186" s="228">
        <v>-2.7</v>
      </c>
      <c r="AG186" s="229">
        <v>2.0999999999999999E-3</v>
      </c>
      <c r="AH186" s="228">
        <v>15.1</v>
      </c>
      <c r="AI186" s="228">
        <v>17.600000000000001</v>
      </c>
      <c r="AJ186" s="228">
        <v>-2.5</v>
      </c>
      <c r="AK186" s="229">
        <v>8.6E-3</v>
      </c>
      <c r="AL186" s="228">
        <v>15.2</v>
      </c>
      <c r="AM186" s="228">
        <v>14.1</v>
      </c>
      <c r="AN186" s="228">
        <v>1.1000000000000001</v>
      </c>
      <c r="AO186" s="229">
        <v>8.6999999999999994E-3</v>
      </c>
      <c r="AP186" s="231">
        <v>1753.76</v>
      </c>
      <c r="AQ186" s="231">
        <v>1764.14</v>
      </c>
      <c r="AR186" s="228">
        <v>0</v>
      </c>
      <c r="AS186" s="228">
        <v>656</v>
      </c>
      <c r="AT186" s="228">
        <v>447</v>
      </c>
      <c r="AU186" s="228">
        <v>209</v>
      </c>
      <c r="AV186" s="229">
        <v>0.46710000000000002</v>
      </c>
      <c r="AW186" s="228">
        <v>442</v>
      </c>
      <c r="AX186" s="228">
        <v>274</v>
      </c>
      <c r="AY186" s="228">
        <v>168</v>
      </c>
      <c r="AZ186" s="229">
        <v>0.61319999999999997</v>
      </c>
      <c r="BA186" s="228">
        <v>209</v>
      </c>
      <c r="BB186" s="228">
        <v>173</v>
      </c>
      <c r="BC186" s="228">
        <v>36</v>
      </c>
      <c r="BD186" s="229">
        <v>0.2094</v>
      </c>
      <c r="BE186" s="228">
        <v>5</v>
      </c>
      <c r="BF186" s="228">
        <v>1</v>
      </c>
      <c r="BG186" s="228">
        <v>5</v>
      </c>
      <c r="BH186" s="229">
        <v>7.9</v>
      </c>
      <c r="BI186" s="230">
        <v>2989</v>
      </c>
      <c r="BJ186" s="230">
        <v>1187</v>
      </c>
      <c r="BK186" s="230">
        <v>1801</v>
      </c>
      <c r="BL186" s="229">
        <v>1.5169999999999999</v>
      </c>
      <c r="BM186" s="230">
        <v>2062</v>
      </c>
      <c r="BN186" s="228">
        <v>495</v>
      </c>
      <c r="BO186" s="230">
        <v>1568</v>
      </c>
      <c r="BP186" s="229">
        <v>3.1686000000000001</v>
      </c>
      <c r="BQ186" s="230">
        <v>5707</v>
      </c>
      <c r="BR186" s="230">
        <v>2129</v>
      </c>
      <c r="BS186" s="230">
        <v>3578</v>
      </c>
      <c r="BT186" s="229">
        <v>1.6801999999999999</v>
      </c>
      <c r="BU186" s="230">
        <v>3728300</v>
      </c>
      <c r="BV186" s="230">
        <v>2034450</v>
      </c>
      <c r="BW186" s="230">
        <v>1693850</v>
      </c>
      <c r="BX186" s="229">
        <v>0.83260000000000001</v>
      </c>
      <c r="BY186" s="230">
        <v>2654</v>
      </c>
      <c r="BZ186" s="230">
        <v>2565</v>
      </c>
      <c r="CA186" s="228">
        <v>89</v>
      </c>
      <c r="CB186" s="229">
        <v>3.4599999999999999E-2</v>
      </c>
      <c r="CC186" s="230">
        <v>2156</v>
      </c>
      <c r="CD186" s="230">
        <v>2222</v>
      </c>
      <c r="CE186" s="228">
        <v>-66</v>
      </c>
      <c r="CF186" s="229">
        <v>-2.98E-2</v>
      </c>
      <c r="CG186" s="228">
        <v>484</v>
      </c>
      <c r="CH186" s="228">
        <v>332</v>
      </c>
      <c r="CI186" s="228">
        <v>153</v>
      </c>
      <c r="CJ186" s="229">
        <v>0.46100000000000002</v>
      </c>
      <c r="CK186" s="228">
        <v>14</v>
      </c>
      <c r="CL186" s="228">
        <v>11</v>
      </c>
      <c r="CM186" s="228">
        <v>2</v>
      </c>
      <c r="CN186" s="229">
        <v>0.20430000000000001</v>
      </c>
      <c r="CO186" s="230">
        <v>1583</v>
      </c>
      <c r="CP186" s="230">
        <v>1223</v>
      </c>
      <c r="CQ186" s="228">
        <v>360</v>
      </c>
      <c r="CR186" s="229">
        <v>0.29449999999999998</v>
      </c>
      <c r="CS186" s="228">
        <v>536</v>
      </c>
      <c r="CT186" s="228">
        <v>412</v>
      </c>
      <c r="CU186" s="228">
        <v>124</v>
      </c>
      <c r="CV186" s="229">
        <v>0.30070000000000002</v>
      </c>
      <c r="CW186" s="230">
        <v>4773</v>
      </c>
      <c r="CX186" s="230">
        <v>4200</v>
      </c>
      <c r="CY186" s="228">
        <v>573</v>
      </c>
      <c r="CZ186" s="229">
        <v>0.13639999999999999</v>
      </c>
      <c r="DA186" s="228">
        <v>17.39</v>
      </c>
      <c r="DB186" s="228">
        <v>15.19</v>
      </c>
      <c r="DC186" s="228">
        <v>2.2000000000000002</v>
      </c>
      <c r="DD186" s="228">
        <v>2.2000000000000002</v>
      </c>
      <c r="DE186" s="228">
        <v>22.76</v>
      </c>
      <c r="DF186" s="228">
        <v>22.53</v>
      </c>
      <c r="DG186" s="228">
        <v>-5.37</v>
      </c>
      <c r="DH186" s="228">
        <v>0.23</v>
      </c>
      <c r="DI186" s="228">
        <v>17.670000000000002</v>
      </c>
      <c r="DJ186" s="228">
        <v>14.83</v>
      </c>
      <c r="DK186" s="228">
        <v>2.84</v>
      </c>
      <c r="DL186" s="228">
        <v>2.84</v>
      </c>
      <c r="DM186" s="228">
        <v>16.98</v>
      </c>
      <c r="DN186" s="228">
        <v>16.04</v>
      </c>
      <c r="DO186" s="228">
        <v>0.94</v>
      </c>
      <c r="DP186" s="228">
        <v>0.94</v>
      </c>
      <c r="DQ186" s="228">
        <v>0.34</v>
      </c>
      <c r="DR186" s="228">
        <v>0.34</v>
      </c>
      <c r="DS186" s="228">
        <v>0</v>
      </c>
      <c r="DT186" s="229">
        <v>0</v>
      </c>
      <c r="DU186" s="231">
        <v>1840</v>
      </c>
      <c r="DV186" s="231">
        <v>1740</v>
      </c>
      <c r="DW186" s="228">
        <v>0.69</v>
      </c>
      <c r="DX186" s="228">
        <v>0.42</v>
      </c>
      <c r="DY186" s="228">
        <v>0.27</v>
      </c>
      <c r="DZ186" s="229">
        <v>0.64290000000000003</v>
      </c>
      <c r="EA186" s="229">
        <v>0.18770000000000001</v>
      </c>
      <c r="EB186" s="230">
        <v>1960000</v>
      </c>
      <c r="EC186" s="229">
        <v>6.6E-3</v>
      </c>
      <c r="ED186" s="229">
        <v>0.18770000000000001</v>
      </c>
      <c r="EE186" s="228">
        <v>10.38</v>
      </c>
      <c r="EF186" s="229">
        <v>5.8999999999999999E-3</v>
      </c>
      <c r="EG186" s="230">
        <v>2533145</v>
      </c>
      <c r="EH186" s="230">
        <v>1519888</v>
      </c>
      <c r="EI186" s="229">
        <v>0.66669999999999996</v>
      </c>
      <c r="EJ186" s="229">
        <v>0.6794</v>
      </c>
      <c r="EK186" s="231">
        <v>3092.84</v>
      </c>
      <c r="EL186" s="231">
        <v>2064.79</v>
      </c>
      <c r="EM186" s="228">
        <v>658.91</v>
      </c>
      <c r="EN186" s="228">
        <v>40.28</v>
      </c>
      <c r="EO186" s="231">
        <v>5816.53</v>
      </c>
      <c r="EP186" s="231">
        <v>2202.9699999999998</v>
      </c>
      <c r="EQ186" s="231">
        <v>3613.56</v>
      </c>
      <c r="ER186" s="229">
        <v>1.6403000000000001</v>
      </c>
      <c r="ES186" s="231">
        <v>1655.92</v>
      </c>
      <c r="ET186" s="228">
        <v>531.58000000000004</v>
      </c>
      <c r="EU186" s="231">
        <v>2657.27</v>
      </c>
      <c r="EV186" s="231">
        <v>109220043</v>
      </c>
      <c r="EW186" s="231">
        <v>4844.78</v>
      </c>
      <c r="EX186" s="231">
        <v>4339.0200000000004</v>
      </c>
      <c r="EY186" s="228">
        <v>505.76</v>
      </c>
      <c r="EZ186" s="229">
        <v>0.1166</v>
      </c>
      <c r="FA186" s="229">
        <v>0.24979999999999999</v>
      </c>
      <c r="FB186" s="227" t="s">
        <v>567</v>
      </c>
      <c r="FC186">
        <f t="shared" si="3"/>
        <v>0</v>
      </c>
    </row>
    <row r="187" spans="1:159" ht="17.25" thickBot="1" x14ac:dyDescent="0.3">
      <c r="A187" s="226">
        <v>46009</v>
      </c>
      <c r="B187" s="227" t="s">
        <v>184</v>
      </c>
      <c r="C187" s="227" t="s">
        <v>574</v>
      </c>
      <c r="D187" s="228">
        <v>175</v>
      </c>
      <c r="E187" s="228">
        <v>12</v>
      </c>
      <c r="F187" s="231">
        <v>3355.9</v>
      </c>
      <c r="G187" s="231">
        <v>3359.1</v>
      </c>
      <c r="H187" s="228">
        <v>-3.2</v>
      </c>
      <c r="I187" s="229">
        <v>-1E-3</v>
      </c>
      <c r="J187" s="231">
        <v>3340.9</v>
      </c>
      <c r="K187" s="231">
        <v>3345.2</v>
      </c>
      <c r="L187" s="228">
        <v>-4.3</v>
      </c>
      <c r="M187" s="229">
        <v>-1.2999999999999999E-3</v>
      </c>
      <c r="N187" s="231">
        <v>3355.9</v>
      </c>
      <c r="O187" s="231">
        <v>3359.1</v>
      </c>
      <c r="P187" s="228">
        <v>-3.2</v>
      </c>
      <c r="Q187" s="229">
        <v>-1E-3</v>
      </c>
      <c r="R187" s="231">
        <v>3372.9</v>
      </c>
      <c r="S187" s="231">
        <v>3370.2</v>
      </c>
      <c r="T187" s="228">
        <v>2.7</v>
      </c>
      <c r="U187" s="229">
        <v>8.0000000000000004E-4</v>
      </c>
      <c r="V187" s="231">
        <v>3387</v>
      </c>
      <c r="W187" s="231">
        <v>3391.4</v>
      </c>
      <c r="X187" s="228">
        <v>-4.4000000000000004</v>
      </c>
      <c r="Y187" s="229">
        <v>-1.2999999999999999E-3</v>
      </c>
      <c r="Z187" s="228">
        <v>15</v>
      </c>
      <c r="AA187" s="228">
        <v>13.9</v>
      </c>
      <c r="AB187" s="228">
        <v>1.1000000000000001</v>
      </c>
      <c r="AC187" s="229">
        <v>4.4999999999999997E-3</v>
      </c>
      <c r="AD187" s="228">
        <v>15</v>
      </c>
      <c r="AE187" s="228">
        <v>13.9</v>
      </c>
      <c r="AF187" s="228">
        <v>1.1000000000000001</v>
      </c>
      <c r="AG187" s="229">
        <v>4.4999999999999997E-3</v>
      </c>
      <c r="AH187" s="228">
        <v>32</v>
      </c>
      <c r="AI187" s="228">
        <v>25</v>
      </c>
      <c r="AJ187" s="228">
        <v>7</v>
      </c>
      <c r="AK187" s="229">
        <v>9.5999999999999992E-3</v>
      </c>
      <c r="AL187" s="228">
        <v>46.1</v>
      </c>
      <c r="AM187" s="228">
        <v>46.2</v>
      </c>
      <c r="AN187" s="228">
        <v>-0.1</v>
      </c>
      <c r="AO187" s="229">
        <v>1.38E-2</v>
      </c>
      <c r="AP187" s="231">
        <v>3351.52</v>
      </c>
      <c r="AQ187" s="231">
        <v>3366.22</v>
      </c>
      <c r="AR187" s="228">
        <v>0</v>
      </c>
      <c r="AS187" s="228">
        <v>109</v>
      </c>
      <c r="AT187" s="228">
        <v>168</v>
      </c>
      <c r="AU187" s="228">
        <v>-58</v>
      </c>
      <c r="AV187" s="229">
        <v>-0.34860000000000002</v>
      </c>
      <c r="AW187" s="228">
        <v>98</v>
      </c>
      <c r="AX187" s="228">
        <v>150</v>
      </c>
      <c r="AY187" s="228">
        <v>-52</v>
      </c>
      <c r="AZ187" s="229">
        <v>-0.34660000000000002</v>
      </c>
      <c r="BA187" s="228">
        <v>11</v>
      </c>
      <c r="BB187" s="228">
        <v>16</v>
      </c>
      <c r="BC187" s="228">
        <v>-5</v>
      </c>
      <c r="BD187" s="229">
        <v>-0.33939999999999998</v>
      </c>
      <c r="BE187" s="228">
        <v>0</v>
      </c>
      <c r="BF187" s="228">
        <v>1</v>
      </c>
      <c r="BG187" s="228">
        <v>-1</v>
      </c>
      <c r="BH187" s="229">
        <v>-0.71430000000000005</v>
      </c>
      <c r="BI187" s="228">
        <v>255</v>
      </c>
      <c r="BJ187" s="228">
        <v>800</v>
      </c>
      <c r="BK187" s="228">
        <v>-545</v>
      </c>
      <c r="BL187" s="229">
        <v>-0.68140000000000001</v>
      </c>
      <c r="BM187" s="228">
        <v>107</v>
      </c>
      <c r="BN187" s="228">
        <v>476</v>
      </c>
      <c r="BO187" s="228">
        <v>-370</v>
      </c>
      <c r="BP187" s="229">
        <v>-0.77569999999999995</v>
      </c>
      <c r="BQ187" s="228">
        <v>471</v>
      </c>
      <c r="BR187" s="230">
        <v>1444</v>
      </c>
      <c r="BS187" s="228">
        <v>-973</v>
      </c>
      <c r="BT187" s="229">
        <v>-0.67390000000000005</v>
      </c>
      <c r="BU187" s="230">
        <v>162270</v>
      </c>
      <c r="BV187" s="230">
        <v>310827</v>
      </c>
      <c r="BW187" s="230">
        <v>-148557</v>
      </c>
      <c r="BX187" s="229">
        <v>-0.47789999999999999</v>
      </c>
      <c r="BY187" s="228">
        <v>761</v>
      </c>
      <c r="BZ187" s="228">
        <v>752</v>
      </c>
      <c r="CA187" s="228">
        <v>9</v>
      </c>
      <c r="CB187" s="229">
        <v>1.1599999999999999E-2</v>
      </c>
      <c r="CC187" s="228">
        <v>682</v>
      </c>
      <c r="CD187" s="228">
        <v>674</v>
      </c>
      <c r="CE187" s="228">
        <v>8</v>
      </c>
      <c r="CF187" s="229">
        <v>1.1900000000000001E-2</v>
      </c>
      <c r="CG187" s="228">
        <v>75</v>
      </c>
      <c r="CH187" s="228">
        <v>74</v>
      </c>
      <c r="CI187" s="228">
        <v>1</v>
      </c>
      <c r="CJ187" s="229">
        <v>8.6999999999999994E-3</v>
      </c>
      <c r="CK187" s="228">
        <v>4</v>
      </c>
      <c r="CL187" s="228">
        <v>4</v>
      </c>
      <c r="CM187" s="228">
        <v>0</v>
      </c>
      <c r="CN187" s="229">
        <v>0</v>
      </c>
      <c r="CO187" s="228">
        <v>433</v>
      </c>
      <c r="CP187" s="228">
        <v>444</v>
      </c>
      <c r="CQ187" s="228">
        <v>-11</v>
      </c>
      <c r="CR187" s="229">
        <v>-2.5700000000000001E-2</v>
      </c>
      <c r="CS187" s="228">
        <v>262</v>
      </c>
      <c r="CT187" s="228">
        <v>263</v>
      </c>
      <c r="CU187" s="228">
        <v>-1</v>
      </c>
      <c r="CV187" s="229">
        <v>-4.7000000000000002E-3</v>
      </c>
      <c r="CW187" s="230">
        <v>1456</v>
      </c>
      <c r="CX187" s="230">
        <v>1460</v>
      </c>
      <c r="CY187" s="228">
        <v>-4</v>
      </c>
      <c r="CZ187" s="229">
        <v>-2.7000000000000001E-3</v>
      </c>
      <c r="DA187" s="228">
        <v>25.05</v>
      </c>
      <c r="DB187" s="228">
        <v>26.17</v>
      </c>
      <c r="DC187" s="228">
        <v>-1.1200000000000001</v>
      </c>
      <c r="DD187" s="228">
        <v>-1.1200000000000001</v>
      </c>
      <c r="DE187" s="228">
        <v>39.85</v>
      </c>
      <c r="DF187" s="228">
        <v>39.950000000000003</v>
      </c>
      <c r="DG187" s="228">
        <v>-14.8</v>
      </c>
      <c r="DH187" s="228">
        <v>-0.1</v>
      </c>
      <c r="DI187" s="228">
        <v>25.19</v>
      </c>
      <c r="DJ187" s="228">
        <v>26.78</v>
      </c>
      <c r="DK187" s="228">
        <v>-1.59</v>
      </c>
      <c r="DL187" s="228">
        <v>-1.59</v>
      </c>
      <c r="DM187" s="228">
        <v>24.73</v>
      </c>
      <c r="DN187" s="228">
        <v>25.16</v>
      </c>
      <c r="DO187" s="228">
        <v>-0.43</v>
      </c>
      <c r="DP187" s="228">
        <v>-0.43</v>
      </c>
      <c r="DQ187" s="228">
        <v>0.61</v>
      </c>
      <c r="DR187" s="228">
        <v>0.59</v>
      </c>
      <c r="DS187" s="228">
        <v>0.02</v>
      </c>
      <c r="DT187" s="229">
        <v>3.39E-2</v>
      </c>
      <c r="DU187" s="231">
        <v>3600</v>
      </c>
      <c r="DV187" s="231">
        <v>3200</v>
      </c>
      <c r="DW187" s="228">
        <v>0.42</v>
      </c>
      <c r="DX187" s="228">
        <v>0.6</v>
      </c>
      <c r="DY187" s="228">
        <v>-0.18</v>
      </c>
      <c r="DZ187" s="229">
        <v>-0.3</v>
      </c>
      <c r="EA187" s="229">
        <v>0.1038</v>
      </c>
      <c r="EB187" s="230">
        <v>233275</v>
      </c>
      <c r="EC187" s="229">
        <v>5.1000000000000004E-3</v>
      </c>
      <c r="ED187" s="229">
        <v>0.1038</v>
      </c>
      <c r="EE187" s="228">
        <v>14.7</v>
      </c>
      <c r="EF187" s="229">
        <v>4.4000000000000003E-3</v>
      </c>
      <c r="EG187" s="230">
        <v>110580</v>
      </c>
      <c r="EH187" s="230">
        <v>173543</v>
      </c>
      <c r="EI187" s="229">
        <v>-0.36280000000000001</v>
      </c>
      <c r="EJ187" s="229">
        <v>0.68149999999999999</v>
      </c>
      <c r="EK187" s="228">
        <v>267.45</v>
      </c>
      <c r="EL187" s="228">
        <v>104.81</v>
      </c>
      <c r="EM187" s="228">
        <v>109.08</v>
      </c>
      <c r="EN187" s="228">
        <v>38.4</v>
      </c>
      <c r="EO187" s="228">
        <v>481.34</v>
      </c>
      <c r="EP187" s="231">
        <v>1481.09</v>
      </c>
      <c r="EQ187" s="228">
        <v>-999.75</v>
      </c>
      <c r="ER187" s="229">
        <v>-0.67500000000000004</v>
      </c>
      <c r="ES187" s="228">
        <v>461.56</v>
      </c>
      <c r="ET187" s="228">
        <v>258.95999999999998</v>
      </c>
      <c r="EU187" s="228">
        <v>761.18</v>
      </c>
      <c r="EV187" s="231">
        <v>7242074</v>
      </c>
      <c r="EW187" s="231">
        <v>1481.7</v>
      </c>
      <c r="EX187" s="231">
        <v>1486.86</v>
      </c>
      <c r="EY187" s="228">
        <v>-5.16</v>
      </c>
      <c r="EZ187" s="229">
        <v>-3.5000000000000001E-3</v>
      </c>
      <c r="FA187" s="229">
        <v>0.59889999999999999</v>
      </c>
      <c r="FB187" s="227" t="s">
        <v>567</v>
      </c>
      <c r="FC187">
        <f t="shared" si="3"/>
        <v>0</v>
      </c>
    </row>
    <row r="188" spans="1:159" ht="17.25" thickBot="1" x14ac:dyDescent="0.3">
      <c r="A188" s="226">
        <v>46009</v>
      </c>
      <c r="B188" s="227" t="s">
        <v>161</v>
      </c>
      <c r="C188" s="227" t="s">
        <v>685</v>
      </c>
      <c r="D188" s="228">
        <v>8000</v>
      </c>
      <c r="E188" s="228">
        <v>12</v>
      </c>
      <c r="F188" s="228">
        <v>51.87</v>
      </c>
      <c r="G188" s="228">
        <v>51.98</v>
      </c>
      <c r="H188" s="228">
        <v>-0.11</v>
      </c>
      <c r="I188" s="229">
        <v>-2.0999999999999999E-3</v>
      </c>
      <c r="J188" s="228">
        <v>51.78</v>
      </c>
      <c r="K188" s="228">
        <v>51.94</v>
      </c>
      <c r="L188" s="228">
        <v>-0.16</v>
      </c>
      <c r="M188" s="229">
        <v>-3.0999999999999999E-3</v>
      </c>
      <c r="N188" s="228">
        <v>51.87</v>
      </c>
      <c r="O188" s="228">
        <v>51.98</v>
      </c>
      <c r="P188" s="228">
        <v>-0.11</v>
      </c>
      <c r="Q188" s="229">
        <v>-2.0999999999999999E-3</v>
      </c>
      <c r="R188" s="228">
        <v>52.21</v>
      </c>
      <c r="S188" s="228">
        <v>52.3</v>
      </c>
      <c r="T188" s="228">
        <v>-0.09</v>
      </c>
      <c r="U188" s="229">
        <v>-1.6999999999999999E-3</v>
      </c>
      <c r="V188" s="228">
        <v>52.46</v>
      </c>
      <c r="W188" s="228">
        <v>52.63</v>
      </c>
      <c r="X188" s="228">
        <v>-0.17</v>
      </c>
      <c r="Y188" s="229">
        <v>-3.2000000000000002E-3</v>
      </c>
      <c r="Z188" s="228">
        <v>0.09</v>
      </c>
      <c r="AA188" s="228">
        <v>0.04</v>
      </c>
      <c r="AB188" s="228">
        <v>0.05</v>
      </c>
      <c r="AC188" s="229">
        <v>1.6999999999999999E-3</v>
      </c>
      <c r="AD188" s="228">
        <v>0.09</v>
      </c>
      <c r="AE188" s="228">
        <v>0.04</v>
      </c>
      <c r="AF188" s="228">
        <v>0.05</v>
      </c>
      <c r="AG188" s="229">
        <v>1.6999999999999999E-3</v>
      </c>
      <c r="AH188" s="228">
        <v>0.43</v>
      </c>
      <c r="AI188" s="228">
        <v>0.36</v>
      </c>
      <c r="AJ188" s="228">
        <v>7.0000000000000007E-2</v>
      </c>
      <c r="AK188" s="229">
        <v>8.3000000000000001E-3</v>
      </c>
      <c r="AL188" s="228">
        <v>0.68</v>
      </c>
      <c r="AM188" s="228">
        <v>0.69</v>
      </c>
      <c r="AN188" s="228">
        <v>-0.01</v>
      </c>
      <c r="AO188" s="229">
        <v>1.3100000000000001E-2</v>
      </c>
      <c r="AP188" s="228">
        <v>51.75</v>
      </c>
      <c r="AQ188" s="228">
        <v>52.08</v>
      </c>
      <c r="AR188" s="228">
        <v>0</v>
      </c>
      <c r="AS188" s="228">
        <v>169</v>
      </c>
      <c r="AT188" s="228">
        <v>142</v>
      </c>
      <c r="AU188" s="228">
        <v>27</v>
      </c>
      <c r="AV188" s="229">
        <v>0.1928</v>
      </c>
      <c r="AW188" s="228">
        <v>120</v>
      </c>
      <c r="AX188" s="228">
        <v>100</v>
      </c>
      <c r="AY188" s="228">
        <v>19</v>
      </c>
      <c r="AZ188" s="229">
        <v>0.19139999999999999</v>
      </c>
      <c r="BA188" s="228">
        <v>42</v>
      </c>
      <c r="BB188" s="228">
        <v>33</v>
      </c>
      <c r="BC188" s="228">
        <v>9</v>
      </c>
      <c r="BD188" s="229">
        <v>0.26729999999999998</v>
      </c>
      <c r="BE188" s="228">
        <v>8</v>
      </c>
      <c r="BF188" s="228">
        <v>8</v>
      </c>
      <c r="BG188" s="228">
        <v>-1</v>
      </c>
      <c r="BH188" s="229">
        <v>-8.5000000000000006E-2</v>
      </c>
      <c r="BI188" s="228">
        <v>599</v>
      </c>
      <c r="BJ188" s="228">
        <v>618</v>
      </c>
      <c r="BK188" s="228">
        <v>-20</v>
      </c>
      <c r="BL188" s="229">
        <v>-3.1600000000000003E-2</v>
      </c>
      <c r="BM188" s="228">
        <v>137</v>
      </c>
      <c r="BN188" s="228">
        <v>142</v>
      </c>
      <c r="BO188" s="228">
        <v>-6</v>
      </c>
      <c r="BP188" s="229">
        <v>-4.02E-2</v>
      </c>
      <c r="BQ188" s="228">
        <v>904</v>
      </c>
      <c r="BR188" s="228">
        <v>902</v>
      </c>
      <c r="BS188" s="228">
        <v>2</v>
      </c>
      <c r="BT188" s="229">
        <v>2.3E-3</v>
      </c>
      <c r="BU188" s="230">
        <v>34867615</v>
      </c>
      <c r="BV188" s="230">
        <v>32876945</v>
      </c>
      <c r="BW188" s="230">
        <v>1990670</v>
      </c>
      <c r="BX188" s="229">
        <v>6.0499999999999998E-2</v>
      </c>
      <c r="BY188" s="230">
        <v>1518</v>
      </c>
      <c r="BZ188" s="230">
        <v>1499</v>
      </c>
      <c r="CA188" s="228">
        <v>18</v>
      </c>
      <c r="CB188" s="229">
        <v>1.23E-2</v>
      </c>
      <c r="CC188" s="230">
        <v>1268</v>
      </c>
      <c r="CD188" s="230">
        <v>1273</v>
      </c>
      <c r="CE188" s="228">
        <v>-5</v>
      </c>
      <c r="CF188" s="229">
        <v>-3.5999999999999999E-3</v>
      </c>
      <c r="CG188" s="228">
        <v>230</v>
      </c>
      <c r="CH188" s="228">
        <v>205</v>
      </c>
      <c r="CI188" s="228">
        <v>24</v>
      </c>
      <c r="CJ188" s="229">
        <v>0.1178</v>
      </c>
      <c r="CK188" s="228">
        <v>20</v>
      </c>
      <c r="CL188" s="228">
        <v>21</v>
      </c>
      <c r="CM188" s="228">
        <v>-1</v>
      </c>
      <c r="CN188" s="229">
        <v>-5.5199999999999999E-2</v>
      </c>
      <c r="CO188" s="230">
        <v>1117</v>
      </c>
      <c r="CP188" s="230">
        <v>1112</v>
      </c>
      <c r="CQ188" s="228">
        <v>5</v>
      </c>
      <c r="CR188" s="229">
        <v>4.8999999999999998E-3</v>
      </c>
      <c r="CS188" s="228">
        <v>456</v>
      </c>
      <c r="CT188" s="228">
        <v>451</v>
      </c>
      <c r="CU188" s="228">
        <v>6</v>
      </c>
      <c r="CV188" s="229">
        <v>1.2800000000000001E-2</v>
      </c>
      <c r="CW188" s="230">
        <v>3091</v>
      </c>
      <c r="CX188" s="230">
        <v>3061</v>
      </c>
      <c r="CY188" s="228">
        <v>30</v>
      </c>
      <c r="CZ188" s="229">
        <v>9.7000000000000003E-3</v>
      </c>
      <c r="DA188" s="228">
        <v>33.229999999999997</v>
      </c>
      <c r="DB188" s="228">
        <v>35.770000000000003</v>
      </c>
      <c r="DC188" s="228">
        <v>-2.54</v>
      </c>
      <c r="DD188" s="228">
        <v>-2.54</v>
      </c>
      <c r="DE188" s="228">
        <v>47.48</v>
      </c>
      <c r="DF188" s="228">
        <v>47.6</v>
      </c>
      <c r="DG188" s="228">
        <v>-14.25</v>
      </c>
      <c r="DH188" s="228">
        <v>-0.12</v>
      </c>
      <c r="DI188" s="228">
        <v>33.82</v>
      </c>
      <c r="DJ188" s="228">
        <v>37.29</v>
      </c>
      <c r="DK188" s="228">
        <v>-3.47</v>
      </c>
      <c r="DL188" s="228">
        <v>-3.47</v>
      </c>
      <c r="DM188" s="228">
        <v>30.66</v>
      </c>
      <c r="DN188" s="228">
        <v>29.21</v>
      </c>
      <c r="DO188" s="228">
        <v>1.45</v>
      </c>
      <c r="DP188" s="228">
        <v>1.45</v>
      </c>
      <c r="DQ188" s="228">
        <v>0.41</v>
      </c>
      <c r="DR188" s="228">
        <v>0.41</v>
      </c>
      <c r="DS188" s="228">
        <v>0</v>
      </c>
      <c r="DT188" s="229">
        <v>0</v>
      </c>
      <c r="DU188" s="228">
        <v>60</v>
      </c>
      <c r="DV188" s="228">
        <v>55</v>
      </c>
      <c r="DW188" s="228">
        <v>0.23</v>
      </c>
      <c r="DX188" s="228">
        <v>0.23</v>
      </c>
      <c r="DY188" s="228">
        <v>0</v>
      </c>
      <c r="DZ188" s="229">
        <v>0</v>
      </c>
      <c r="EA188" s="229">
        <v>0.16450000000000001</v>
      </c>
      <c r="EB188" s="230">
        <v>43699050</v>
      </c>
      <c r="EC188" s="229">
        <v>6.6E-3</v>
      </c>
      <c r="ED188" s="229">
        <v>0.16450000000000001</v>
      </c>
      <c r="EE188" s="228">
        <v>0.33</v>
      </c>
      <c r="EF188" s="229">
        <v>6.4000000000000003E-3</v>
      </c>
      <c r="EG188" s="230">
        <v>12633923</v>
      </c>
      <c r="EH188" s="230">
        <v>15026049</v>
      </c>
      <c r="EI188" s="229">
        <v>-0.15920000000000001</v>
      </c>
      <c r="EJ188" s="229">
        <v>0.36230000000000001</v>
      </c>
      <c r="EK188" s="228">
        <v>646.92999999999995</v>
      </c>
      <c r="EL188" s="228">
        <v>136.47999999999999</v>
      </c>
      <c r="EM188" s="228">
        <v>175.19</v>
      </c>
      <c r="EN188" s="228">
        <v>39.49</v>
      </c>
      <c r="EO188" s="228">
        <v>958.61</v>
      </c>
      <c r="EP188" s="228">
        <v>980.85</v>
      </c>
      <c r="EQ188" s="228">
        <v>-22.25</v>
      </c>
      <c r="ER188" s="229">
        <v>-2.2700000000000001E-2</v>
      </c>
      <c r="ES188" s="231">
        <v>1246.9100000000001</v>
      </c>
      <c r="ET188" s="228">
        <v>469.03</v>
      </c>
      <c r="EU188" s="231">
        <v>1519.51</v>
      </c>
      <c r="EV188" s="231">
        <v>1813533848</v>
      </c>
      <c r="EW188" s="231">
        <v>3235.45</v>
      </c>
      <c r="EX188" s="231">
        <v>3207.9</v>
      </c>
      <c r="EY188" s="228">
        <v>27.55</v>
      </c>
      <c r="EZ188" s="229">
        <v>8.6E-3</v>
      </c>
      <c r="FA188" s="229">
        <v>0.3286</v>
      </c>
      <c r="FB188" s="227" t="s">
        <v>567</v>
      </c>
      <c r="FC188">
        <f t="shared" si="3"/>
        <v>0</v>
      </c>
    </row>
    <row r="189" spans="1:159" ht="17.25" thickBot="1" x14ac:dyDescent="0.3">
      <c r="A189" s="226">
        <v>46009</v>
      </c>
      <c r="B189" s="227" t="s">
        <v>170</v>
      </c>
      <c r="C189" s="227" t="s">
        <v>520</v>
      </c>
      <c r="D189" s="228">
        <v>1000</v>
      </c>
      <c r="E189" s="228">
        <v>12</v>
      </c>
      <c r="F189" s="228">
        <v>658.25</v>
      </c>
      <c r="G189" s="228">
        <v>647.25</v>
      </c>
      <c r="H189" s="228">
        <v>11</v>
      </c>
      <c r="I189" s="229">
        <v>1.7000000000000001E-2</v>
      </c>
      <c r="J189" s="228">
        <v>657.1</v>
      </c>
      <c r="K189" s="228">
        <v>646.5</v>
      </c>
      <c r="L189" s="228">
        <v>10.6</v>
      </c>
      <c r="M189" s="229">
        <v>1.6400000000000001E-2</v>
      </c>
      <c r="N189" s="228">
        <v>658.25</v>
      </c>
      <c r="O189" s="228">
        <v>647.25</v>
      </c>
      <c r="P189" s="228">
        <v>11</v>
      </c>
      <c r="Q189" s="229">
        <v>1.7000000000000001E-2</v>
      </c>
      <c r="R189" s="228">
        <v>661.8</v>
      </c>
      <c r="S189" s="228">
        <v>650.9</v>
      </c>
      <c r="T189" s="228">
        <v>10.9</v>
      </c>
      <c r="U189" s="229">
        <v>1.67E-2</v>
      </c>
      <c r="V189" s="228">
        <v>667.15</v>
      </c>
      <c r="W189" s="228">
        <v>659.2</v>
      </c>
      <c r="X189" s="228">
        <v>7.95</v>
      </c>
      <c r="Y189" s="229">
        <v>1.21E-2</v>
      </c>
      <c r="Z189" s="228">
        <v>1.1499999999999999</v>
      </c>
      <c r="AA189" s="228">
        <v>0.75</v>
      </c>
      <c r="AB189" s="228">
        <v>0.4</v>
      </c>
      <c r="AC189" s="229">
        <v>1.8E-3</v>
      </c>
      <c r="AD189" s="228">
        <v>1.1499999999999999</v>
      </c>
      <c r="AE189" s="228">
        <v>0.75</v>
      </c>
      <c r="AF189" s="228">
        <v>0.4</v>
      </c>
      <c r="AG189" s="229">
        <v>1.8E-3</v>
      </c>
      <c r="AH189" s="228">
        <v>4.7</v>
      </c>
      <c r="AI189" s="228">
        <v>4.4000000000000004</v>
      </c>
      <c r="AJ189" s="228">
        <v>0.3</v>
      </c>
      <c r="AK189" s="229">
        <v>7.1999999999999998E-3</v>
      </c>
      <c r="AL189" s="228">
        <v>10.050000000000001</v>
      </c>
      <c r="AM189" s="228">
        <v>12.7</v>
      </c>
      <c r="AN189" s="228">
        <v>-2.65</v>
      </c>
      <c r="AO189" s="229">
        <v>1.5299999999999999E-2</v>
      </c>
      <c r="AP189" s="228">
        <v>653.91</v>
      </c>
      <c r="AQ189" s="228">
        <v>657.99</v>
      </c>
      <c r="AR189" s="228">
        <v>0</v>
      </c>
      <c r="AS189" s="228">
        <v>100</v>
      </c>
      <c r="AT189" s="228">
        <v>53</v>
      </c>
      <c r="AU189" s="228">
        <v>48</v>
      </c>
      <c r="AV189" s="229">
        <v>0.90480000000000005</v>
      </c>
      <c r="AW189" s="228">
        <v>90</v>
      </c>
      <c r="AX189" s="228">
        <v>47</v>
      </c>
      <c r="AY189" s="228">
        <v>43</v>
      </c>
      <c r="AZ189" s="229">
        <v>0.91839999999999999</v>
      </c>
      <c r="BA189" s="228">
        <v>10</v>
      </c>
      <c r="BB189" s="228">
        <v>6</v>
      </c>
      <c r="BC189" s="228">
        <v>4</v>
      </c>
      <c r="BD189" s="229">
        <v>0.74709999999999999</v>
      </c>
      <c r="BE189" s="228">
        <v>0</v>
      </c>
      <c r="BF189" s="228">
        <v>0</v>
      </c>
      <c r="BG189" s="228">
        <v>0</v>
      </c>
      <c r="BH189" s="229">
        <v>0</v>
      </c>
      <c r="BI189" s="228">
        <v>255</v>
      </c>
      <c r="BJ189" s="228">
        <v>134</v>
      </c>
      <c r="BK189" s="228">
        <v>121</v>
      </c>
      <c r="BL189" s="229">
        <v>0.9</v>
      </c>
      <c r="BM189" s="228">
        <v>81</v>
      </c>
      <c r="BN189" s="228">
        <v>43</v>
      </c>
      <c r="BO189" s="228">
        <v>38</v>
      </c>
      <c r="BP189" s="229">
        <v>0.89349999999999996</v>
      </c>
      <c r="BQ189" s="228">
        <v>436</v>
      </c>
      <c r="BR189" s="228">
        <v>229</v>
      </c>
      <c r="BS189" s="228">
        <v>206</v>
      </c>
      <c r="BT189" s="229">
        <v>0.89990000000000003</v>
      </c>
      <c r="BU189" s="230">
        <v>960566</v>
      </c>
      <c r="BV189" s="230">
        <v>893314</v>
      </c>
      <c r="BW189" s="230">
        <v>67252</v>
      </c>
      <c r="BX189" s="229">
        <v>7.5300000000000006E-2</v>
      </c>
      <c r="BY189" s="228">
        <v>551</v>
      </c>
      <c r="BZ189" s="228">
        <v>559</v>
      </c>
      <c r="CA189" s="228">
        <v>-8</v>
      </c>
      <c r="CB189" s="229">
        <v>-1.4999999999999999E-2</v>
      </c>
      <c r="CC189" s="228">
        <v>531</v>
      </c>
      <c r="CD189" s="228">
        <v>541</v>
      </c>
      <c r="CE189" s="228">
        <v>-10</v>
      </c>
      <c r="CF189" s="229">
        <v>-1.84E-2</v>
      </c>
      <c r="CG189" s="228">
        <v>19</v>
      </c>
      <c r="CH189" s="228">
        <v>17</v>
      </c>
      <c r="CI189" s="228">
        <v>1</v>
      </c>
      <c r="CJ189" s="229">
        <v>8.0500000000000002E-2</v>
      </c>
      <c r="CK189" s="228">
        <v>1</v>
      </c>
      <c r="CL189" s="228">
        <v>1</v>
      </c>
      <c r="CM189" s="228">
        <v>0</v>
      </c>
      <c r="CN189" s="229">
        <v>0.2727</v>
      </c>
      <c r="CO189" s="228">
        <v>237</v>
      </c>
      <c r="CP189" s="228">
        <v>213</v>
      </c>
      <c r="CQ189" s="228">
        <v>24</v>
      </c>
      <c r="CR189" s="229">
        <v>0.1139</v>
      </c>
      <c r="CS189" s="228">
        <v>108</v>
      </c>
      <c r="CT189" s="228">
        <v>105</v>
      </c>
      <c r="CU189" s="228">
        <v>2</v>
      </c>
      <c r="CV189" s="229">
        <v>2.3099999999999999E-2</v>
      </c>
      <c r="CW189" s="228">
        <v>895</v>
      </c>
      <c r="CX189" s="228">
        <v>877</v>
      </c>
      <c r="CY189" s="228">
        <v>18</v>
      </c>
      <c r="CZ189" s="229">
        <v>2.0899999999999998E-2</v>
      </c>
      <c r="DA189" s="228">
        <v>21.01</v>
      </c>
      <c r="DB189" s="228">
        <v>21.78</v>
      </c>
      <c r="DC189" s="228">
        <v>-0.77</v>
      </c>
      <c r="DD189" s="228">
        <v>-0.77</v>
      </c>
      <c r="DE189" s="228">
        <v>32.43</v>
      </c>
      <c r="DF189" s="228">
        <v>32.43</v>
      </c>
      <c r="DG189" s="228">
        <v>-11.42</v>
      </c>
      <c r="DH189" s="228">
        <v>0</v>
      </c>
      <c r="DI189" s="228">
        <v>20.329999999999998</v>
      </c>
      <c r="DJ189" s="228">
        <v>21.94</v>
      </c>
      <c r="DK189" s="228">
        <v>-1.61</v>
      </c>
      <c r="DL189" s="228">
        <v>-1.61</v>
      </c>
      <c r="DM189" s="228">
        <v>23.15</v>
      </c>
      <c r="DN189" s="228">
        <v>21.26</v>
      </c>
      <c r="DO189" s="228">
        <v>1.89</v>
      </c>
      <c r="DP189" s="228">
        <v>1.89</v>
      </c>
      <c r="DQ189" s="228">
        <v>0.46</v>
      </c>
      <c r="DR189" s="228">
        <v>0.5</v>
      </c>
      <c r="DS189" s="228">
        <v>-0.04</v>
      </c>
      <c r="DT189" s="229">
        <v>-0.08</v>
      </c>
      <c r="DU189" s="228">
        <v>700</v>
      </c>
      <c r="DV189" s="228">
        <v>630</v>
      </c>
      <c r="DW189" s="228">
        <v>0.32</v>
      </c>
      <c r="DX189" s="228">
        <v>0.32</v>
      </c>
      <c r="DY189" s="228">
        <v>0</v>
      </c>
      <c r="DZ189" s="229">
        <v>0</v>
      </c>
      <c r="EA189" s="229">
        <v>3.5400000000000001E-2</v>
      </c>
      <c r="EB189" s="230">
        <v>272000</v>
      </c>
      <c r="EC189" s="229">
        <v>5.4000000000000003E-3</v>
      </c>
      <c r="ED189" s="229">
        <v>3.5400000000000001E-2</v>
      </c>
      <c r="EE189" s="228">
        <v>4.08</v>
      </c>
      <c r="EF189" s="229">
        <v>6.1999999999999998E-3</v>
      </c>
      <c r="EG189" s="230">
        <v>741366</v>
      </c>
      <c r="EH189" s="230">
        <v>718009</v>
      </c>
      <c r="EI189" s="229">
        <v>3.2500000000000001E-2</v>
      </c>
      <c r="EJ189" s="229">
        <v>0.77180000000000004</v>
      </c>
      <c r="EK189" s="228">
        <v>260.75</v>
      </c>
      <c r="EL189" s="228">
        <v>78.17</v>
      </c>
      <c r="EM189" s="228">
        <v>99.46</v>
      </c>
      <c r="EN189" s="228">
        <v>11.9</v>
      </c>
      <c r="EO189" s="228">
        <v>438.38</v>
      </c>
      <c r="EP189" s="228">
        <v>231.37</v>
      </c>
      <c r="EQ189" s="228">
        <v>207.02</v>
      </c>
      <c r="ER189" s="229">
        <v>0.89480000000000004</v>
      </c>
      <c r="ES189" s="228">
        <v>244.37</v>
      </c>
      <c r="ET189" s="228">
        <v>103.06</v>
      </c>
      <c r="EU189" s="228">
        <v>550.79999999999995</v>
      </c>
      <c r="EV189" s="231">
        <v>28408333</v>
      </c>
      <c r="EW189" s="228">
        <v>898.23</v>
      </c>
      <c r="EX189" s="228">
        <v>870.21</v>
      </c>
      <c r="EY189" s="228">
        <v>28.02</v>
      </c>
      <c r="EZ189" s="229">
        <v>3.2199999999999999E-2</v>
      </c>
      <c r="FA189" s="229">
        <v>0.4788</v>
      </c>
      <c r="FB189" s="227" t="s">
        <v>556</v>
      </c>
      <c r="FC189">
        <f t="shared" si="3"/>
        <v>0</v>
      </c>
    </row>
    <row r="190" spans="1:159" ht="17.25" thickBot="1" x14ac:dyDescent="0.3">
      <c r="A190" s="226">
        <v>46009</v>
      </c>
      <c r="B190" s="227" t="s">
        <v>168</v>
      </c>
      <c r="C190" s="227" t="s">
        <v>291</v>
      </c>
      <c r="D190" s="228">
        <v>550</v>
      </c>
      <c r="E190" s="228">
        <v>12</v>
      </c>
      <c r="F190" s="231">
        <v>1174.8</v>
      </c>
      <c r="G190" s="231">
        <v>1180.5</v>
      </c>
      <c r="H190" s="228">
        <v>-5.7</v>
      </c>
      <c r="I190" s="229">
        <v>-4.7999999999999996E-3</v>
      </c>
      <c r="J190" s="231">
        <v>1171.5</v>
      </c>
      <c r="K190" s="231">
        <v>1179.8</v>
      </c>
      <c r="L190" s="228">
        <v>-8.3000000000000007</v>
      </c>
      <c r="M190" s="229">
        <v>-7.0000000000000001E-3</v>
      </c>
      <c r="N190" s="231">
        <v>1174.8</v>
      </c>
      <c r="O190" s="231">
        <v>1180.5</v>
      </c>
      <c r="P190" s="228">
        <v>-5.7</v>
      </c>
      <c r="Q190" s="229">
        <v>-4.7999999999999996E-3</v>
      </c>
      <c r="R190" s="231">
        <v>1182.2</v>
      </c>
      <c r="S190" s="231">
        <v>1188.4000000000001</v>
      </c>
      <c r="T190" s="228">
        <v>-6.2</v>
      </c>
      <c r="U190" s="229">
        <v>-5.1999999999999998E-3</v>
      </c>
      <c r="V190" s="231">
        <v>1188.7</v>
      </c>
      <c r="W190" s="231">
        <v>1194.5999999999999</v>
      </c>
      <c r="X190" s="228">
        <v>-5.9</v>
      </c>
      <c r="Y190" s="229">
        <v>-4.8999999999999998E-3</v>
      </c>
      <c r="Z190" s="228">
        <v>3.3</v>
      </c>
      <c r="AA190" s="228">
        <v>0.7</v>
      </c>
      <c r="AB190" s="228">
        <v>2.6</v>
      </c>
      <c r="AC190" s="229">
        <v>2.8E-3</v>
      </c>
      <c r="AD190" s="228">
        <v>3.3</v>
      </c>
      <c r="AE190" s="228">
        <v>0.7</v>
      </c>
      <c r="AF190" s="228">
        <v>2.6</v>
      </c>
      <c r="AG190" s="229">
        <v>2.8E-3</v>
      </c>
      <c r="AH190" s="228">
        <v>10.7</v>
      </c>
      <c r="AI190" s="228">
        <v>8.6</v>
      </c>
      <c r="AJ190" s="228">
        <v>2.1</v>
      </c>
      <c r="AK190" s="229">
        <v>9.1000000000000004E-3</v>
      </c>
      <c r="AL190" s="228">
        <v>17.2</v>
      </c>
      <c r="AM190" s="228">
        <v>14.8</v>
      </c>
      <c r="AN190" s="228">
        <v>2.4</v>
      </c>
      <c r="AO190" s="229">
        <v>1.47E-2</v>
      </c>
      <c r="AP190" s="231">
        <v>1178.44</v>
      </c>
      <c r="AQ190" s="231">
        <v>1186.0899999999999</v>
      </c>
      <c r="AR190" s="228">
        <v>0</v>
      </c>
      <c r="AS190" s="228">
        <v>218</v>
      </c>
      <c r="AT190" s="228">
        <v>212</v>
      </c>
      <c r="AU190" s="228">
        <v>6</v>
      </c>
      <c r="AV190" s="229">
        <v>2.8000000000000001E-2</v>
      </c>
      <c r="AW190" s="228">
        <v>146</v>
      </c>
      <c r="AX190" s="228">
        <v>180</v>
      </c>
      <c r="AY190" s="228">
        <v>-34</v>
      </c>
      <c r="AZ190" s="229">
        <v>-0.18790000000000001</v>
      </c>
      <c r="BA190" s="228">
        <v>71</v>
      </c>
      <c r="BB190" s="228">
        <v>32</v>
      </c>
      <c r="BC190" s="228">
        <v>40</v>
      </c>
      <c r="BD190" s="229">
        <v>1.2531000000000001</v>
      </c>
      <c r="BE190" s="228">
        <v>1</v>
      </c>
      <c r="BF190" s="228">
        <v>1</v>
      </c>
      <c r="BG190" s="228">
        <v>0</v>
      </c>
      <c r="BH190" s="229">
        <v>7.6899999999999996E-2</v>
      </c>
      <c r="BI190" s="228">
        <v>286</v>
      </c>
      <c r="BJ190" s="228">
        <v>773</v>
      </c>
      <c r="BK190" s="228">
        <v>-487</v>
      </c>
      <c r="BL190" s="229">
        <v>-0.63019999999999998</v>
      </c>
      <c r="BM190" s="228">
        <v>173</v>
      </c>
      <c r="BN190" s="228">
        <v>320</v>
      </c>
      <c r="BO190" s="228">
        <v>-147</v>
      </c>
      <c r="BP190" s="229">
        <v>-0.45850000000000002</v>
      </c>
      <c r="BQ190" s="228">
        <v>677</v>
      </c>
      <c r="BR190" s="230">
        <v>1305</v>
      </c>
      <c r="BS190" s="228">
        <v>-628</v>
      </c>
      <c r="BT190" s="229">
        <v>-0.48099999999999998</v>
      </c>
      <c r="BU190" s="230">
        <v>587895</v>
      </c>
      <c r="BV190" s="230">
        <v>1525990</v>
      </c>
      <c r="BW190" s="230">
        <v>-938095</v>
      </c>
      <c r="BX190" s="229">
        <v>-0.61470000000000002</v>
      </c>
      <c r="BY190" s="230">
        <v>1474</v>
      </c>
      <c r="BZ190" s="230">
        <v>1450</v>
      </c>
      <c r="CA190" s="228">
        <v>24</v>
      </c>
      <c r="CB190" s="229">
        <v>1.67E-2</v>
      </c>
      <c r="CC190" s="230">
        <v>1295</v>
      </c>
      <c r="CD190" s="230">
        <v>1325</v>
      </c>
      <c r="CE190" s="228">
        <v>-31</v>
      </c>
      <c r="CF190" s="229">
        <v>-2.3099999999999999E-2</v>
      </c>
      <c r="CG190" s="228">
        <v>173</v>
      </c>
      <c r="CH190" s="228">
        <v>119</v>
      </c>
      <c r="CI190" s="228">
        <v>54</v>
      </c>
      <c r="CJ190" s="229">
        <v>0.45479999999999998</v>
      </c>
      <c r="CK190" s="228">
        <v>7</v>
      </c>
      <c r="CL190" s="228">
        <v>6</v>
      </c>
      <c r="CM190" s="228">
        <v>1</v>
      </c>
      <c r="CN190" s="229">
        <v>0.12089999999999999</v>
      </c>
      <c r="CO190" s="228">
        <v>663</v>
      </c>
      <c r="CP190" s="228">
        <v>674</v>
      </c>
      <c r="CQ190" s="228">
        <v>-12</v>
      </c>
      <c r="CR190" s="229">
        <v>-1.7100000000000001E-2</v>
      </c>
      <c r="CS190" s="228">
        <v>352</v>
      </c>
      <c r="CT190" s="228">
        <v>360</v>
      </c>
      <c r="CU190" s="228">
        <v>-8</v>
      </c>
      <c r="CV190" s="229">
        <v>-2.35E-2</v>
      </c>
      <c r="CW190" s="230">
        <v>2489</v>
      </c>
      <c r="CX190" s="230">
        <v>2485</v>
      </c>
      <c r="CY190" s="228">
        <v>4</v>
      </c>
      <c r="CZ190" s="229">
        <v>1.6999999999999999E-3</v>
      </c>
      <c r="DA190" s="228">
        <v>19.29</v>
      </c>
      <c r="DB190" s="228">
        <v>20.260000000000002</v>
      </c>
      <c r="DC190" s="228">
        <v>-0.97</v>
      </c>
      <c r="DD190" s="228">
        <v>-0.97</v>
      </c>
      <c r="DE190" s="228">
        <v>25.92</v>
      </c>
      <c r="DF190" s="228">
        <v>25.97</v>
      </c>
      <c r="DG190" s="228">
        <v>-6.63</v>
      </c>
      <c r="DH190" s="228">
        <v>-0.05</v>
      </c>
      <c r="DI190" s="228">
        <v>19.54</v>
      </c>
      <c r="DJ190" s="228">
        <v>20.440000000000001</v>
      </c>
      <c r="DK190" s="228">
        <v>-0.9</v>
      </c>
      <c r="DL190" s="228">
        <v>-0.9</v>
      </c>
      <c r="DM190" s="228">
        <v>18.88</v>
      </c>
      <c r="DN190" s="228">
        <v>19.829999999999998</v>
      </c>
      <c r="DO190" s="228">
        <v>-0.95</v>
      </c>
      <c r="DP190" s="228">
        <v>-0.95</v>
      </c>
      <c r="DQ190" s="228">
        <v>0.53</v>
      </c>
      <c r="DR190" s="228">
        <v>0.53</v>
      </c>
      <c r="DS190" s="228">
        <v>0</v>
      </c>
      <c r="DT190" s="229">
        <v>0</v>
      </c>
      <c r="DU190" s="231">
        <v>1200</v>
      </c>
      <c r="DV190" s="231">
        <v>1070</v>
      </c>
      <c r="DW190" s="228">
        <v>0.61</v>
      </c>
      <c r="DX190" s="228">
        <v>0.41</v>
      </c>
      <c r="DY190" s="228">
        <v>0.2</v>
      </c>
      <c r="DZ190" s="229">
        <v>0.48780000000000001</v>
      </c>
      <c r="EA190" s="229">
        <v>0.1217</v>
      </c>
      <c r="EB190" s="230">
        <v>1060950</v>
      </c>
      <c r="EC190" s="229">
        <v>6.3E-3</v>
      </c>
      <c r="ED190" s="229">
        <v>0.1217</v>
      </c>
      <c r="EE190" s="228">
        <v>7.65</v>
      </c>
      <c r="EF190" s="229">
        <v>6.4999999999999997E-3</v>
      </c>
      <c r="EG190" s="230">
        <v>294761</v>
      </c>
      <c r="EH190" s="230">
        <v>951001</v>
      </c>
      <c r="EI190" s="229">
        <v>-0.69010000000000005</v>
      </c>
      <c r="EJ190" s="229">
        <v>0.50139999999999996</v>
      </c>
      <c r="EK190" s="228">
        <v>295.02</v>
      </c>
      <c r="EL190" s="228">
        <v>172.17</v>
      </c>
      <c r="EM190" s="228">
        <v>219.48</v>
      </c>
      <c r="EN190" s="228">
        <v>33.06</v>
      </c>
      <c r="EO190" s="228">
        <v>686.68</v>
      </c>
      <c r="EP190" s="231">
        <v>1327.4</v>
      </c>
      <c r="EQ190" s="228">
        <v>-640.72</v>
      </c>
      <c r="ER190" s="229">
        <v>-0.48270000000000002</v>
      </c>
      <c r="ES190" s="228">
        <v>690.11</v>
      </c>
      <c r="ET190" s="228">
        <v>337.81</v>
      </c>
      <c r="EU190" s="231">
        <v>1475.14</v>
      </c>
      <c r="EV190" s="231">
        <v>65471528</v>
      </c>
      <c r="EW190" s="231">
        <v>2503.06</v>
      </c>
      <c r="EX190" s="231">
        <v>2505.9699999999998</v>
      </c>
      <c r="EY190" s="228">
        <v>-2.91</v>
      </c>
      <c r="EZ190" s="229">
        <v>-1.1999999999999999E-3</v>
      </c>
      <c r="FA190" s="229">
        <v>0.3236</v>
      </c>
      <c r="FB190" s="227" t="s">
        <v>567</v>
      </c>
      <c r="FC190">
        <f t="shared" si="3"/>
        <v>0</v>
      </c>
    </row>
    <row r="191" spans="1:159" ht="17.25" thickBot="1" x14ac:dyDescent="0.3">
      <c r="A191" s="226">
        <v>46009</v>
      </c>
      <c r="B191" s="227" t="s">
        <v>221</v>
      </c>
      <c r="C191" s="227" t="s">
        <v>604</v>
      </c>
      <c r="D191" s="228">
        <v>100</v>
      </c>
      <c r="E191" s="228">
        <v>12</v>
      </c>
      <c r="F191" s="231">
        <v>5040.5</v>
      </c>
      <c r="G191" s="231">
        <v>4985.5</v>
      </c>
      <c r="H191" s="228">
        <v>55</v>
      </c>
      <c r="I191" s="229">
        <v>1.0999999999999999E-2</v>
      </c>
      <c r="J191" s="231">
        <v>5013.5</v>
      </c>
      <c r="K191" s="231">
        <v>4968.5</v>
      </c>
      <c r="L191" s="228">
        <v>45</v>
      </c>
      <c r="M191" s="229">
        <v>9.1000000000000004E-3</v>
      </c>
      <c r="N191" s="231">
        <v>5040.5</v>
      </c>
      <c r="O191" s="231">
        <v>4985.5</v>
      </c>
      <c r="P191" s="228">
        <v>55</v>
      </c>
      <c r="Q191" s="229">
        <v>1.0999999999999999E-2</v>
      </c>
      <c r="R191" s="231">
        <v>5063.5</v>
      </c>
      <c r="S191" s="231">
        <v>5008</v>
      </c>
      <c r="T191" s="228">
        <v>55.5</v>
      </c>
      <c r="U191" s="229">
        <v>1.11E-2</v>
      </c>
      <c r="V191" s="231">
        <v>5089.5</v>
      </c>
      <c r="W191" s="231">
        <v>5026</v>
      </c>
      <c r="X191" s="228">
        <v>63.5</v>
      </c>
      <c r="Y191" s="229">
        <v>1.26E-2</v>
      </c>
      <c r="Z191" s="228">
        <v>27</v>
      </c>
      <c r="AA191" s="228">
        <v>17</v>
      </c>
      <c r="AB191" s="228">
        <v>10</v>
      </c>
      <c r="AC191" s="229">
        <v>5.4000000000000003E-3</v>
      </c>
      <c r="AD191" s="228">
        <v>27</v>
      </c>
      <c r="AE191" s="228">
        <v>17</v>
      </c>
      <c r="AF191" s="228">
        <v>10</v>
      </c>
      <c r="AG191" s="229">
        <v>5.4000000000000003E-3</v>
      </c>
      <c r="AH191" s="228">
        <v>50</v>
      </c>
      <c r="AI191" s="228">
        <v>39.5</v>
      </c>
      <c r="AJ191" s="228">
        <v>10.5</v>
      </c>
      <c r="AK191" s="229">
        <v>0.01</v>
      </c>
      <c r="AL191" s="228">
        <v>76</v>
      </c>
      <c r="AM191" s="228">
        <v>57.5</v>
      </c>
      <c r="AN191" s="228">
        <v>18.5</v>
      </c>
      <c r="AO191" s="229">
        <v>1.52E-2</v>
      </c>
      <c r="AP191" s="231">
        <v>5017.1499999999996</v>
      </c>
      <c r="AQ191" s="231">
        <v>5031.92</v>
      </c>
      <c r="AR191" s="228">
        <v>0</v>
      </c>
      <c r="AS191" s="228">
        <v>137</v>
      </c>
      <c r="AT191" s="228">
        <v>78</v>
      </c>
      <c r="AU191" s="228">
        <v>59</v>
      </c>
      <c r="AV191" s="229">
        <v>0.76019999999999999</v>
      </c>
      <c r="AW191" s="228">
        <v>115</v>
      </c>
      <c r="AX191" s="228">
        <v>65</v>
      </c>
      <c r="AY191" s="228">
        <v>50</v>
      </c>
      <c r="AZ191" s="229">
        <v>0.76529999999999998</v>
      </c>
      <c r="BA191" s="228">
        <v>21</v>
      </c>
      <c r="BB191" s="228">
        <v>12</v>
      </c>
      <c r="BC191" s="228">
        <v>9</v>
      </c>
      <c r="BD191" s="229">
        <v>0.74580000000000002</v>
      </c>
      <c r="BE191" s="228">
        <v>1</v>
      </c>
      <c r="BF191" s="228">
        <v>1</v>
      </c>
      <c r="BG191" s="228">
        <v>0</v>
      </c>
      <c r="BH191" s="229">
        <v>0.5625</v>
      </c>
      <c r="BI191" s="228">
        <v>386</v>
      </c>
      <c r="BJ191" s="228">
        <v>339</v>
      </c>
      <c r="BK191" s="228">
        <v>47</v>
      </c>
      <c r="BL191" s="229">
        <v>0.13819999999999999</v>
      </c>
      <c r="BM191" s="228">
        <v>149</v>
      </c>
      <c r="BN191" s="228">
        <v>140</v>
      </c>
      <c r="BO191" s="228">
        <v>10</v>
      </c>
      <c r="BP191" s="229">
        <v>6.93E-2</v>
      </c>
      <c r="BQ191" s="228">
        <v>673</v>
      </c>
      <c r="BR191" s="228">
        <v>557</v>
      </c>
      <c r="BS191" s="228">
        <v>116</v>
      </c>
      <c r="BT191" s="229">
        <v>0.20799999999999999</v>
      </c>
      <c r="BU191" s="230">
        <v>112393</v>
      </c>
      <c r="BV191" s="230">
        <v>76174</v>
      </c>
      <c r="BW191" s="230">
        <v>36219</v>
      </c>
      <c r="BX191" s="229">
        <v>0.47549999999999998</v>
      </c>
      <c r="BY191" s="228">
        <v>990</v>
      </c>
      <c r="BZ191" s="228">
        <v>977</v>
      </c>
      <c r="CA191" s="228">
        <v>13</v>
      </c>
      <c r="CB191" s="229">
        <v>1.29E-2</v>
      </c>
      <c r="CC191" s="228">
        <v>901</v>
      </c>
      <c r="CD191" s="228">
        <v>892</v>
      </c>
      <c r="CE191" s="228">
        <v>9</v>
      </c>
      <c r="CF191" s="229">
        <v>9.9000000000000008E-3</v>
      </c>
      <c r="CG191" s="228">
        <v>75</v>
      </c>
      <c r="CH191" s="228">
        <v>71</v>
      </c>
      <c r="CI191" s="228">
        <v>4</v>
      </c>
      <c r="CJ191" s="229">
        <v>5.0999999999999997E-2</v>
      </c>
      <c r="CK191" s="228">
        <v>15</v>
      </c>
      <c r="CL191" s="228">
        <v>14</v>
      </c>
      <c r="CM191" s="228">
        <v>0</v>
      </c>
      <c r="CN191" s="229">
        <v>1.0500000000000001E-2</v>
      </c>
      <c r="CO191" s="228">
        <v>760</v>
      </c>
      <c r="CP191" s="228">
        <v>786</v>
      </c>
      <c r="CQ191" s="228">
        <v>-26</v>
      </c>
      <c r="CR191" s="229">
        <v>-3.3099999999999997E-2</v>
      </c>
      <c r="CS191" s="228">
        <v>294</v>
      </c>
      <c r="CT191" s="228">
        <v>294</v>
      </c>
      <c r="CU191" s="228">
        <v>0</v>
      </c>
      <c r="CV191" s="229">
        <v>-8.9999999999999998E-4</v>
      </c>
      <c r="CW191" s="230">
        <v>2044</v>
      </c>
      <c r="CX191" s="230">
        <v>2057</v>
      </c>
      <c r="CY191" s="228">
        <v>-14</v>
      </c>
      <c r="CZ191" s="229">
        <v>-6.6E-3</v>
      </c>
      <c r="DA191" s="228">
        <v>24.07</v>
      </c>
      <c r="DB191" s="228">
        <v>25.11</v>
      </c>
      <c r="DC191" s="228">
        <v>-1.04</v>
      </c>
      <c r="DD191" s="228">
        <v>-1.04</v>
      </c>
      <c r="DE191" s="228">
        <v>34.79</v>
      </c>
      <c r="DF191" s="228">
        <v>34.840000000000003</v>
      </c>
      <c r="DG191" s="228">
        <v>-10.72</v>
      </c>
      <c r="DH191" s="228">
        <v>-0.05</v>
      </c>
      <c r="DI191" s="228">
        <v>23.9</v>
      </c>
      <c r="DJ191" s="228">
        <v>25.83</v>
      </c>
      <c r="DK191" s="228">
        <v>-1.93</v>
      </c>
      <c r="DL191" s="228">
        <v>-1.93</v>
      </c>
      <c r="DM191" s="228">
        <v>24.49</v>
      </c>
      <c r="DN191" s="228">
        <v>23.36</v>
      </c>
      <c r="DO191" s="228">
        <v>1.1299999999999999</v>
      </c>
      <c r="DP191" s="228">
        <v>1.1299999999999999</v>
      </c>
      <c r="DQ191" s="228">
        <v>0.39</v>
      </c>
      <c r="DR191" s="228">
        <v>0.37</v>
      </c>
      <c r="DS191" s="228">
        <v>0.02</v>
      </c>
      <c r="DT191" s="229">
        <v>5.4100000000000002E-2</v>
      </c>
      <c r="DU191" s="231">
        <v>5300</v>
      </c>
      <c r="DV191" s="231">
        <v>5300</v>
      </c>
      <c r="DW191" s="228">
        <v>0.39</v>
      </c>
      <c r="DX191" s="228">
        <v>0.41</v>
      </c>
      <c r="DY191" s="228">
        <v>-0.02</v>
      </c>
      <c r="DZ191" s="229">
        <v>-4.8800000000000003E-2</v>
      </c>
      <c r="EA191" s="229">
        <v>9.0399999999999994E-2</v>
      </c>
      <c r="EB191" s="230">
        <v>170000</v>
      </c>
      <c r="EC191" s="229">
        <v>4.5999999999999999E-3</v>
      </c>
      <c r="ED191" s="229">
        <v>9.0399999999999994E-2</v>
      </c>
      <c r="EE191" s="228">
        <v>14.77</v>
      </c>
      <c r="EF191" s="229">
        <v>2.8999999999999998E-3</v>
      </c>
      <c r="EG191" s="230">
        <v>43678</v>
      </c>
      <c r="EH191" s="230">
        <v>27961</v>
      </c>
      <c r="EI191" s="229">
        <v>0.56210000000000004</v>
      </c>
      <c r="EJ191" s="229">
        <v>0.3886</v>
      </c>
      <c r="EK191" s="228">
        <v>401.02</v>
      </c>
      <c r="EL191" s="228">
        <v>145.85</v>
      </c>
      <c r="EM191" s="228">
        <v>136.69</v>
      </c>
      <c r="EN191" s="228">
        <v>23.84</v>
      </c>
      <c r="EO191" s="228">
        <v>683.56</v>
      </c>
      <c r="EP191" s="228">
        <v>567.85</v>
      </c>
      <c r="EQ191" s="228">
        <v>115.71</v>
      </c>
      <c r="ER191" s="229">
        <v>0.20380000000000001</v>
      </c>
      <c r="ES191" s="228">
        <v>803.27</v>
      </c>
      <c r="ET191" s="228">
        <v>292.45</v>
      </c>
      <c r="EU191" s="228">
        <v>990.54</v>
      </c>
      <c r="EV191" s="231">
        <v>4309631</v>
      </c>
      <c r="EW191" s="231">
        <v>2086.2600000000002</v>
      </c>
      <c r="EX191" s="231">
        <v>2090.2600000000002</v>
      </c>
      <c r="EY191" s="228">
        <v>-4</v>
      </c>
      <c r="EZ191" s="229">
        <v>-1.9E-3</v>
      </c>
      <c r="FA191" s="229">
        <v>0.94079999999999997</v>
      </c>
      <c r="FB191" s="227" t="s">
        <v>555</v>
      </c>
      <c r="FC191">
        <f t="shared" si="3"/>
        <v>0</v>
      </c>
    </row>
    <row r="192" spans="1:159" ht="17.25" thickBot="1" x14ac:dyDescent="0.3">
      <c r="A192" s="226">
        <v>46009</v>
      </c>
      <c r="B192" s="227" t="s">
        <v>161</v>
      </c>
      <c r="C192" s="227" t="s">
        <v>293</v>
      </c>
      <c r="D192" s="228">
        <v>1450</v>
      </c>
      <c r="E192" s="228">
        <v>12</v>
      </c>
      <c r="F192" s="228">
        <v>375.65</v>
      </c>
      <c r="G192" s="228">
        <v>379.55</v>
      </c>
      <c r="H192" s="228">
        <v>-3.9</v>
      </c>
      <c r="I192" s="229">
        <v>-1.03E-2</v>
      </c>
      <c r="J192" s="228">
        <v>374.95</v>
      </c>
      <c r="K192" s="228">
        <v>378.55</v>
      </c>
      <c r="L192" s="228">
        <v>-3.6</v>
      </c>
      <c r="M192" s="229">
        <v>-9.4999999999999998E-3</v>
      </c>
      <c r="N192" s="228">
        <v>375.65</v>
      </c>
      <c r="O192" s="228">
        <v>379.55</v>
      </c>
      <c r="P192" s="228">
        <v>-3.9</v>
      </c>
      <c r="Q192" s="229">
        <v>-1.03E-2</v>
      </c>
      <c r="R192" s="228">
        <v>378.1</v>
      </c>
      <c r="S192" s="228">
        <v>381.9</v>
      </c>
      <c r="T192" s="228">
        <v>-3.8</v>
      </c>
      <c r="U192" s="229">
        <v>-0.01</v>
      </c>
      <c r="V192" s="228">
        <v>380.15</v>
      </c>
      <c r="W192" s="228">
        <v>383.55</v>
      </c>
      <c r="X192" s="228">
        <v>-3.4</v>
      </c>
      <c r="Y192" s="229">
        <v>-8.8999999999999999E-3</v>
      </c>
      <c r="Z192" s="228">
        <v>0.7</v>
      </c>
      <c r="AA192" s="228">
        <v>1</v>
      </c>
      <c r="AB192" s="228">
        <v>-0.3</v>
      </c>
      <c r="AC192" s="229">
        <v>1.9E-3</v>
      </c>
      <c r="AD192" s="228">
        <v>0.7</v>
      </c>
      <c r="AE192" s="228">
        <v>1</v>
      </c>
      <c r="AF192" s="228">
        <v>-0.3</v>
      </c>
      <c r="AG192" s="229">
        <v>1.9E-3</v>
      </c>
      <c r="AH192" s="228">
        <v>3.15</v>
      </c>
      <c r="AI192" s="228">
        <v>3.35</v>
      </c>
      <c r="AJ192" s="228">
        <v>-0.2</v>
      </c>
      <c r="AK192" s="229">
        <v>8.3999999999999995E-3</v>
      </c>
      <c r="AL192" s="228">
        <v>5.2</v>
      </c>
      <c r="AM192" s="228">
        <v>5</v>
      </c>
      <c r="AN192" s="228">
        <v>0.2</v>
      </c>
      <c r="AO192" s="229">
        <v>1.3899999999999999E-2</v>
      </c>
      <c r="AP192" s="228">
        <v>375.94</v>
      </c>
      <c r="AQ192" s="228">
        <v>378.33</v>
      </c>
      <c r="AR192" s="228">
        <v>0</v>
      </c>
      <c r="AS192" s="228">
        <v>285</v>
      </c>
      <c r="AT192" s="228">
        <v>205</v>
      </c>
      <c r="AU192" s="228">
        <v>80</v>
      </c>
      <c r="AV192" s="229">
        <v>0.39140000000000003</v>
      </c>
      <c r="AW192" s="228">
        <v>219</v>
      </c>
      <c r="AX192" s="228">
        <v>173</v>
      </c>
      <c r="AY192" s="228">
        <v>46</v>
      </c>
      <c r="AZ192" s="229">
        <v>0.26650000000000001</v>
      </c>
      <c r="BA192" s="228">
        <v>60</v>
      </c>
      <c r="BB192" s="228">
        <v>29</v>
      </c>
      <c r="BC192" s="228">
        <v>30</v>
      </c>
      <c r="BD192" s="229">
        <v>1.0259</v>
      </c>
      <c r="BE192" s="228">
        <v>6</v>
      </c>
      <c r="BF192" s="228">
        <v>2</v>
      </c>
      <c r="BG192" s="228">
        <v>4</v>
      </c>
      <c r="BH192" s="229">
        <v>1.8378000000000001</v>
      </c>
      <c r="BI192" s="230">
        <v>1661</v>
      </c>
      <c r="BJ192" s="228">
        <v>981</v>
      </c>
      <c r="BK192" s="228">
        <v>681</v>
      </c>
      <c r="BL192" s="229">
        <v>0.69389999999999996</v>
      </c>
      <c r="BM192" s="228">
        <v>937</v>
      </c>
      <c r="BN192" s="228">
        <v>501</v>
      </c>
      <c r="BO192" s="228">
        <v>436</v>
      </c>
      <c r="BP192" s="229">
        <v>0.86899999999999999</v>
      </c>
      <c r="BQ192" s="230">
        <v>2883</v>
      </c>
      <c r="BR192" s="230">
        <v>1687</v>
      </c>
      <c r="BS192" s="230">
        <v>1196</v>
      </c>
      <c r="BT192" s="229">
        <v>0.70920000000000005</v>
      </c>
      <c r="BU192" s="230">
        <v>3681632</v>
      </c>
      <c r="BV192" s="230">
        <v>2349325</v>
      </c>
      <c r="BW192" s="230">
        <v>1332307</v>
      </c>
      <c r="BX192" s="229">
        <v>0.56710000000000005</v>
      </c>
      <c r="BY192" s="230">
        <v>2162</v>
      </c>
      <c r="BZ192" s="230">
        <v>2127</v>
      </c>
      <c r="CA192" s="228">
        <v>35</v>
      </c>
      <c r="CB192" s="229">
        <v>1.66E-2</v>
      </c>
      <c r="CC192" s="230">
        <v>1921</v>
      </c>
      <c r="CD192" s="230">
        <v>1916</v>
      </c>
      <c r="CE192" s="228">
        <v>5</v>
      </c>
      <c r="CF192" s="229">
        <v>2.7000000000000001E-3</v>
      </c>
      <c r="CG192" s="228">
        <v>216</v>
      </c>
      <c r="CH192" s="228">
        <v>188</v>
      </c>
      <c r="CI192" s="228">
        <v>28</v>
      </c>
      <c r="CJ192" s="229">
        <v>0.1497</v>
      </c>
      <c r="CK192" s="228">
        <v>25</v>
      </c>
      <c r="CL192" s="228">
        <v>23</v>
      </c>
      <c r="CM192" s="228">
        <v>2</v>
      </c>
      <c r="CN192" s="229">
        <v>8.5099999999999995E-2</v>
      </c>
      <c r="CO192" s="230">
        <v>1621</v>
      </c>
      <c r="CP192" s="230">
        <v>1538</v>
      </c>
      <c r="CQ192" s="228">
        <v>83</v>
      </c>
      <c r="CR192" s="229">
        <v>5.4199999999999998E-2</v>
      </c>
      <c r="CS192" s="230">
        <v>1111</v>
      </c>
      <c r="CT192" s="230">
        <v>1104</v>
      </c>
      <c r="CU192" s="228">
        <v>7</v>
      </c>
      <c r="CV192" s="229">
        <v>6.7999999999999996E-3</v>
      </c>
      <c r="CW192" s="230">
        <v>4894</v>
      </c>
      <c r="CX192" s="230">
        <v>4768</v>
      </c>
      <c r="CY192" s="228">
        <v>126</v>
      </c>
      <c r="CZ192" s="229">
        <v>2.64E-2</v>
      </c>
      <c r="DA192" s="228">
        <v>18.66</v>
      </c>
      <c r="DB192" s="228">
        <v>19.98</v>
      </c>
      <c r="DC192" s="228">
        <v>-1.32</v>
      </c>
      <c r="DD192" s="228">
        <v>-1.32</v>
      </c>
      <c r="DE192" s="228">
        <v>31.43</v>
      </c>
      <c r="DF192" s="228">
        <v>31.48</v>
      </c>
      <c r="DG192" s="228">
        <v>-12.77</v>
      </c>
      <c r="DH192" s="228">
        <v>-0.05</v>
      </c>
      <c r="DI192" s="228">
        <v>19</v>
      </c>
      <c r="DJ192" s="228">
        <v>20.39</v>
      </c>
      <c r="DK192" s="228">
        <v>-1.39</v>
      </c>
      <c r="DL192" s="228">
        <v>-1.39</v>
      </c>
      <c r="DM192" s="228">
        <v>18.079999999999998</v>
      </c>
      <c r="DN192" s="228">
        <v>19.18</v>
      </c>
      <c r="DO192" s="228">
        <v>-1.1000000000000001</v>
      </c>
      <c r="DP192" s="228">
        <v>-1.1000000000000001</v>
      </c>
      <c r="DQ192" s="228">
        <v>0.69</v>
      </c>
      <c r="DR192" s="228">
        <v>0.72</v>
      </c>
      <c r="DS192" s="228">
        <v>-0.03</v>
      </c>
      <c r="DT192" s="229">
        <v>-4.1700000000000001E-2</v>
      </c>
      <c r="DU192" s="228">
        <v>400</v>
      </c>
      <c r="DV192" s="228">
        <v>390</v>
      </c>
      <c r="DW192" s="228">
        <v>0.56000000000000005</v>
      </c>
      <c r="DX192" s="228">
        <v>0.51</v>
      </c>
      <c r="DY192" s="228">
        <v>0.05</v>
      </c>
      <c r="DZ192" s="229">
        <v>9.8000000000000004E-2</v>
      </c>
      <c r="EA192" s="229">
        <v>0.1114</v>
      </c>
      <c r="EB192" s="230">
        <v>5610050</v>
      </c>
      <c r="EC192" s="229">
        <v>6.4999999999999997E-3</v>
      </c>
      <c r="ED192" s="229">
        <v>0.1114</v>
      </c>
      <c r="EE192" s="228">
        <v>2.39</v>
      </c>
      <c r="EF192" s="229">
        <v>6.4000000000000003E-3</v>
      </c>
      <c r="EG192" s="230">
        <v>1492453</v>
      </c>
      <c r="EH192" s="230">
        <v>1179389</v>
      </c>
      <c r="EI192" s="229">
        <v>0.26540000000000002</v>
      </c>
      <c r="EJ192" s="229">
        <v>0.40539999999999998</v>
      </c>
      <c r="EK192" s="231">
        <v>1715.8</v>
      </c>
      <c r="EL192" s="228">
        <v>935.98</v>
      </c>
      <c r="EM192" s="228">
        <v>285.32</v>
      </c>
      <c r="EN192" s="228">
        <v>38.85</v>
      </c>
      <c r="EO192" s="231">
        <v>2937.1</v>
      </c>
      <c r="EP192" s="231">
        <v>1746.82</v>
      </c>
      <c r="EQ192" s="231">
        <v>1190.29</v>
      </c>
      <c r="ER192" s="229">
        <v>0.68140000000000001</v>
      </c>
      <c r="ES192" s="231">
        <v>1716.75</v>
      </c>
      <c r="ET192" s="231">
        <v>1150.3</v>
      </c>
      <c r="EU192" s="231">
        <v>2163.48</v>
      </c>
      <c r="EV192" s="231">
        <v>169808198</v>
      </c>
      <c r="EW192" s="231">
        <v>5030.53</v>
      </c>
      <c r="EX192" s="231">
        <v>4928.55</v>
      </c>
      <c r="EY192" s="228">
        <v>101.98</v>
      </c>
      <c r="EZ192" s="229">
        <v>2.07E-2</v>
      </c>
      <c r="FA192" s="229">
        <v>0.76729999999999998</v>
      </c>
      <c r="FB192" s="227" t="s">
        <v>567</v>
      </c>
      <c r="FC192">
        <f t="shared" si="3"/>
        <v>0</v>
      </c>
    </row>
    <row r="193" spans="1:159" ht="17.25" thickBot="1" x14ac:dyDescent="0.3">
      <c r="A193" s="226">
        <v>46009</v>
      </c>
      <c r="B193" s="227" t="s">
        <v>227</v>
      </c>
      <c r="C193" s="227" t="s">
        <v>294</v>
      </c>
      <c r="D193" s="228">
        <v>5500</v>
      </c>
      <c r="E193" s="228">
        <v>12</v>
      </c>
      <c r="F193" s="228">
        <v>168.41</v>
      </c>
      <c r="G193" s="228">
        <v>170.81</v>
      </c>
      <c r="H193" s="228">
        <v>-2.4</v>
      </c>
      <c r="I193" s="229">
        <v>-1.41E-2</v>
      </c>
      <c r="J193" s="228">
        <v>168.12</v>
      </c>
      <c r="K193" s="228">
        <v>170.34</v>
      </c>
      <c r="L193" s="228">
        <v>-2.2200000000000002</v>
      </c>
      <c r="M193" s="229">
        <v>-1.2999999999999999E-2</v>
      </c>
      <c r="N193" s="228">
        <v>168.41</v>
      </c>
      <c r="O193" s="228">
        <v>170.81</v>
      </c>
      <c r="P193" s="228">
        <v>-2.4</v>
      </c>
      <c r="Q193" s="229">
        <v>-1.41E-2</v>
      </c>
      <c r="R193" s="228">
        <v>169.48</v>
      </c>
      <c r="S193" s="228">
        <v>171.88</v>
      </c>
      <c r="T193" s="228">
        <v>-2.4</v>
      </c>
      <c r="U193" s="229">
        <v>-1.4E-2</v>
      </c>
      <c r="V193" s="228">
        <v>170.38</v>
      </c>
      <c r="W193" s="228">
        <v>172.82</v>
      </c>
      <c r="X193" s="228">
        <v>-2.44</v>
      </c>
      <c r="Y193" s="229">
        <v>-1.41E-2</v>
      </c>
      <c r="Z193" s="228">
        <v>0.28999999999999998</v>
      </c>
      <c r="AA193" s="228">
        <v>0.47</v>
      </c>
      <c r="AB193" s="228">
        <v>-0.18</v>
      </c>
      <c r="AC193" s="229">
        <v>1.6999999999999999E-3</v>
      </c>
      <c r="AD193" s="228">
        <v>0.28999999999999998</v>
      </c>
      <c r="AE193" s="228">
        <v>0.47</v>
      </c>
      <c r="AF193" s="228">
        <v>-0.18</v>
      </c>
      <c r="AG193" s="229">
        <v>1.6999999999999999E-3</v>
      </c>
      <c r="AH193" s="228">
        <v>1.36</v>
      </c>
      <c r="AI193" s="228">
        <v>1.54</v>
      </c>
      <c r="AJ193" s="228">
        <v>-0.18</v>
      </c>
      <c r="AK193" s="229">
        <v>8.0999999999999996E-3</v>
      </c>
      <c r="AL193" s="228">
        <v>2.2599999999999998</v>
      </c>
      <c r="AM193" s="228">
        <v>2.48</v>
      </c>
      <c r="AN193" s="228">
        <v>-0.22</v>
      </c>
      <c r="AO193" s="229">
        <v>1.34E-2</v>
      </c>
      <c r="AP193" s="228">
        <v>169.52</v>
      </c>
      <c r="AQ193" s="228">
        <v>170.67</v>
      </c>
      <c r="AR193" s="228">
        <v>0</v>
      </c>
      <c r="AS193" s="230">
        <v>1046</v>
      </c>
      <c r="AT193" s="228">
        <v>448</v>
      </c>
      <c r="AU193" s="228">
        <v>599</v>
      </c>
      <c r="AV193" s="229">
        <v>1.3380000000000001</v>
      </c>
      <c r="AW193" s="228">
        <v>665</v>
      </c>
      <c r="AX193" s="228">
        <v>338</v>
      </c>
      <c r="AY193" s="228">
        <v>327</v>
      </c>
      <c r="AZ193" s="229">
        <v>0.96660000000000001</v>
      </c>
      <c r="BA193" s="228">
        <v>371</v>
      </c>
      <c r="BB193" s="228">
        <v>102</v>
      </c>
      <c r="BC193" s="228">
        <v>269</v>
      </c>
      <c r="BD193" s="229">
        <v>2.637</v>
      </c>
      <c r="BE193" s="228">
        <v>10</v>
      </c>
      <c r="BF193" s="228">
        <v>7</v>
      </c>
      <c r="BG193" s="228">
        <v>3</v>
      </c>
      <c r="BH193" s="229">
        <v>0.37180000000000002</v>
      </c>
      <c r="BI193" s="230">
        <v>2217</v>
      </c>
      <c r="BJ193" s="230">
        <v>1434</v>
      </c>
      <c r="BK193" s="228">
        <v>783</v>
      </c>
      <c r="BL193" s="229">
        <v>0.54579999999999995</v>
      </c>
      <c r="BM193" s="230">
        <v>1304</v>
      </c>
      <c r="BN193" s="228">
        <v>977</v>
      </c>
      <c r="BO193" s="228">
        <v>327</v>
      </c>
      <c r="BP193" s="229">
        <v>0.3352</v>
      </c>
      <c r="BQ193" s="230">
        <v>4568</v>
      </c>
      <c r="BR193" s="230">
        <v>2859</v>
      </c>
      <c r="BS193" s="230">
        <v>1709</v>
      </c>
      <c r="BT193" s="229">
        <v>0.5978</v>
      </c>
      <c r="BU193" s="230">
        <v>13661364</v>
      </c>
      <c r="BV193" s="230">
        <v>12461749</v>
      </c>
      <c r="BW193" s="230">
        <v>1199615</v>
      </c>
      <c r="BX193" s="229">
        <v>9.6299999999999997E-2</v>
      </c>
      <c r="BY193" s="230">
        <v>4394</v>
      </c>
      <c r="BZ193" s="230">
        <v>4349</v>
      </c>
      <c r="CA193" s="228">
        <v>45</v>
      </c>
      <c r="CB193" s="229">
        <v>1.04E-2</v>
      </c>
      <c r="CC193" s="230">
        <v>3512</v>
      </c>
      <c r="CD193" s="230">
        <v>3764</v>
      </c>
      <c r="CE193" s="228">
        <v>-252</v>
      </c>
      <c r="CF193" s="229">
        <v>-6.7000000000000004E-2</v>
      </c>
      <c r="CG193" s="228">
        <v>831</v>
      </c>
      <c r="CH193" s="228">
        <v>537</v>
      </c>
      <c r="CI193" s="228">
        <v>294</v>
      </c>
      <c r="CJ193" s="229">
        <v>0.54720000000000002</v>
      </c>
      <c r="CK193" s="228">
        <v>51</v>
      </c>
      <c r="CL193" s="228">
        <v>48</v>
      </c>
      <c r="CM193" s="228">
        <v>4</v>
      </c>
      <c r="CN193" s="229">
        <v>7.3599999999999999E-2</v>
      </c>
      <c r="CO193" s="230">
        <v>2767</v>
      </c>
      <c r="CP193" s="230">
        <v>2653</v>
      </c>
      <c r="CQ193" s="228">
        <v>113</v>
      </c>
      <c r="CR193" s="229">
        <v>4.2599999999999999E-2</v>
      </c>
      <c r="CS193" s="230">
        <v>1531</v>
      </c>
      <c r="CT193" s="230">
        <v>1591</v>
      </c>
      <c r="CU193" s="228">
        <v>-61</v>
      </c>
      <c r="CV193" s="229">
        <v>-3.8100000000000002E-2</v>
      </c>
      <c r="CW193" s="230">
        <v>8691</v>
      </c>
      <c r="CX193" s="230">
        <v>8594</v>
      </c>
      <c r="CY193" s="228">
        <v>98</v>
      </c>
      <c r="CZ193" s="229">
        <v>1.1299999999999999E-2</v>
      </c>
      <c r="DA193" s="228">
        <v>23.23</v>
      </c>
      <c r="DB193" s="228">
        <v>21.71</v>
      </c>
      <c r="DC193" s="228">
        <v>1.52</v>
      </c>
      <c r="DD193" s="228">
        <v>1.52</v>
      </c>
      <c r="DE193" s="228">
        <v>32.81</v>
      </c>
      <c r="DF193" s="228">
        <v>32.840000000000003</v>
      </c>
      <c r="DG193" s="228">
        <v>-9.58</v>
      </c>
      <c r="DH193" s="228">
        <v>-0.03</v>
      </c>
      <c r="DI193" s="228">
        <v>24.55</v>
      </c>
      <c r="DJ193" s="228">
        <v>21.67</v>
      </c>
      <c r="DK193" s="228">
        <v>2.88</v>
      </c>
      <c r="DL193" s="228">
        <v>2.88</v>
      </c>
      <c r="DM193" s="228">
        <v>20.99</v>
      </c>
      <c r="DN193" s="228">
        <v>21.77</v>
      </c>
      <c r="DO193" s="228">
        <v>-0.78</v>
      </c>
      <c r="DP193" s="228">
        <v>-0.78</v>
      </c>
      <c r="DQ193" s="228">
        <v>0.55000000000000004</v>
      </c>
      <c r="DR193" s="228">
        <v>0.6</v>
      </c>
      <c r="DS193" s="228">
        <v>-0.05</v>
      </c>
      <c r="DT193" s="229">
        <v>-8.3299999999999999E-2</v>
      </c>
      <c r="DU193" s="228">
        <v>175</v>
      </c>
      <c r="DV193" s="228">
        <v>170</v>
      </c>
      <c r="DW193" s="228">
        <v>0.59</v>
      </c>
      <c r="DX193" s="228">
        <v>0.68</v>
      </c>
      <c r="DY193" s="228">
        <v>-0.09</v>
      </c>
      <c r="DZ193" s="229">
        <v>-0.13239999999999999</v>
      </c>
      <c r="EA193" s="229">
        <v>0.20069999999999999</v>
      </c>
      <c r="EB193" s="230">
        <v>34721500</v>
      </c>
      <c r="EC193" s="229">
        <v>6.4000000000000003E-3</v>
      </c>
      <c r="ED193" s="229">
        <v>0.20069999999999999</v>
      </c>
      <c r="EE193" s="228">
        <v>1.1499999999999999</v>
      </c>
      <c r="EF193" s="229">
        <v>6.7999999999999996E-3</v>
      </c>
      <c r="EG193" s="230">
        <v>5287411</v>
      </c>
      <c r="EH193" s="230">
        <v>5522024</v>
      </c>
      <c r="EI193" s="229">
        <v>-4.2500000000000003E-2</v>
      </c>
      <c r="EJ193" s="229">
        <v>0.38700000000000001</v>
      </c>
      <c r="EK193" s="231">
        <v>2355.4</v>
      </c>
      <c r="EL193" s="231">
        <v>1302.3699999999999</v>
      </c>
      <c r="EM193" s="231">
        <v>1055.94</v>
      </c>
      <c r="EN193" s="228">
        <v>89.01</v>
      </c>
      <c r="EO193" s="231">
        <v>4713.71</v>
      </c>
      <c r="EP193" s="231">
        <v>2940.26</v>
      </c>
      <c r="EQ193" s="231">
        <v>1773.45</v>
      </c>
      <c r="ER193" s="229">
        <v>0.60319999999999996</v>
      </c>
      <c r="ES193" s="231">
        <v>2940.4</v>
      </c>
      <c r="ET193" s="231">
        <v>1510.76</v>
      </c>
      <c r="EU193" s="231">
        <v>4400.03</v>
      </c>
      <c r="EV193" s="231">
        <v>833987639</v>
      </c>
      <c r="EW193" s="231">
        <v>8851.19</v>
      </c>
      <c r="EX193" s="231">
        <v>8815.4599999999991</v>
      </c>
      <c r="EY193" s="228">
        <v>35.729999999999997</v>
      </c>
      <c r="EZ193" s="229">
        <v>4.1000000000000003E-3</v>
      </c>
      <c r="FA193" s="229">
        <v>0.61880000000000002</v>
      </c>
      <c r="FB193" s="227" t="s">
        <v>567</v>
      </c>
      <c r="FC193">
        <f t="shared" si="3"/>
        <v>0</v>
      </c>
    </row>
    <row r="194" spans="1:159" ht="17.25" thickBot="1" x14ac:dyDescent="0.3">
      <c r="A194" s="226">
        <v>46009</v>
      </c>
      <c r="B194" s="227" t="s">
        <v>221</v>
      </c>
      <c r="C194" s="227" t="s">
        <v>664</v>
      </c>
      <c r="D194" s="228">
        <v>800</v>
      </c>
      <c r="E194" s="228">
        <v>12</v>
      </c>
      <c r="F194" s="228">
        <v>644.79999999999995</v>
      </c>
      <c r="G194" s="228">
        <v>641.79999999999995</v>
      </c>
      <c r="H194" s="228">
        <v>3</v>
      </c>
      <c r="I194" s="229">
        <v>4.7000000000000002E-3</v>
      </c>
      <c r="J194" s="228">
        <v>643.04999999999995</v>
      </c>
      <c r="K194" s="228">
        <v>641.79999999999995</v>
      </c>
      <c r="L194" s="228">
        <v>1.25</v>
      </c>
      <c r="M194" s="229">
        <v>1.9E-3</v>
      </c>
      <c r="N194" s="228">
        <v>644.79999999999995</v>
      </c>
      <c r="O194" s="228">
        <v>641.79999999999995</v>
      </c>
      <c r="P194" s="228">
        <v>3</v>
      </c>
      <c r="Q194" s="229">
        <v>4.7000000000000002E-3</v>
      </c>
      <c r="R194" s="228">
        <v>646.95000000000005</v>
      </c>
      <c r="S194" s="228">
        <v>644.20000000000005</v>
      </c>
      <c r="T194" s="228">
        <v>2.75</v>
      </c>
      <c r="U194" s="229">
        <v>4.3E-3</v>
      </c>
      <c r="V194" s="228">
        <v>650.15</v>
      </c>
      <c r="W194" s="228">
        <v>647.4</v>
      </c>
      <c r="X194" s="228">
        <v>2.75</v>
      </c>
      <c r="Y194" s="229">
        <v>4.1999999999999997E-3</v>
      </c>
      <c r="Z194" s="228">
        <v>1.75</v>
      </c>
      <c r="AA194" s="228">
        <v>0</v>
      </c>
      <c r="AB194" s="228">
        <v>1.75</v>
      </c>
      <c r="AC194" s="229">
        <v>2.7000000000000001E-3</v>
      </c>
      <c r="AD194" s="228">
        <v>1.75</v>
      </c>
      <c r="AE194" s="228">
        <v>0</v>
      </c>
      <c r="AF194" s="228">
        <v>1.75</v>
      </c>
      <c r="AG194" s="229">
        <v>2.7000000000000001E-3</v>
      </c>
      <c r="AH194" s="228">
        <v>3.9</v>
      </c>
      <c r="AI194" s="228">
        <v>2.4</v>
      </c>
      <c r="AJ194" s="228">
        <v>1.5</v>
      </c>
      <c r="AK194" s="229">
        <v>6.1000000000000004E-3</v>
      </c>
      <c r="AL194" s="228">
        <v>7.1</v>
      </c>
      <c r="AM194" s="228">
        <v>5.6</v>
      </c>
      <c r="AN194" s="228">
        <v>1.5</v>
      </c>
      <c r="AO194" s="229">
        <v>1.0999999999999999E-2</v>
      </c>
      <c r="AP194" s="228">
        <v>642.80999999999995</v>
      </c>
      <c r="AQ194" s="228">
        <v>645.14</v>
      </c>
      <c r="AR194" s="228">
        <v>0</v>
      </c>
      <c r="AS194" s="228">
        <v>124</v>
      </c>
      <c r="AT194" s="228">
        <v>144</v>
      </c>
      <c r="AU194" s="228">
        <v>-21</v>
      </c>
      <c r="AV194" s="229">
        <v>-0.1434</v>
      </c>
      <c r="AW194" s="228">
        <v>81</v>
      </c>
      <c r="AX194" s="228">
        <v>98</v>
      </c>
      <c r="AY194" s="228">
        <v>-17</v>
      </c>
      <c r="AZ194" s="229">
        <v>-0.1734</v>
      </c>
      <c r="BA194" s="228">
        <v>41</v>
      </c>
      <c r="BB194" s="228">
        <v>43</v>
      </c>
      <c r="BC194" s="228">
        <v>-3</v>
      </c>
      <c r="BD194" s="229">
        <v>-6.4100000000000004E-2</v>
      </c>
      <c r="BE194" s="228">
        <v>2</v>
      </c>
      <c r="BF194" s="228">
        <v>3</v>
      </c>
      <c r="BG194" s="228">
        <v>-1</v>
      </c>
      <c r="BH194" s="229">
        <v>-0.30649999999999999</v>
      </c>
      <c r="BI194" s="228">
        <v>193</v>
      </c>
      <c r="BJ194" s="228">
        <v>209</v>
      </c>
      <c r="BK194" s="228">
        <v>-15</v>
      </c>
      <c r="BL194" s="229">
        <v>-7.3200000000000001E-2</v>
      </c>
      <c r="BM194" s="228">
        <v>86</v>
      </c>
      <c r="BN194" s="228">
        <v>106</v>
      </c>
      <c r="BO194" s="228">
        <v>-20</v>
      </c>
      <c r="BP194" s="229">
        <v>-0.18870000000000001</v>
      </c>
      <c r="BQ194" s="228">
        <v>403</v>
      </c>
      <c r="BR194" s="228">
        <v>459</v>
      </c>
      <c r="BS194" s="228">
        <v>-56</v>
      </c>
      <c r="BT194" s="229">
        <v>-0.122</v>
      </c>
      <c r="BU194" s="230">
        <v>438117</v>
      </c>
      <c r="BV194" s="230">
        <v>740956</v>
      </c>
      <c r="BW194" s="230">
        <v>-302839</v>
      </c>
      <c r="BX194" s="229">
        <v>-0.40870000000000001</v>
      </c>
      <c r="BY194" s="228">
        <v>835</v>
      </c>
      <c r="BZ194" s="228">
        <v>830</v>
      </c>
      <c r="CA194" s="228">
        <v>5</v>
      </c>
      <c r="CB194" s="229">
        <v>6.1999999999999998E-3</v>
      </c>
      <c r="CC194" s="228">
        <v>704</v>
      </c>
      <c r="CD194" s="228">
        <v>712</v>
      </c>
      <c r="CE194" s="228">
        <v>-8</v>
      </c>
      <c r="CF194" s="229">
        <v>-1.0699999999999999E-2</v>
      </c>
      <c r="CG194" s="228">
        <v>120</v>
      </c>
      <c r="CH194" s="228">
        <v>108</v>
      </c>
      <c r="CI194" s="228">
        <v>12</v>
      </c>
      <c r="CJ194" s="229">
        <v>0.11409999999999999</v>
      </c>
      <c r="CK194" s="228">
        <v>11</v>
      </c>
      <c r="CL194" s="228">
        <v>11</v>
      </c>
      <c r="CM194" s="228">
        <v>0</v>
      </c>
      <c r="CN194" s="229">
        <v>4.3700000000000003E-2</v>
      </c>
      <c r="CO194" s="228">
        <v>426</v>
      </c>
      <c r="CP194" s="228">
        <v>420</v>
      </c>
      <c r="CQ194" s="228">
        <v>6</v>
      </c>
      <c r="CR194" s="229">
        <v>1.3899999999999999E-2</v>
      </c>
      <c r="CS194" s="228">
        <v>262</v>
      </c>
      <c r="CT194" s="228">
        <v>263</v>
      </c>
      <c r="CU194" s="228">
        <v>-1</v>
      </c>
      <c r="CV194" s="229">
        <v>-5.7000000000000002E-3</v>
      </c>
      <c r="CW194" s="230">
        <v>1523</v>
      </c>
      <c r="CX194" s="230">
        <v>1514</v>
      </c>
      <c r="CY194" s="228">
        <v>9</v>
      </c>
      <c r="CZ194" s="229">
        <v>6.1999999999999998E-3</v>
      </c>
      <c r="DA194" s="228">
        <v>23.08</v>
      </c>
      <c r="DB194" s="228">
        <v>24.49</v>
      </c>
      <c r="DC194" s="228">
        <v>-1.41</v>
      </c>
      <c r="DD194" s="228">
        <v>-1.41</v>
      </c>
      <c r="DE194" s="228">
        <v>30.05</v>
      </c>
      <c r="DF194" s="228">
        <v>30.11</v>
      </c>
      <c r="DG194" s="228">
        <v>-6.97</v>
      </c>
      <c r="DH194" s="228">
        <v>-0.06</v>
      </c>
      <c r="DI194" s="228">
        <v>23.39</v>
      </c>
      <c r="DJ194" s="228">
        <v>25.74</v>
      </c>
      <c r="DK194" s="228">
        <v>-2.35</v>
      </c>
      <c r="DL194" s="228">
        <v>-2.35</v>
      </c>
      <c r="DM194" s="228">
        <v>22.39</v>
      </c>
      <c r="DN194" s="228">
        <v>22.04</v>
      </c>
      <c r="DO194" s="228">
        <v>0.35</v>
      </c>
      <c r="DP194" s="228">
        <v>0.35</v>
      </c>
      <c r="DQ194" s="228">
        <v>0.61</v>
      </c>
      <c r="DR194" s="228">
        <v>0.63</v>
      </c>
      <c r="DS194" s="228">
        <v>-0.02</v>
      </c>
      <c r="DT194" s="229">
        <v>-3.1699999999999999E-2</v>
      </c>
      <c r="DU194" s="228">
        <v>700</v>
      </c>
      <c r="DV194" s="228">
        <v>650</v>
      </c>
      <c r="DW194" s="228">
        <v>0.44</v>
      </c>
      <c r="DX194" s="228">
        <v>0.51</v>
      </c>
      <c r="DY194" s="228">
        <v>-7.0000000000000007E-2</v>
      </c>
      <c r="DZ194" s="229">
        <v>-0.13730000000000001</v>
      </c>
      <c r="EA194" s="229">
        <v>0.15679999999999999</v>
      </c>
      <c r="EB194" s="230">
        <v>1833600</v>
      </c>
      <c r="EC194" s="229">
        <v>3.3E-3</v>
      </c>
      <c r="ED194" s="229">
        <v>0.15679999999999999</v>
      </c>
      <c r="EE194" s="228">
        <v>2.33</v>
      </c>
      <c r="EF194" s="229">
        <v>3.5999999999999999E-3</v>
      </c>
      <c r="EG194" s="230">
        <v>166144</v>
      </c>
      <c r="EH194" s="230">
        <v>402073</v>
      </c>
      <c r="EI194" s="229">
        <v>-0.58679999999999999</v>
      </c>
      <c r="EJ194" s="229">
        <v>0.37919999999999998</v>
      </c>
      <c r="EK194" s="228">
        <v>203.28</v>
      </c>
      <c r="EL194" s="228">
        <v>86.61</v>
      </c>
      <c r="EM194" s="228">
        <v>123.33</v>
      </c>
      <c r="EN194" s="228">
        <v>18.71</v>
      </c>
      <c r="EO194" s="228">
        <v>413.23</v>
      </c>
      <c r="EP194" s="228">
        <v>473</v>
      </c>
      <c r="EQ194" s="228">
        <v>-59.78</v>
      </c>
      <c r="ER194" s="229">
        <v>-0.12640000000000001</v>
      </c>
      <c r="ES194" s="228">
        <v>459.91</v>
      </c>
      <c r="ET194" s="228">
        <v>266.77999999999997</v>
      </c>
      <c r="EU194" s="228">
        <v>835.95</v>
      </c>
      <c r="EV194" s="231">
        <v>27246569</v>
      </c>
      <c r="EW194" s="231">
        <v>1562.64</v>
      </c>
      <c r="EX194" s="231">
        <v>1549.83</v>
      </c>
      <c r="EY194" s="228">
        <v>12.81</v>
      </c>
      <c r="EZ194" s="229">
        <v>8.3000000000000001E-3</v>
      </c>
      <c r="FA194" s="229">
        <v>0.86699999999999999</v>
      </c>
      <c r="FB194" s="227" t="s">
        <v>555</v>
      </c>
      <c r="FC194">
        <f t="shared" si="3"/>
        <v>0</v>
      </c>
    </row>
    <row r="195" spans="1:159" ht="17.25" thickBot="1" x14ac:dyDescent="0.3">
      <c r="A195" s="226">
        <v>46009</v>
      </c>
      <c r="B195" s="227" t="s">
        <v>221</v>
      </c>
      <c r="C195" s="227" t="s">
        <v>295</v>
      </c>
      <c r="D195" s="228">
        <v>175</v>
      </c>
      <c r="E195" s="228">
        <v>12</v>
      </c>
      <c r="F195" s="231">
        <v>3285.1</v>
      </c>
      <c r="G195" s="231">
        <v>3220.8</v>
      </c>
      <c r="H195" s="228">
        <v>64.3</v>
      </c>
      <c r="I195" s="229">
        <v>0.02</v>
      </c>
      <c r="J195" s="231">
        <v>3280.8</v>
      </c>
      <c r="K195" s="231">
        <v>3217.8</v>
      </c>
      <c r="L195" s="228">
        <v>63</v>
      </c>
      <c r="M195" s="229">
        <v>1.9599999999999999E-2</v>
      </c>
      <c r="N195" s="231">
        <v>3285.1</v>
      </c>
      <c r="O195" s="231">
        <v>3220.8</v>
      </c>
      <c r="P195" s="228">
        <v>64.3</v>
      </c>
      <c r="Q195" s="229">
        <v>0.02</v>
      </c>
      <c r="R195" s="231">
        <v>3302.2</v>
      </c>
      <c r="S195" s="231">
        <v>3234.2</v>
      </c>
      <c r="T195" s="228">
        <v>68</v>
      </c>
      <c r="U195" s="229">
        <v>2.1000000000000001E-2</v>
      </c>
      <c r="V195" s="231">
        <v>3318.4</v>
      </c>
      <c r="W195" s="231">
        <v>3253.7</v>
      </c>
      <c r="X195" s="228">
        <v>64.7</v>
      </c>
      <c r="Y195" s="229">
        <v>1.9900000000000001E-2</v>
      </c>
      <c r="Z195" s="228">
        <v>4.3</v>
      </c>
      <c r="AA195" s="228">
        <v>3</v>
      </c>
      <c r="AB195" s="228">
        <v>1.3</v>
      </c>
      <c r="AC195" s="229">
        <v>1.2999999999999999E-3</v>
      </c>
      <c r="AD195" s="228">
        <v>4.3</v>
      </c>
      <c r="AE195" s="228">
        <v>3</v>
      </c>
      <c r="AF195" s="228">
        <v>1.3</v>
      </c>
      <c r="AG195" s="229">
        <v>1.2999999999999999E-3</v>
      </c>
      <c r="AH195" s="228">
        <v>21.4</v>
      </c>
      <c r="AI195" s="228">
        <v>16.399999999999999</v>
      </c>
      <c r="AJ195" s="228">
        <v>5</v>
      </c>
      <c r="AK195" s="229">
        <v>6.4999999999999997E-3</v>
      </c>
      <c r="AL195" s="228">
        <v>37.6</v>
      </c>
      <c r="AM195" s="228">
        <v>35.9</v>
      </c>
      <c r="AN195" s="228">
        <v>1.7</v>
      </c>
      <c r="AO195" s="229">
        <v>1.15E-2</v>
      </c>
      <c r="AP195" s="231">
        <v>3263.54</v>
      </c>
      <c r="AQ195" s="231">
        <v>3280</v>
      </c>
      <c r="AR195" s="228">
        <v>0</v>
      </c>
      <c r="AS195" s="230">
        <v>1453</v>
      </c>
      <c r="AT195" s="228">
        <v>586</v>
      </c>
      <c r="AU195" s="228">
        <v>868</v>
      </c>
      <c r="AV195" s="229">
        <v>1.4805999999999999</v>
      </c>
      <c r="AW195" s="230">
        <v>1122</v>
      </c>
      <c r="AX195" s="228">
        <v>501</v>
      </c>
      <c r="AY195" s="228">
        <v>620</v>
      </c>
      <c r="AZ195" s="229">
        <v>1.2377</v>
      </c>
      <c r="BA195" s="228">
        <v>288</v>
      </c>
      <c r="BB195" s="228">
        <v>78</v>
      </c>
      <c r="BC195" s="228">
        <v>211</v>
      </c>
      <c r="BD195" s="229">
        <v>2.7006000000000001</v>
      </c>
      <c r="BE195" s="228">
        <v>43</v>
      </c>
      <c r="BF195" s="228">
        <v>7</v>
      </c>
      <c r="BG195" s="228">
        <v>37</v>
      </c>
      <c r="BH195" s="229">
        <v>5.4067999999999996</v>
      </c>
      <c r="BI195" s="230">
        <v>8093</v>
      </c>
      <c r="BJ195" s="230">
        <v>2506</v>
      </c>
      <c r="BK195" s="230">
        <v>5587</v>
      </c>
      <c r="BL195" s="229">
        <v>2.2294999999999998</v>
      </c>
      <c r="BM195" s="230">
        <v>4191</v>
      </c>
      <c r="BN195" s="230">
        <v>1309</v>
      </c>
      <c r="BO195" s="230">
        <v>2882</v>
      </c>
      <c r="BP195" s="229">
        <v>2.2021000000000002</v>
      </c>
      <c r="BQ195" s="230">
        <v>13738</v>
      </c>
      <c r="BR195" s="230">
        <v>4401</v>
      </c>
      <c r="BS195" s="230">
        <v>9337</v>
      </c>
      <c r="BT195" s="229">
        <v>2.1217000000000001</v>
      </c>
      <c r="BU195" s="230">
        <v>2616446</v>
      </c>
      <c r="BV195" s="230">
        <v>1413512</v>
      </c>
      <c r="BW195" s="230">
        <v>1202934</v>
      </c>
      <c r="BX195" s="229">
        <v>0.85099999999999998</v>
      </c>
      <c r="BY195" s="230">
        <v>8259</v>
      </c>
      <c r="BZ195" s="230">
        <v>8331</v>
      </c>
      <c r="CA195" s="228">
        <v>-72</v>
      </c>
      <c r="CB195" s="229">
        <v>-8.6999999999999994E-3</v>
      </c>
      <c r="CC195" s="230">
        <v>7391</v>
      </c>
      <c r="CD195" s="230">
        <v>7533</v>
      </c>
      <c r="CE195" s="228">
        <v>-142</v>
      </c>
      <c r="CF195" s="229">
        <v>-1.89E-2</v>
      </c>
      <c r="CG195" s="228">
        <v>798</v>
      </c>
      <c r="CH195" s="228">
        <v>737</v>
      </c>
      <c r="CI195" s="228">
        <v>61</v>
      </c>
      <c r="CJ195" s="229">
        <v>8.3400000000000002E-2</v>
      </c>
      <c r="CK195" s="228">
        <v>70</v>
      </c>
      <c r="CL195" s="228">
        <v>62</v>
      </c>
      <c r="CM195" s="228">
        <v>8</v>
      </c>
      <c r="CN195" s="229">
        <v>0.1318</v>
      </c>
      <c r="CO195" s="230">
        <v>3157</v>
      </c>
      <c r="CP195" s="230">
        <v>3218</v>
      </c>
      <c r="CQ195" s="228">
        <v>-61</v>
      </c>
      <c r="CR195" s="229">
        <v>-1.9E-2</v>
      </c>
      <c r="CS195" s="230">
        <v>2511</v>
      </c>
      <c r="CT195" s="230">
        <v>2542</v>
      </c>
      <c r="CU195" s="228">
        <v>-31</v>
      </c>
      <c r="CV195" s="229">
        <v>-1.21E-2</v>
      </c>
      <c r="CW195" s="230">
        <v>13926</v>
      </c>
      <c r="CX195" s="230">
        <v>14090</v>
      </c>
      <c r="CY195" s="228">
        <v>-164</v>
      </c>
      <c r="CZ195" s="229">
        <v>-1.1599999999999999E-2</v>
      </c>
      <c r="DA195" s="228">
        <v>17.23</v>
      </c>
      <c r="DB195" s="228">
        <v>17.170000000000002</v>
      </c>
      <c r="DC195" s="228">
        <v>0.06</v>
      </c>
      <c r="DD195" s="228">
        <v>0.06</v>
      </c>
      <c r="DE195" s="228">
        <v>23.54</v>
      </c>
      <c r="DF195" s="228">
        <v>23.45</v>
      </c>
      <c r="DG195" s="228">
        <v>-6.31</v>
      </c>
      <c r="DH195" s="228">
        <v>0.09</v>
      </c>
      <c r="DI195" s="228">
        <v>16.440000000000001</v>
      </c>
      <c r="DJ195" s="228">
        <v>16.91</v>
      </c>
      <c r="DK195" s="228">
        <v>-0.47</v>
      </c>
      <c r="DL195" s="228">
        <v>-0.47</v>
      </c>
      <c r="DM195" s="228">
        <v>18.75</v>
      </c>
      <c r="DN195" s="228">
        <v>17.670000000000002</v>
      </c>
      <c r="DO195" s="228">
        <v>1.08</v>
      </c>
      <c r="DP195" s="228">
        <v>1.08</v>
      </c>
      <c r="DQ195" s="228">
        <v>0.8</v>
      </c>
      <c r="DR195" s="228">
        <v>0.79</v>
      </c>
      <c r="DS195" s="228">
        <v>0.01</v>
      </c>
      <c r="DT195" s="229">
        <v>1.2699999999999999E-2</v>
      </c>
      <c r="DU195" s="231">
        <v>3300</v>
      </c>
      <c r="DV195" s="231">
        <v>3200</v>
      </c>
      <c r="DW195" s="228">
        <v>0.52</v>
      </c>
      <c r="DX195" s="228">
        <v>0.52</v>
      </c>
      <c r="DY195" s="228">
        <v>0</v>
      </c>
      <c r="DZ195" s="229">
        <v>0</v>
      </c>
      <c r="EA195" s="229">
        <v>0.1051</v>
      </c>
      <c r="EB195" s="230">
        <v>2430575</v>
      </c>
      <c r="EC195" s="229">
        <v>5.1999999999999998E-3</v>
      </c>
      <c r="ED195" s="229">
        <v>0.1051</v>
      </c>
      <c r="EE195" s="228">
        <v>16.46</v>
      </c>
      <c r="EF195" s="229">
        <v>5.0000000000000001E-3</v>
      </c>
      <c r="EG195" s="230">
        <v>1226850</v>
      </c>
      <c r="EH195" s="230">
        <v>837415</v>
      </c>
      <c r="EI195" s="229">
        <v>0.46500000000000002</v>
      </c>
      <c r="EJ195" s="229">
        <v>0.46889999999999998</v>
      </c>
      <c r="EK195" s="231">
        <v>8200.91</v>
      </c>
      <c r="EL195" s="231">
        <v>4072.96</v>
      </c>
      <c r="EM195" s="231">
        <v>1445.8</v>
      </c>
      <c r="EN195" s="228">
        <v>121.1</v>
      </c>
      <c r="EO195" s="231">
        <v>13719.67</v>
      </c>
      <c r="EP195" s="231">
        <v>4359.46</v>
      </c>
      <c r="EQ195" s="231">
        <v>9360.2099999999991</v>
      </c>
      <c r="ER195" s="229">
        <v>2.1471</v>
      </c>
      <c r="ES195" s="231">
        <v>3186.12</v>
      </c>
      <c r="ET195" s="231">
        <v>2400.34</v>
      </c>
      <c r="EU195" s="231">
        <v>8263.48</v>
      </c>
      <c r="EV195" s="231">
        <v>123298271</v>
      </c>
      <c r="EW195" s="231">
        <v>13849.95</v>
      </c>
      <c r="EX195" s="231">
        <v>13821.77</v>
      </c>
      <c r="EY195" s="228">
        <v>28.18</v>
      </c>
      <c r="EZ195" s="229">
        <v>2E-3</v>
      </c>
      <c r="FA195" s="229">
        <v>0.34379999999999999</v>
      </c>
      <c r="FB195" s="227" t="s">
        <v>556</v>
      </c>
      <c r="FC195">
        <f t="shared" ref="FC195:FC258" si="4">BY261-CC261</f>
        <v>0</v>
      </c>
    </row>
    <row r="196" spans="1:159" ht="17.25" thickBot="1" x14ac:dyDescent="0.3">
      <c r="A196" s="226">
        <v>46009</v>
      </c>
      <c r="B196" s="227" t="s">
        <v>221</v>
      </c>
      <c r="C196" s="227" t="s">
        <v>296</v>
      </c>
      <c r="D196" s="228">
        <v>600</v>
      </c>
      <c r="E196" s="228">
        <v>12</v>
      </c>
      <c r="F196" s="231">
        <v>1607.9</v>
      </c>
      <c r="G196" s="231">
        <v>1582.6</v>
      </c>
      <c r="H196" s="228">
        <v>25.3</v>
      </c>
      <c r="I196" s="229">
        <v>1.6E-2</v>
      </c>
      <c r="J196" s="231">
        <v>1605.6</v>
      </c>
      <c r="K196" s="231">
        <v>1579.4</v>
      </c>
      <c r="L196" s="228">
        <v>26.2</v>
      </c>
      <c r="M196" s="229">
        <v>1.66E-2</v>
      </c>
      <c r="N196" s="231">
        <v>1607.9</v>
      </c>
      <c r="O196" s="231">
        <v>1582.6</v>
      </c>
      <c r="P196" s="228">
        <v>25.3</v>
      </c>
      <c r="Q196" s="229">
        <v>1.6E-2</v>
      </c>
      <c r="R196" s="231">
        <v>1618.2</v>
      </c>
      <c r="S196" s="231">
        <v>1592.4</v>
      </c>
      <c r="T196" s="228">
        <v>25.8</v>
      </c>
      <c r="U196" s="229">
        <v>1.6199999999999999E-2</v>
      </c>
      <c r="V196" s="231">
        <v>1626.5</v>
      </c>
      <c r="W196" s="231">
        <v>1601</v>
      </c>
      <c r="X196" s="228">
        <v>25.5</v>
      </c>
      <c r="Y196" s="229">
        <v>1.5900000000000001E-2</v>
      </c>
      <c r="Z196" s="228">
        <v>2.2999999999999998</v>
      </c>
      <c r="AA196" s="228">
        <v>3.2</v>
      </c>
      <c r="AB196" s="228">
        <v>-0.9</v>
      </c>
      <c r="AC196" s="229">
        <v>1.4E-3</v>
      </c>
      <c r="AD196" s="228">
        <v>2.2999999999999998</v>
      </c>
      <c r="AE196" s="228">
        <v>3.2</v>
      </c>
      <c r="AF196" s="228">
        <v>-0.9</v>
      </c>
      <c r="AG196" s="229">
        <v>1.4E-3</v>
      </c>
      <c r="AH196" s="228">
        <v>12.6</v>
      </c>
      <c r="AI196" s="228">
        <v>13</v>
      </c>
      <c r="AJ196" s="228">
        <v>-0.4</v>
      </c>
      <c r="AK196" s="229">
        <v>7.7999999999999996E-3</v>
      </c>
      <c r="AL196" s="228">
        <v>20.9</v>
      </c>
      <c r="AM196" s="228">
        <v>21.6</v>
      </c>
      <c r="AN196" s="228">
        <v>-0.7</v>
      </c>
      <c r="AO196" s="229">
        <v>1.2999999999999999E-2</v>
      </c>
      <c r="AP196" s="231">
        <v>1596.75</v>
      </c>
      <c r="AQ196" s="231">
        <v>1605.73</v>
      </c>
      <c r="AR196" s="228">
        <v>0</v>
      </c>
      <c r="AS196" s="228">
        <v>648</v>
      </c>
      <c r="AT196" s="228">
        <v>178</v>
      </c>
      <c r="AU196" s="228">
        <v>470</v>
      </c>
      <c r="AV196" s="229">
        <v>2.6343999999999999</v>
      </c>
      <c r="AW196" s="228">
        <v>512</v>
      </c>
      <c r="AX196" s="228">
        <v>150</v>
      </c>
      <c r="AY196" s="228">
        <v>362</v>
      </c>
      <c r="AZ196" s="229">
        <v>2.4045000000000001</v>
      </c>
      <c r="BA196" s="228">
        <v>131</v>
      </c>
      <c r="BB196" s="228">
        <v>27</v>
      </c>
      <c r="BC196" s="228">
        <v>104</v>
      </c>
      <c r="BD196" s="229">
        <v>3.871</v>
      </c>
      <c r="BE196" s="228">
        <v>5</v>
      </c>
      <c r="BF196" s="228">
        <v>1</v>
      </c>
      <c r="BG196" s="228">
        <v>4</v>
      </c>
      <c r="BH196" s="229">
        <v>4</v>
      </c>
      <c r="BI196" s="230">
        <v>2118</v>
      </c>
      <c r="BJ196" s="228">
        <v>664</v>
      </c>
      <c r="BK196" s="230">
        <v>1455</v>
      </c>
      <c r="BL196" s="229">
        <v>2.1926000000000001</v>
      </c>
      <c r="BM196" s="228">
        <v>744</v>
      </c>
      <c r="BN196" s="228">
        <v>275</v>
      </c>
      <c r="BO196" s="228">
        <v>468</v>
      </c>
      <c r="BP196" s="229">
        <v>1.7014</v>
      </c>
      <c r="BQ196" s="230">
        <v>3510</v>
      </c>
      <c r="BR196" s="230">
        <v>1117</v>
      </c>
      <c r="BS196" s="230">
        <v>2393</v>
      </c>
      <c r="BT196" s="229">
        <v>2.1421000000000001</v>
      </c>
      <c r="BU196" s="230">
        <v>1785220</v>
      </c>
      <c r="BV196" s="230">
        <v>594386</v>
      </c>
      <c r="BW196" s="230">
        <v>1190834</v>
      </c>
      <c r="BX196" s="229">
        <v>2.0034999999999998</v>
      </c>
      <c r="BY196" s="230">
        <v>3636</v>
      </c>
      <c r="BZ196" s="230">
        <v>3507</v>
      </c>
      <c r="CA196" s="228">
        <v>129</v>
      </c>
      <c r="CB196" s="229">
        <v>3.6799999999999999E-2</v>
      </c>
      <c r="CC196" s="230">
        <v>3412</v>
      </c>
      <c r="CD196" s="230">
        <v>3366</v>
      </c>
      <c r="CE196" s="228">
        <v>46</v>
      </c>
      <c r="CF196" s="229">
        <v>1.37E-2</v>
      </c>
      <c r="CG196" s="228">
        <v>214</v>
      </c>
      <c r="CH196" s="228">
        <v>132</v>
      </c>
      <c r="CI196" s="228">
        <v>82</v>
      </c>
      <c r="CJ196" s="229">
        <v>0.62309999999999999</v>
      </c>
      <c r="CK196" s="228">
        <v>10</v>
      </c>
      <c r="CL196" s="228">
        <v>9</v>
      </c>
      <c r="CM196" s="228">
        <v>1</v>
      </c>
      <c r="CN196" s="229">
        <v>6.25E-2</v>
      </c>
      <c r="CO196" s="230">
        <v>1034</v>
      </c>
      <c r="CP196" s="230">
        <v>1046</v>
      </c>
      <c r="CQ196" s="228">
        <v>-12</v>
      </c>
      <c r="CR196" s="229">
        <v>-1.17E-2</v>
      </c>
      <c r="CS196" s="228">
        <v>904</v>
      </c>
      <c r="CT196" s="228">
        <v>797</v>
      </c>
      <c r="CU196" s="228">
        <v>106</v>
      </c>
      <c r="CV196" s="229">
        <v>0.13339999999999999</v>
      </c>
      <c r="CW196" s="230">
        <v>5573</v>
      </c>
      <c r="CX196" s="230">
        <v>5350</v>
      </c>
      <c r="CY196" s="228">
        <v>223</v>
      </c>
      <c r="CZ196" s="229">
        <v>4.1700000000000001E-2</v>
      </c>
      <c r="DA196" s="228">
        <v>19.28</v>
      </c>
      <c r="DB196" s="228">
        <v>19.46</v>
      </c>
      <c r="DC196" s="228">
        <v>-0.18</v>
      </c>
      <c r="DD196" s="228">
        <v>-0.18</v>
      </c>
      <c r="DE196" s="228">
        <v>28.55</v>
      </c>
      <c r="DF196" s="228">
        <v>28.54</v>
      </c>
      <c r="DG196" s="228">
        <v>-9.27</v>
      </c>
      <c r="DH196" s="228">
        <v>0.01</v>
      </c>
      <c r="DI196" s="228">
        <v>18.62</v>
      </c>
      <c r="DJ196" s="228">
        <v>18.75</v>
      </c>
      <c r="DK196" s="228">
        <v>-0.13</v>
      </c>
      <c r="DL196" s="228">
        <v>-0.13</v>
      </c>
      <c r="DM196" s="228">
        <v>21.17</v>
      </c>
      <c r="DN196" s="228">
        <v>21.2</v>
      </c>
      <c r="DO196" s="228">
        <v>-0.03</v>
      </c>
      <c r="DP196" s="228">
        <v>-0.03</v>
      </c>
      <c r="DQ196" s="228">
        <v>0.87</v>
      </c>
      <c r="DR196" s="228">
        <v>0.76</v>
      </c>
      <c r="DS196" s="228">
        <v>0.11</v>
      </c>
      <c r="DT196" s="229">
        <v>0.1447</v>
      </c>
      <c r="DU196" s="231">
        <v>1600</v>
      </c>
      <c r="DV196" s="231">
        <v>1560</v>
      </c>
      <c r="DW196" s="228">
        <v>0.35</v>
      </c>
      <c r="DX196" s="228">
        <v>0.41</v>
      </c>
      <c r="DY196" s="228">
        <v>-0.06</v>
      </c>
      <c r="DZ196" s="229">
        <v>-0.14630000000000001</v>
      </c>
      <c r="EA196" s="229">
        <v>6.1699999999999998E-2</v>
      </c>
      <c r="EB196" s="230">
        <v>879000</v>
      </c>
      <c r="EC196" s="229">
        <v>6.4000000000000003E-3</v>
      </c>
      <c r="ED196" s="229">
        <v>6.1699999999999998E-2</v>
      </c>
      <c r="EE196" s="228">
        <v>8.98</v>
      </c>
      <c r="EF196" s="229">
        <v>5.5999999999999999E-3</v>
      </c>
      <c r="EG196" s="230">
        <v>984047</v>
      </c>
      <c r="EH196" s="230">
        <v>305508</v>
      </c>
      <c r="EI196" s="229">
        <v>2.2210000000000001</v>
      </c>
      <c r="EJ196" s="229">
        <v>0.55120000000000002</v>
      </c>
      <c r="EK196" s="231">
        <v>2147.91</v>
      </c>
      <c r="EL196" s="228">
        <v>723.79</v>
      </c>
      <c r="EM196" s="228">
        <v>644.6</v>
      </c>
      <c r="EN196" s="228">
        <v>31.98</v>
      </c>
      <c r="EO196" s="231">
        <v>3516.31</v>
      </c>
      <c r="EP196" s="231">
        <v>1111.33</v>
      </c>
      <c r="EQ196" s="231">
        <v>2404.9699999999998</v>
      </c>
      <c r="ER196" s="229">
        <v>2.1640000000000001</v>
      </c>
      <c r="ES196" s="231">
        <v>1035.7</v>
      </c>
      <c r="ET196" s="228">
        <v>836.05</v>
      </c>
      <c r="EU196" s="231">
        <v>3637.5</v>
      </c>
      <c r="EV196" s="231">
        <v>76137451</v>
      </c>
      <c r="EW196" s="231">
        <v>5509.24</v>
      </c>
      <c r="EX196" s="231">
        <v>5229.7299999999996</v>
      </c>
      <c r="EY196" s="228">
        <v>279.51</v>
      </c>
      <c r="EZ196" s="229">
        <v>5.3400000000000003E-2</v>
      </c>
      <c r="FA196" s="229">
        <v>0.45529999999999998</v>
      </c>
      <c r="FB196" s="227" t="s">
        <v>555</v>
      </c>
      <c r="FC196">
        <f t="shared" si="4"/>
        <v>0</v>
      </c>
    </row>
    <row r="197" spans="1:159" ht="17.25" thickBot="1" x14ac:dyDescent="0.3">
      <c r="A197" s="226">
        <v>46009</v>
      </c>
      <c r="B197" s="227" t="s">
        <v>184</v>
      </c>
      <c r="C197" s="227" t="s">
        <v>595</v>
      </c>
      <c r="D197" s="228">
        <v>200</v>
      </c>
      <c r="E197" s="228">
        <v>12</v>
      </c>
      <c r="F197" s="231">
        <v>2588.4</v>
      </c>
      <c r="G197" s="231">
        <v>2623.6</v>
      </c>
      <c r="H197" s="228">
        <v>-35.200000000000003</v>
      </c>
      <c r="I197" s="229">
        <v>-1.34E-2</v>
      </c>
      <c r="J197" s="231">
        <v>2579.9</v>
      </c>
      <c r="K197" s="231">
        <v>2614.1</v>
      </c>
      <c r="L197" s="228">
        <v>-34.200000000000003</v>
      </c>
      <c r="M197" s="229">
        <v>-1.3100000000000001E-2</v>
      </c>
      <c r="N197" s="231">
        <v>2588.4</v>
      </c>
      <c r="O197" s="231">
        <v>2623.6</v>
      </c>
      <c r="P197" s="228">
        <v>-35.200000000000003</v>
      </c>
      <c r="Q197" s="229">
        <v>-1.34E-2</v>
      </c>
      <c r="R197" s="231">
        <v>2604.8000000000002</v>
      </c>
      <c r="S197" s="231">
        <v>2637</v>
      </c>
      <c r="T197" s="228">
        <v>-32.200000000000003</v>
      </c>
      <c r="U197" s="229">
        <v>-1.2200000000000001E-2</v>
      </c>
      <c r="V197" s="231">
        <v>2624.7</v>
      </c>
      <c r="W197" s="231">
        <v>2647</v>
      </c>
      <c r="X197" s="228">
        <v>-22.3</v>
      </c>
      <c r="Y197" s="229">
        <v>-8.3999999999999995E-3</v>
      </c>
      <c r="Z197" s="228">
        <v>8.5</v>
      </c>
      <c r="AA197" s="228">
        <v>9.5</v>
      </c>
      <c r="AB197" s="228">
        <v>-1</v>
      </c>
      <c r="AC197" s="229">
        <v>3.3E-3</v>
      </c>
      <c r="AD197" s="228">
        <v>8.5</v>
      </c>
      <c r="AE197" s="228">
        <v>9.5</v>
      </c>
      <c r="AF197" s="228">
        <v>-1</v>
      </c>
      <c r="AG197" s="229">
        <v>3.3E-3</v>
      </c>
      <c r="AH197" s="228">
        <v>24.9</v>
      </c>
      <c r="AI197" s="228">
        <v>22.9</v>
      </c>
      <c r="AJ197" s="228">
        <v>2</v>
      </c>
      <c r="AK197" s="229">
        <v>9.7000000000000003E-3</v>
      </c>
      <c r="AL197" s="228">
        <v>44.8</v>
      </c>
      <c r="AM197" s="228">
        <v>32.9</v>
      </c>
      <c r="AN197" s="228">
        <v>11.9</v>
      </c>
      <c r="AO197" s="229">
        <v>1.7399999999999999E-2</v>
      </c>
      <c r="AP197" s="231">
        <v>2596.67</v>
      </c>
      <c r="AQ197" s="231">
        <v>2610.6999999999998</v>
      </c>
      <c r="AR197" s="228">
        <v>0</v>
      </c>
      <c r="AS197" s="228">
        <v>94</v>
      </c>
      <c r="AT197" s="228">
        <v>75</v>
      </c>
      <c r="AU197" s="228">
        <v>19</v>
      </c>
      <c r="AV197" s="229">
        <v>0.25019999999999998</v>
      </c>
      <c r="AW197" s="228">
        <v>70</v>
      </c>
      <c r="AX197" s="228">
        <v>58</v>
      </c>
      <c r="AY197" s="228">
        <v>11</v>
      </c>
      <c r="AZ197" s="229">
        <v>0.19059999999999999</v>
      </c>
      <c r="BA197" s="228">
        <v>24</v>
      </c>
      <c r="BB197" s="228">
        <v>16</v>
      </c>
      <c r="BC197" s="228">
        <v>7</v>
      </c>
      <c r="BD197" s="229">
        <v>0.46010000000000001</v>
      </c>
      <c r="BE197" s="228">
        <v>0</v>
      </c>
      <c r="BF197" s="228">
        <v>0</v>
      </c>
      <c r="BG197" s="228">
        <v>0</v>
      </c>
      <c r="BH197" s="229">
        <v>0.5</v>
      </c>
      <c r="BI197" s="228">
        <v>237</v>
      </c>
      <c r="BJ197" s="228">
        <v>298</v>
      </c>
      <c r="BK197" s="228">
        <v>-61</v>
      </c>
      <c r="BL197" s="229">
        <v>-0.20519999999999999</v>
      </c>
      <c r="BM197" s="228">
        <v>127</v>
      </c>
      <c r="BN197" s="228">
        <v>64</v>
      </c>
      <c r="BO197" s="228">
        <v>63</v>
      </c>
      <c r="BP197" s="229">
        <v>0.99429999999999996</v>
      </c>
      <c r="BQ197" s="228">
        <v>458</v>
      </c>
      <c r="BR197" s="228">
        <v>437</v>
      </c>
      <c r="BS197" s="228">
        <v>21</v>
      </c>
      <c r="BT197" s="229">
        <v>4.7699999999999999E-2</v>
      </c>
      <c r="BU197" s="230">
        <v>311996</v>
      </c>
      <c r="BV197" s="230">
        <v>183154</v>
      </c>
      <c r="BW197" s="230">
        <v>128842</v>
      </c>
      <c r="BX197" s="229">
        <v>0.70350000000000001</v>
      </c>
      <c r="BY197" s="228">
        <v>850</v>
      </c>
      <c r="BZ197" s="228">
        <v>825</v>
      </c>
      <c r="CA197" s="228">
        <v>25</v>
      </c>
      <c r="CB197" s="229">
        <v>0.03</v>
      </c>
      <c r="CC197" s="228">
        <v>793</v>
      </c>
      <c r="CD197" s="228">
        <v>782</v>
      </c>
      <c r="CE197" s="228">
        <v>11</v>
      </c>
      <c r="CF197" s="229">
        <v>1.44E-2</v>
      </c>
      <c r="CG197" s="228">
        <v>52</v>
      </c>
      <c r="CH197" s="228">
        <v>39</v>
      </c>
      <c r="CI197" s="228">
        <v>13</v>
      </c>
      <c r="CJ197" s="229">
        <v>0.34399999999999997</v>
      </c>
      <c r="CK197" s="228">
        <v>5</v>
      </c>
      <c r="CL197" s="228">
        <v>5</v>
      </c>
      <c r="CM197" s="228">
        <v>0</v>
      </c>
      <c r="CN197" s="229">
        <v>2.3E-2</v>
      </c>
      <c r="CO197" s="228">
        <v>404</v>
      </c>
      <c r="CP197" s="228">
        <v>409</v>
      </c>
      <c r="CQ197" s="228">
        <v>-5</v>
      </c>
      <c r="CR197" s="229">
        <v>-1.21E-2</v>
      </c>
      <c r="CS197" s="228">
        <v>262</v>
      </c>
      <c r="CT197" s="228">
        <v>247</v>
      </c>
      <c r="CU197" s="228">
        <v>15</v>
      </c>
      <c r="CV197" s="229">
        <v>6.25E-2</v>
      </c>
      <c r="CW197" s="230">
        <v>1517</v>
      </c>
      <c r="CX197" s="230">
        <v>1481</v>
      </c>
      <c r="CY197" s="228">
        <v>35</v>
      </c>
      <c r="CZ197" s="229">
        <v>2.3800000000000002E-2</v>
      </c>
      <c r="DA197" s="228">
        <v>29.06</v>
      </c>
      <c r="DB197" s="228">
        <v>28.32</v>
      </c>
      <c r="DC197" s="228">
        <v>0.74</v>
      </c>
      <c r="DD197" s="228">
        <v>0.74</v>
      </c>
      <c r="DE197" s="228">
        <v>40.67</v>
      </c>
      <c r="DF197" s="228">
        <v>40.729999999999997</v>
      </c>
      <c r="DG197" s="228">
        <v>-11.61</v>
      </c>
      <c r="DH197" s="228">
        <v>-0.06</v>
      </c>
      <c r="DI197" s="228">
        <v>29.93</v>
      </c>
      <c r="DJ197" s="228">
        <v>28.52</v>
      </c>
      <c r="DK197" s="228">
        <v>1.41</v>
      </c>
      <c r="DL197" s="228">
        <v>1.41</v>
      </c>
      <c r="DM197" s="228">
        <v>27.44</v>
      </c>
      <c r="DN197" s="228">
        <v>27.39</v>
      </c>
      <c r="DO197" s="228">
        <v>0.05</v>
      </c>
      <c r="DP197" s="228">
        <v>0.05</v>
      </c>
      <c r="DQ197" s="228">
        <v>0.65</v>
      </c>
      <c r="DR197" s="228">
        <v>0.6</v>
      </c>
      <c r="DS197" s="228">
        <v>0.05</v>
      </c>
      <c r="DT197" s="229">
        <v>8.3299999999999999E-2</v>
      </c>
      <c r="DU197" s="231">
        <v>2800</v>
      </c>
      <c r="DV197" s="231">
        <v>2500</v>
      </c>
      <c r="DW197" s="228">
        <v>0.54</v>
      </c>
      <c r="DX197" s="228">
        <v>0.21</v>
      </c>
      <c r="DY197" s="228">
        <v>0.33</v>
      </c>
      <c r="DZ197" s="229">
        <v>1.5713999999999999</v>
      </c>
      <c r="EA197" s="229">
        <v>6.7100000000000007E-2</v>
      </c>
      <c r="EB197" s="230">
        <v>168000</v>
      </c>
      <c r="EC197" s="229">
        <v>6.3E-3</v>
      </c>
      <c r="ED197" s="229">
        <v>6.7100000000000007E-2</v>
      </c>
      <c r="EE197" s="228">
        <v>14.03</v>
      </c>
      <c r="EF197" s="229">
        <v>5.4000000000000003E-3</v>
      </c>
      <c r="EG197" s="230">
        <v>211626</v>
      </c>
      <c r="EH197" s="230">
        <v>99360</v>
      </c>
      <c r="EI197" s="229">
        <v>1.1298999999999999</v>
      </c>
      <c r="EJ197" s="229">
        <v>0.67830000000000001</v>
      </c>
      <c r="EK197" s="228">
        <v>255.36</v>
      </c>
      <c r="EL197" s="228">
        <v>123.31</v>
      </c>
      <c r="EM197" s="228">
        <v>94.08</v>
      </c>
      <c r="EN197" s="228">
        <v>13.31</v>
      </c>
      <c r="EO197" s="228">
        <v>472.75</v>
      </c>
      <c r="EP197" s="228">
        <v>459.3</v>
      </c>
      <c r="EQ197" s="228">
        <v>13.45</v>
      </c>
      <c r="ER197" s="229">
        <v>2.93E-2</v>
      </c>
      <c r="ES197" s="228">
        <v>444</v>
      </c>
      <c r="ET197" s="228">
        <v>266.83999999999997</v>
      </c>
      <c r="EU197" s="228">
        <v>850.43</v>
      </c>
      <c r="EV197" s="231">
        <v>14039249</v>
      </c>
      <c r="EW197" s="231">
        <v>1561.27</v>
      </c>
      <c r="EX197" s="231">
        <v>1540.88</v>
      </c>
      <c r="EY197" s="228">
        <v>20.39</v>
      </c>
      <c r="EZ197" s="229">
        <v>1.32E-2</v>
      </c>
      <c r="FA197" s="229">
        <v>0.41739999999999999</v>
      </c>
      <c r="FB197" s="227" t="s">
        <v>567</v>
      </c>
      <c r="FC197">
        <f t="shared" si="4"/>
        <v>0</v>
      </c>
    </row>
    <row r="198" spans="1:159" ht="17.25" thickBot="1" x14ac:dyDescent="0.3">
      <c r="A198" s="226">
        <v>46009</v>
      </c>
      <c r="B198" s="227" t="s">
        <v>184</v>
      </c>
      <c r="C198" s="227" t="s">
        <v>663</v>
      </c>
      <c r="D198" s="228">
        <v>725</v>
      </c>
      <c r="E198" s="228">
        <v>12</v>
      </c>
      <c r="F198" s="228">
        <v>772.15</v>
      </c>
      <c r="G198" s="228">
        <v>775.3</v>
      </c>
      <c r="H198" s="228">
        <v>-3.15</v>
      </c>
      <c r="I198" s="229">
        <v>-4.1000000000000003E-3</v>
      </c>
      <c r="J198" s="228">
        <v>772.35</v>
      </c>
      <c r="K198" s="228">
        <v>774.55</v>
      </c>
      <c r="L198" s="228">
        <v>-2.2000000000000002</v>
      </c>
      <c r="M198" s="229">
        <v>-2.8E-3</v>
      </c>
      <c r="N198" s="228">
        <v>772.15</v>
      </c>
      <c r="O198" s="228">
        <v>775.3</v>
      </c>
      <c r="P198" s="228">
        <v>-3.15</v>
      </c>
      <c r="Q198" s="229">
        <v>-4.1000000000000003E-3</v>
      </c>
      <c r="R198" s="228">
        <v>0</v>
      </c>
      <c r="S198" s="228">
        <v>0</v>
      </c>
      <c r="T198" s="228">
        <v>0</v>
      </c>
      <c r="U198" s="229">
        <v>0</v>
      </c>
      <c r="V198" s="228">
        <v>0</v>
      </c>
      <c r="W198" s="228">
        <v>0</v>
      </c>
      <c r="X198" s="228">
        <v>0</v>
      </c>
      <c r="Y198" s="229">
        <v>0</v>
      </c>
      <c r="Z198" s="228">
        <v>-0.2</v>
      </c>
      <c r="AA198" s="228">
        <v>0.75</v>
      </c>
      <c r="AB198" s="228">
        <v>-0.95</v>
      </c>
      <c r="AC198" s="229">
        <v>-2.9999999999999997E-4</v>
      </c>
      <c r="AD198" s="228">
        <v>-0.2</v>
      </c>
      <c r="AE198" s="228">
        <v>0.75</v>
      </c>
      <c r="AF198" s="228">
        <v>-0.95</v>
      </c>
      <c r="AG198" s="229">
        <v>-2.9999999999999997E-4</v>
      </c>
      <c r="AH198" s="228">
        <v>0</v>
      </c>
      <c r="AI198" s="228">
        <v>0</v>
      </c>
      <c r="AJ198" s="228">
        <v>0</v>
      </c>
      <c r="AK198" s="229">
        <v>0</v>
      </c>
      <c r="AL198" s="228">
        <v>0</v>
      </c>
      <c r="AM198" s="228">
        <v>0</v>
      </c>
      <c r="AN198" s="228">
        <v>0</v>
      </c>
      <c r="AO198" s="229">
        <v>0</v>
      </c>
      <c r="AP198" s="228">
        <v>773.48</v>
      </c>
      <c r="AQ198" s="228">
        <v>0</v>
      </c>
      <c r="AR198" s="228">
        <v>0</v>
      </c>
      <c r="AS198" s="228">
        <v>82</v>
      </c>
      <c r="AT198" s="228">
        <v>49</v>
      </c>
      <c r="AU198" s="228">
        <v>33</v>
      </c>
      <c r="AV198" s="229">
        <v>0.67930000000000001</v>
      </c>
      <c r="AW198" s="228">
        <v>82</v>
      </c>
      <c r="AX198" s="228">
        <v>49</v>
      </c>
      <c r="AY198" s="228">
        <v>33</v>
      </c>
      <c r="AZ198" s="229">
        <v>0.67930000000000001</v>
      </c>
      <c r="BA198" s="228">
        <v>0</v>
      </c>
      <c r="BB198" s="228">
        <v>0</v>
      </c>
      <c r="BC198" s="228">
        <v>0</v>
      </c>
      <c r="BD198" s="229">
        <v>0</v>
      </c>
      <c r="BE198" s="228">
        <v>0</v>
      </c>
      <c r="BF198" s="228">
        <v>0</v>
      </c>
      <c r="BG198" s="228">
        <v>0</v>
      </c>
      <c r="BH198" s="229">
        <v>0</v>
      </c>
      <c r="BI198" s="228">
        <v>432</v>
      </c>
      <c r="BJ198" s="228">
        <v>167</v>
      </c>
      <c r="BK198" s="228">
        <v>265</v>
      </c>
      <c r="BL198" s="229">
        <v>1.5893999999999999</v>
      </c>
      <c r="BM198" s="228">
        <v>92</v>
      </c>
      <c r="BN198" s="228">
        <v>70</v>
      </c>
      <c r="BO198" s="228">
        <v>21</v>
      </c>
      <c r="BP198" s="229">
        <v>0.30070000000000002</v>
      </c>
      <c r="BQ198" s="228">
        <v>606</v>
      </c>
      <c r="BR198" s="228">
        <v>286</v>
      </c>
      <c r="BS198" s="228">
        <v>320</v>
      </c>
      <c r="BT198" s="229">
        <v>1.117</v>
      </c>
      <c r="BU198" s="230">
        <v>1188885</v>
      </c>
      <c r="BV198" s="230">
        <v>421010</v>
      </c>
      <c r="BW198" s="230">
        <v>767875</v>
      </c>
      <c r="BX198" s="229">
        <v>1.8239000000000001</v>
      </c>
      <c r="BY198" s="228">
        <v>421</v>
      </c>
      <c r="BZ198" s="228">
        <v>424</v>
      </c>
      <c r="CA198" s="228">
        <v>-3</v>
      </c>
      <c r="CB198" s="229">
        <v>-8.0000000000000002E-3</v>
      </c>
      <c r="CC198" s="228">
        <v>421</v>
      </c>
      <c r="CD198" s="228">
        <v>424</v>
      </c>
      <c r="CE198" s="228">
        <v>-3</v>
      </c>
      <c r="CF198" s="229">
        <v>-8.0000000000000002E-3</v>
      </c>
      <c r="CG198" s="228">
        <v>0</v>
      </c>
      <c r="CH198" s="228">
        <v>0</v>
      </c>
      <c r="CI198" s="228">
        <v>0</v>
      </c>
      <c r="CJ198" s="229">
        <v>0</v>
      </c>
      <c r="CK198" s="228">
        <v>0</v>
      </c>
      <c r="CL198" s="228">
        <v>0</v>
      </c>
      <c r="CM198" s="228">
        <v>0</v>
      </c>
      <c r="CN198" s="229">
        <v>0</v>
      </c>
      <c r="CO198" s="228">
        <v>314</v>
      </c>
      <c r="CP198" s="228">
        <v>293</v>
      </c>
      <c r="CQ198" s="228">
        <v>21</v>
      </c>
      <c r="CR198" s="229">
        <v>7.1300000000000002E-2</v>
      </c>
      <c r="CS198" s="228">
        <v>152</v>
      </c>
      <c r="CT198" s="228">
        <v>145</v>
      </c>
      <c r="CU198" s="228">
        <v>7</v>
      </c>
      <c r="CV198" s="229">
        <v>4.9000000000000002E-2</v>
      </c>
      <c r="CW198" s="228">
        <v>887</v>
      </c>
      <c r="CX198" s="228">
        <v>862</v>
      </c>
      <c r="CY198" s="228">
        <v>25</v>
      </c>
      <c r="CZ198" s="229">
        <v>2.8500000000000001E-2</v>
      </c>
      <c r="DA198" s="228">
        <v>32.74</v>
      </c>
      <c r="DB198" s="228">
        <v>33.15</v>
      </c>
      <c r="DC198" s="228">
        <v>-0.41</v>
      </c>
      <c r="DD198" s="228">
        <v>-0.41</v>
      </c>
      <c r="DE198" s="228">
        <v>51.89</v>
      </c>
      <c r="DF198" s="228">
        <v>52.02</v>
      </c>
      <c r="DG198" s="228">
        <v>-19.149999999999999</v>
      </c>
      <c r="DH198" s="228">
        <v>-0.13</v>
      </c>
      <c r="DI198" s="228">
        <v>32.729999999999997</v>
      </c>
      <c r="DJ198" s="228">
        <v>33.75</v>
      </c>
      <c r="DK198" s="228">
        <v>-1.02</v>
      </c>
      <c r="DL198" s="228">
        <v>-1.02</v>
      </c>
      <c r="DM198" s="228">
        <v>32.81</v>
      </c>
      <c r="DN198" s="228">
        <v>31.73</v>
      </c>
      <c r="DO198" s="228">
        <v>1.08</v>
      </c>
      <c r="DP198" s="228">
        <v>1.08</v>
      </c>
      <c r="DQ198" s="228">
        <v>0.48</v>
      </c>
      <c r="DR198" s="228">
        <v>0.5</v>
      </c>
      <c r="DS198" s="228">
        <v>-0.02</v>
      </c>
      <c r="DT198" s="229">
        <v>-0.04</v>
      </c>
      <c r="DU198" s="228">
        <v>840</v>
      </c>
      <c r="DV198" s="228">
        <v>760</v>
      </c>
      <c r="DW198" s="228">
        <v>0.21</v>
      </c>
      <c r="DX198" s="228">
        <v>0.42</v>
      </c>
      <c r="DY198" s="228">
        <v>-0.21</v>
      </c>
      <c r="DZ198" s="229">
        <v>-0.5</v>
      </c>
      <c r="EA198" s="229">
        <v>0</v>
      </c>
      <c r="EB198" s="228">
        <v>0</v>
      </c>
      <c r="EC198" s="229">
        <v>0</v>
      </c>
      <c r="ED198" s="229">
        <v>0</v>
      </c>
      <c r="EE198" s="228">
        <v>0</v>
      </c>
      <c r="EF198" s="229">
        <v>0</v>
      </c>
      <c r="EG198" s="230">
        <v>162170</v>
      </c>
      <c r="EH198" s="230">
        <v>121735</v>
      </c>
      <c r="EI198" s="229">
        <v>0.3322</v>
      </c>
      <c r="EJ198" s="229">
        <v>0.13639999999999999</v>
      </c>
      <c r="EK198" s="228">
        <v>457.29</v>
      </c>
      <c r="EL198" s="228">
        <v>90.55</v>
      </c>
      <c r="EM198" s="228">
        <v>82.21</v>
      </c>
      <c r="EN198" s="228">
        <v>11.15</v>
      </c>
      <c r="EO198" s="228">
        <v>630.04999999999995</v>
      </c>
      <c r="EP198" s="228">
        <v>299.95</v>
      </c>
      <c r="EQ198" s="228">
        <v>330.1</v>
      </c>
      <c r="ER198" s="229">
        <v>1.1005</v>
      </c>
      <c r="ES198" s="228">
        <v>348.54</v>
      </c>
      <c r="ET198" s="228">
        <v>154.69999999999999</v>
      </c>
      <c r="EU198" s="228">
        <v>421.03</v>
      </c>
      <c r="EV198" s="231">
        <v>12028036</v>
      </c>
      <c r="EW198" s="228">
        <v>924.27</v>
      </c>
      <c r="EX198" s="228">
        <v>901.32</v>
      </c>
      <c r="EY198" s="228">
        <v>22.95</v>
      </c>
      <c r="EZ198" s="229">
        <v>2.5499999999999998E-2</v>
      </c>
      <c r="FA198" s="229">
        <v>0.95489999999999997</v>
      </c>
      <c r="FB198" s="227" t="s">
        <v>568</v>
      </c>
      <c r="FC198">
        <f t="shared" si="4"/>
        <v>0</v>
      </c>
    </row>
    <row r="199" spans="1:159" ht="17.25" thickBot="1" x14ac:dyDescent="0.3">
      <c r="A199" s="226">
        <v>46009</v>
      </c>
      <c r="B199" s="227" t="s">
        <v>168</v>
      </c>
      <c r="C199" s="227" t="s">
        <v>297</v>
      </c>
      <c r="D199" s="228">
        <v>175</v>
      </c>
      <c r="E199" s="228">
        <v>12</v>
      </c>
      <c r="F199" s="231">
        <v>3923.2</v>
      </c>
      <c r="G199" s="231">
        <v>3912.7</v>
      </c>
      <c r="H199" s="228">
        <v>10.5</v>
      </c>
      <c r="I199" s="229">
        <v>2.7000000000000001E-3</v>
      </c>
      <c r="J199" s="231">
        <v>3919.3</v>
      </c>
      <c r="K199" s="231">
        <v>3907.9</v>
      </c>
      <c r="L199" s="228">
        <v>11.4</v>
      </c>
      <c r="M199" s="229">
        <v>2.8999999999999998E-3</v>
      </c>
      <c r="N199" s="231">
        <v>3923.2</v>
      </c>
      <c r="O199" s="231">
        <v>3912.7</v>
      </c>
      <c r="P199" s="228">
        <v>10.5</v>
      </c>
      <c r="Q199" s="229">
        <v>2.7000000000000001E-3</v>
      </c>
      <c r="R199" s="231">
        <v>3949.2</v>
      </c>
      <c r="S199" s="231">
        <v>3935.8</v>
      </c>
      <c r="T199" s="228">
        <v>13.4</v>
      </c>
      <c r="U199" s="229">
        <v>3.3999999999999998E-3</v>
      </c>
      <c r="V199" s="231">
        <v>3969.4</v>
      </c>
      <c r="W199" s="231">
        <v>3956.4</v>
      </c>
      <c r="X199" s="228">
        <v>13</v>
      </c>
      <c r="Y199" s="229">
        <v>3.3E-3</v>
      </c>
      <c r="Z199" s="228">
        <v>3.9</v>
      </c>
      <c r="AA199" s="228">
        <v>4.8</v>
      </c>
      <c r="AB199" s="228">
        <v>-0.9</v>
      </c>
      <c r="AC199" s="229">
        <v>1E-3</v>
      </c>
      <c r="AD199" s="228">
        <v>3.9</v>
      </c>
      <c r="AE199" s="228">
        <v>4.8</v>
      </c>
      <c r="AF199" s="228">
        <v>-0.9</v>
      </c>
      <c r="AG199" s="229">
        <v>1E-3</v>
      </c>
      <c r="AH199" s="228">
        <v>29.9</v>
      </c>
      <c r="AI199" s="228">
        <v>27.9</v>
      </c>
      <c r="AJ199" s="228">
        <v>2</v>
      </c>
      <c r="AK199" s="229">
        <v>7.6E-3</v>
      </c>
      <c r="AL199" s="228">
        <v>50.1</v>
      </c>
      <c r="AM199" s="228">
        <v>48.5</v>
      </c>
      <c r="AN199" s="228">
        <v>1.6</v>
      </c>
      <c r="AO199" s="229">
        <v>1.2800000000000001E-2</v>
      </c>
      <c r="AP199" s="231">
        <v>3916.51</v>
      </c>
      <c r="AQ199" s="231">
        <v>3940.99</v>
      </c>
      <c r="AR199" s="228">
        <v>0</v>
      </c>
      <c r="AS199" s="228">
        <v>600</v>
      </c>
      <c r="AT199" s="228">
        <v>460</v>
      </c>
      <c r="AU199" s="228">
        <v>140</v>
      </c>
      <c r="AV199" s="229">
        <v>0.30480000000000002</v>
      </c>
      <c r="AW199" s="228">
        <v>391</v>
      </c>
      <c r="AX199" s="228">
        <v>327</v>
      </c>
      <c r="AY199" s="228">
        <v>64</v>
      </c>
      <c r="AZ199" s="229">
        <v>0.1943</v>
      </c>
      <c r="BA199" s="228">
        <v>205</v>
      </c>
      <c r="BB199" s="228">
        <v>129</v>
      </c>
      <c r="BC199" s="228">
        <v>76</v>
      </c>
      <c r="BD199" s="229">
        <v>0.58779999999999999</v>
      </c>
      <c r="BE199" s="228">
        <v>4</v>
      </c>
      <c r="BF199" s="228">
        <v>4</v>
      </c>
      <c r="BG199" s="228">
        <v>1</v>
      </c>
      <c r="BH199" s="229">
        <v>0.1731</v>
      </c>
      <c r="BI199" s="230">
        <v>1416</v>
      </c>
      <c r="BJ199" s="230">
        <v>2184</v>
      </c>
      <c r="BK199" s="228">
        <v>-768</v>
      </c>
      <c r="BL199" s="229">
        <v>-0.35160000000000002</v>
      </c>
      <c r="BM199" s="228">
        <v>755</v>
      </c>
      <c r="BN199" s="230">
        <v>1388</v>
      </c>
      <c r="BO199" s="228">
        <v>-633</v>
      </c>
      <c r="BP199" s="229">
        <v>-0.45629999999999998</v>
      </c>
      <c r="BQ199" s="230">
        <v>2771</v>
      </c>
      <c r="BR199" s="230">
        <v>4032</v>
      </c>
      <c r="BS199" s="230">
        <v>-1261</v>
      </c>
      <c r="BT199" s="229">
        <v>-0.31269999999999998</v>
      </c>
      <c r="BU199" s="230">
        <v>522949</v>
      </c>
      <c r="BV199" s="230">
        <v>690049</v>
      </c>
      <c r="BW199" s="230">
        <v>-167100</v>
      </c>
      <c r="BX199" s="229">
        <v>-0.2422</v>
      </c>
      <c r="BY199" s="230">
        <v>3703</v>
      </c>
      <c r="BZ199" s="230">
        <v>3655</v>
      </c>
      <c r="CA199" s="228">
        <v>49</v>
      </c>
      <c r="CB199" s="229">
        <v>1.3299999999999999E-2</v>
      </c>
      <c r="CC199" s="230">
        <v>3062</v>
      </c>
      <c r="CD199" s="230">
        <v>3199</v>
      </c>
      <c r="CE199" s="228">
        <v>-137</v>
      </c>
      <c r="CF199" s="229">
        <v>-4.2900000000000001E-2</v>
      </c>
      <c r="CG199" s="228">
        <v>597</v>
      </c>
      <c r="CH199" s="228">
        <v>412</v>
      </c>
      <c r="CI199" s="228">
        <v>185</v>
      </c>
      <c r="CJ199" s="229">
        <v>0.44990000000000002</v>
      </c>
      <c r="CK199" s="228">
        <v>44</v>
      </c>
      <c r="CL199" s="228">
        <v>44</v>
      </c>
      <c r="CM199" s="228">
        <v>0</v>
      </c>
      <c r="CN199" s="229">
        <v>1.0999999999999999E-2</v>
      </c>
      <c r="CO199" s="230">
        <v>1458</v>
      </c>
      <c r="CP199" s="230">
        <v>1472</v>
      </c>
      <c r="CQ199" s="228">
        <v>-15</v>
      </c>
      <c r="CR199" s="229">
        <v>-0.01</v>
      </c>
      <c r="CS199" s="228">
        <v>923</v>
      </c>
      <c r="CT199" s="228">
        <v>906</v>
      </c>
      <c r="CU199" s="228">
        <v>17</v>
      </c>
      <c r="CV199" s="229">
        <v>1.8800000000000001E-2</v>
      </c>
      <c r="CW199" s="230">
        <v>6084</v>
      </c>
      <c r="CX199" s="230">
        <v>6033</v>
      </c>
      <c r="CY199" s="228">
        <v>51</v>
      </c>
      <c r="CZ199" s="229">
        <v>8.3999999999999995E-3</v>
      </c>
      <c r="DA199" s="228">
        <v>15.44</v>
      </c>
      <c r="DB199" s="228">
        <v>16.46</v>
      </c>
      <c r="DC199" s="228">
        <v>-1.02</v>
      </c>
      <c r="DD199" s="228">
        <v>-1.02</v>
      </c>
      <c r="DE199" s="228">
        <v>24.75</v>
      </c>
      <c r="DF199" s="228">
        <v>24.81</v>
      </c>
      <c r="DG199" s="228">
        <v>-9.31</v>
      </c>
      <c r="DH199" s="228">
        <v>-0.06</v>
      </c>
      <c r="DI199" s="228">
        <v>15.09</v>
      </c>
      <c r="DJ199" s="228">
        <v>16.16</v>
      </c>
      <c r="DK199" s="228">
        <v>-1.07</v>
      </c>
      <c r="DL199" s="228">
        <v>-1.07</v>
      </c>
      <c r="DM199" s="228">
        <v>16.09</v>
      </c>
      <c r="DN199" s="228">
        <v>16.940000000000001</v>
      </c>
      <c r="DO199" s="228">
        <v>-0.85</v>
      </c>
      <c r="DP199" s="228">
        <v>-0.85</v>
      </c>
      <c r="DQ199" s="228">
        <v>0.63</v>
      </c>
      <c r="DR199" s="228">
        <v>0.62</v>
      </c>
      <c r="DS199" s="228">
        <v>0.01</v>
      </c>
      <c r="DT199" s="229">
        <v>1.61E-2</v>
      </c>
      <c r="DU199" s="231">
        <v>4000</v>
      </c>
      <c r="DV199" s="231">
        <v>3800</v>
      </c>
      <c r="DW199" s="228">
        <v>0.53</v>
      </c>
      <c r="DX199" s="228">
        <v>0.64</v>
      </c>
      <c r="DY199" s="228">
        <v>-0.11</v>
      </c>
      <c r="DZ199" s="229">
        <v>-0.1719</v>
      </c>
      <c r="EA199" s="229">
        <v>0.17319999999999999</v>
      </c>
      <c r="EB199" s="230">
        <v>1161300</v>
      </c>
      <c r="EC199" s="229">
        <v>6.6E-3</v>
      </c>
      <c r="ED199" s="229">
        <v>0.17319999999999999</v>
      </c>
      <c r="EE199" s="228">
        <v>24.48</v>
      </c>
      <c r="EF199" s="229">
        <v>6.3E-3</v>
      </c>
      <c r="EG199" s="230">
        <v>311113</v>
      </c>
      <c r="EH199" s="230">
        <v>473267</v>
      </c>
      <c r="EI199" s="229">
        <v>-0.34260000000000002</v>
      </c>
      <c r="EJ199" s="229">
        <v>0.59489999999999998</v>
      </c>
      <c r="EK199" s="231">
        <v>1442.99</v>
      </c>
      <c r="EL199" s="228">
        <v>743.31</v>
      </c>
      <c r="EM199" s="228">
        <v>600.70000000000005</v>
      </c>
      <c r="EN199" s="228">
        <v>65.040000000000006</v>
      </c>
      <c r="EO199" s="231">
        <v>2787</v>
      </c>
      <c r="EP199" s="231">
        <v>4058.32</v>
      </c>
      <c r="EQ199" s="231">
        <v>-1271.32</v>
      </c>
      <c r="ER199" s="229">
        <v>-0.31330000000000002</v>
      </c>
      <c r="ES199" s="231">
        <v>1481.84</v>
      </c>
      <c r="ET199" s="228">
        <v>880.91</v>
      </c>
      <c r="EU199" s="231">
        <v>3707.85</v>
      </c>
      <c r="EV199" s="231">
        <v>41744334</v>
      </c>
      <c r="EW199" s="231">
        <v>6070.61</v>
      </c>
      <c r="EX199" s="231">
        <v>6009.75</v>
      </c>
      <c r="EY199" s="228">
        <v>60.86</v>
      </c>
      <c r="EZ199" s="229">
        <v>1.01E-2</v>
      </c>
      <c r="FA199" s="229">
        <v>0.3715</v>
      </c>
      <c r="FB199" s="227" t="s">
        <v>555</v>
      </c>
      <c r="FC199">
        <f t="shared" si="4"/>
        <v>0</v>
      </c>
    </row>
    <row r="200" spans="1:159" ht="17.25" thickBot="1" x14ac:dyDescent="0.3">
      <c r="A200" s="226">
        <v>46009</v>
      </c>
      <c r="B200" s="227" t="s">
        <v>162</v>
      </c>
      <c r="C200" s="227" t="s">
        <v>690</v>
      </c>
      <c r="D200" s="228">
        <v>800</v>
      </c>
      <c r="E200" s="228">
        <v>12</v>
      </c>
      <c r="F200" s="228">
        <v>347.05</v>
      </c>
      <c r="G200" s="228">
        <v>346.6</v>
      </c>
      <c r="H200" s="228">
        <v>0.45</v>
      </c>
      <c r="I200" s="229">
        <v>1.2999999999999999E-3</v>
      </c>
      <c r="J200" s="228">
        <v>345.8</v>
      </c>
      <c r="K200" s="228">
        <v>346.35</v>
      </c>
      <c r="L200" s="228">
        <v>-0.55000000000000004</v>
      </c>
      <c r="M200" s="229">
        <v>-1.6000000000000001E-3</v>
      </c>
      <c r="N200" s="228">
        <v>347.05</v>
      </c>
      <c r="O200" s="228">
        <v>346.6</v>
      </c>
      <c r="P200" s="228">
        <v>0.45</v>
      </c>
      <c r="Q200" s="229">
        <v>1.2999999999999999E-3</v>
      </c>
      <c r="R200" s="228">
        <v>349</v>
      </c>
      <c r="S200" s="228">
        <v>348.45</v>
      </c>
      <c r="T200" s="228">
        <v>0.55000000000000004</v>
      </c>
      <c r="U200" s="229">
        <v>1.6000000000000001E-3</v>
      </c>
      <c r="V200" s="228">
        <v>351</v>
      </c>
      <c r="W200" s="228">
        <v>351.15</v>
      </c>
      <c r="X200" s="228">
        <v>-0.15</v>
      </c>
      <c r="Y200" s="229">
        <v>-4.0000000000000002E-4</v>
      </c>
      <c r="Z200" s="228">
        <v>1.25</v>
      </c>
      <c r="AA200" s="228">
        <v>0.25</v>
      </c>
      <c r="AB200" s="228">
        <v>1</v>
      </c>
      <c r="AC200" s="229">
        <v>3.5999999999999999E-3</v>
      </c>
      <c r="AD200" s="228">
        <v>1.25</v>
      </c>
      <c r="AE200" s="228">
        <v>0.25</v>
      </c>
      <c r="AF200" s="228">
        <v>1</v>
      </c>
      <c r="AG200" s="229">
        <v>3.5999999999999999E-3</v>
      </c>
      <c r="AH200" s="228">
        <v>3.2</v>
      </c>
      <c r="AI200" s="228">
        <v>2.1</v>
      </c>
      <c r="AJ200" s="228">
        <v>1.1000000000000001</v>
      </c>
      <c r="AK200" s="229">
        <v>9.2999999999999992E-3</v>
      </c>
      <c r="AL200" s="228">
        <v>5.2</v>
      </c>
      <c r="AM200" s="228">
        <v>4.8</v>
      </c>
      <c r="AN200" s="228">
        <v>0.4</v>
      </c>
      <c r="AO200" s="229">
        <v>1.4999999999999999E-2</v>
      </c>
      <c r="AP200" s="228">
        <v>343.4</v>
      </c>
      <c r="AQ200" s="228">
        <v>345.94</v>
      </c>
      <c r="AR200" s="228">
        <v>0</v>
      </c>
      <c r="AS200" s="230">
        <v>1025</v>
      </c>
      <c r="AT200" s="228">
        <v>474</v>
      </c>
      <c r="AU200" s="228">
        <v>551</v>
      </c>
      <c r="AV200" s="229">
        <v>1.1623000000000001</v>
      </c>
      <c r="AW200" s="228">
        <v>770</v>
      </c>
      <c r="AX200" s="228">
        <v>351</v>
      </c>
      <c r="AY200" s="228">
        <v>419</v>
      </c>
      <c r="AZ200" s="229">
        <v>1.1952</v>
      </c>
      <c r="BA200" s="228">
        <v>225</v>
      </c>
      <c r="BB200" s="228">
        <v>115</v>
      </c>
      <c r="BC200" s="228">
        <v>110</v>
      </c>
      <c r="BD200" s="229">
        <v>0.95220000000000005</v>
      </c>
      <c r="BE200" s="228">
        <v>29</v>
      </c>
      <c r="BF200" s="228">
        <v>8</v>
      </c>
      <c r="BG200" s="228">
        <v>22</v>
      </c>
      <c r="BH200" s="229">
        <v>2.8388</v>
      </c>
      <c r="BI200" s="230">
        <v>5385</v>
      </c>
      <c r="BJ200" s="230">
        <v>2144</v>
      </c>
      <c r="BK200" s="230">
        <v>3242</v>
      </c>
      <c r="BL200" s="229">
        <v>1.5122</v>
      </c>
      <c r="BM200" s="230">
        <v>1598</v>
      </c>
      <c r="BN200" s="228">
        <v>670</v>
      </c>
      <c r="BO200" s="228">
        <v>928</v>
      </c>
      <c r="BP200" s="229">
        <v>1.3849</v>
      </c>
      <c r="BQ200" s="230">
        <v>8008</v>
      </c>
      <c r="BR200" s="230">
        <v>3288</v>
      </c>
      <c r="BS200" s="230">
        <v>4721</v>
      </c>
      <c r="BT200" s="229">
        <v>1.4358</v>
      </c>
      <c r="BU200" s="230">
        <v>15417506</v>
      </c>
      <c r="BV200" s="230">
        <v>7045390</v>
      </c>
      <c r="BW200" s="230">
        <v>8372116</v>
      </c>
      <c r="BX200" s="229">
        <v>1.1882999999999999</v>
      </c>
      <c r="BY200" s="230">
        <v>3502</v>
      </c>
      <c r="BZ200" s="230">
        <v>3381</v>
      </c>
      <c r="CA200" s="228">
        <v>121</v>
      </c>
      <c r="CB200" s="229">
        <v>3.5799999999999998E-2</v>
      </c>
      <c r="CC200" s="230">
        <v>2845</v>
      </c>
      <c r="CD200" s="230">
        <v>2855</v>
      </c>
      <c r="CE200" s="228">
        <v>-10</v>
      </c>
      <c r="CF200" s="229">
        <v>-3.5000000000000001E-3</v>
      </c>
      <c r="CG200" s="228">
        <v>596</v>
      </c>
      <c r="CH200" s="228">
        <v>478</v>
      </c>
      <c r="CI200" s="228">
        <v>119</v>
      </c>
      <c r="CJ200" s="229">
        <v>0.2487</v>
      </c>
      <c r="CK200" s="228">
        <v>60</v>
      </c>
      <c r="CL200" s="228">
        <v>48</v>
      </c>
      <c r="CM200" s="228">
        <v>12</v>
      </c>
      <c r="CN200" s="229">
        <v>0.25679999999999997</v>
      </c>
      <c r="CO200" s="230">
        <v>2477</v>
      </c>
      <c r="CP200" s="230">
        <v>2617</v>
      </c>
      <c r="CQ200" s="228">
        <v>-140</v>
      </c>
      <c r="CR200" s="229">
        <v>-5.3400000000000003E-2</v>
      </c>
      <c r="CS200" s="230">
        <v>1237</v>
      </c>
      <c r="CT200" s="230">
        <v>1233</v>
      </c>
      <c r="CU200" s="228">
        <v>4</v>
      </c>
      <c r="CV200" s="229">
        <v>3.2000000000000002E-3</v>
      </c>
      <c r="CW200" s="230">
        <v>7215</v>
      </c>
      <c r="CX200" s="230">
        <v>7230</v>
      </c>
      <c r="CY200" s="228">
        <v>-15</v>
      </c>
      <c r="CZ200" s="229">
        <v>-2E-3</v>
      </c>
      <c r="DA200" s="228">
        <v>25.14</v>
      </c>
      <c r="DB200" s="228">
        <v>26.96</v>
      </c>
      <c r="DC200" s="228">
        <v>-1.82</v>
      </c>
      <c r="DD200" s="228">
        <v>-1.82</v>
      </c>
      <c r="DE200" s="228">
        <v>34.090000000000003</v>
      </c>
      <c r="DF200" s="228">
        <v>34.17</v>
      </c>
      <c r="DG200" s="228">
        <v>-8.9499999999999993</v>
      </c>
      <c r="DH200" s="228">
        <v>-0.08</v>
      </c>
      <c r="DI200" s="228">
        <v>25.56</v>
      </c>
      <c r="DJ200" s="228">
        <v>28.11</v>
      </c>
      <c r="DK200" s="228">
        <v>-2.5499999999999998</v>
      </c>
      <c r="DL200" s="228">
        <v>-2.5499999999999998</v>
      </c>
      <c r="DM200" s="228">
        <v>23.74</v>
      </c>
      <c r="DN200" s="228">
        <v>23.28</v>
      </c>
      <c r="DO200" s="228">
        <v>0.46</v>
      </c>
      <c r="DP200" s="228">
        <v>0.46</v>
      </c>
      <c r="DQ200" s="228">
        <v>0.5</v>
      </c>
      <c r="DR200" s="228">
        <v>0.47</v>
      </c>
      <c r="DS200" s="228">
        <v>0.03</v>
      </c>
      <c r="DT200" s="229">
        <v>6.3799999999999996E-2</v>
      </c>
      <c r="DU200" s="228">
        <v>360</v>
      </c>
      <c r="DV200" s="228">
        <v>340</v>
      </c>
      <c r="DW200" s="228">
        <v>0.3</v>
      </c>
      <c r="DX200" s="228">
        <v>0.31</v>
      </c>
      <c r="DY200" s="228">
        <v>-0.01</v>
      </c>
      <c r="DZ200" s="229">
        <v>-3.2300000000000002E-2</v>
      </c>
      <c r="EA200" s="229">
        <v>0.1875</v>
      </c>
      <c r="EB200" s="230">
        <v>15140000</v>
      </c>
      <c r="EC200" s="229">
        <v>5.5999999999999999E-3</v>
      </c>
      <c r="ED200" s="229">
        <v>0.1875</v>
      </c>
      <c r="EE200" s="228">
        <v>2.54</v>
      </c>
      <c r="EF200" s="229">
        <v>7.4000000000000003E-3</v>
      </c>
      <c r="EG200" s="230">
        <v>6798363</v>
      </c>
      <c r="EH200" s="230">
        <v>3460424</v>
      </c>
      <c r="EI200" s="229">
        <v>0.96460000000000001</v>
      </c>
      <c r="EJ200" s="229">
        <v>0.441</v>
      </c>
      <c r="EK200" s="231">
        <v>5689.35</v>
      </c>
      <c r="EL200" s="231">
        <v>1569.73</v>
      </c>
      <c r="EM200" s="231">
        <v>1015.69</v>
      </c>
      <c r="EN200" s="228">
        <v>149.31</v>
      </c>
      <c r="EO200" s="231">
        <v>8274.77</v>
      </c>
      <c r="EP200" s="231">
        <v>3430.09</v>
      </c>
      <c r="EQ200" s="231">
        <v>4844.68</v>
      </c>
      <c r="ER200" s="229">
        <v>1.4124000000000001</v>
      </c>
      <c r="ES200" s="231">
        <v>2716.67</v>
      </c>
      <c r="ET200" s="231">
        <v>1251.74</v>
      </c>
      <c r="EU200" s="231">
        <v>3505.83</v>
      </c>
      <c r="EV200" s="231">
        <v>284575867</v>
      </c>
      <c r="EW200" s="231">
        <v>7474.23</v>
      </c>
      <c r="EX200" s="231">
        <v>7500.02</v>
      </c>
      <c r="EY200" s="228">
        <v>-25.79</v>
      </c>
      <c r="EZ200" s="229">
        <v>-3.3999999999999998E-3</v>
      </c>
      <c r="FA200" s="229">
        <v>0.73060000000000003</v>
      </c>
      <c r="FB200" s="227" t="s">
        <v>555</v>
      </c>
      <c r="FC200">
        <f t="shared" si="4"/>
        <v>0</v>
      </c>
    </row>
    <row r="201" spans="1:159" ht="17.25" thickBot="1" x14ac:dyDescent="0.3">
      <c r="A201" s="226">
        <v>46009</v>
      </c>
      <c r="B201" s="227" t="s">
        <v>170</v>
      </c>
      <c r="C201" s="227" t="s">
        <v>298</v>
      </c>
      <c r="D201" s="228">
        <v>250</v>
      </c>
      <c r="E201" s="228">
        <v>12</v>
      </c>
      <c r="F201" s="231">
        <v>3761.4</v>
      </c>
      <c r="G201" s="231">
        <v>3772.1</v>
      </c>
      <c r="H201" s="228">
        <v>-10.7</v>
      </c>
      <c r="I201" s="229">
        <v>-2.8E-3</v>
      </c>
      <c r="J201" s="231">
        <v>3759.5</v>
      </c>
      <c r="K201" s="231">
        <v>3770.8</v>
      </c>
      <c r="L201" s="228">
        <v>-11.3</v>
      </c>
      <c r="M201" s="229">
        <v>-3.0000000000000001E-3</v>
      </c>
      <c r="N201" s="231">
        <v>3761.4</v>
      </c>
      <c r="O201" s="231">
        <v>3772.1</v>
      </c>
      <c r="P201" s="228">
        <v>-10.7</v>
      </c>
      <c r="Q201" s="229">
        <v>-2.8E-3</v>
      </c>
      <c r="R201" s="231">
        <v>3785.9</v>
      </c>
      <c r="S201" s="231">
        <v>3794.1</v>
      </c>
      <c r="T201" s="228">
        <v>-8.1999999999999993</v>
      </c>
      <c r="U201" s="229">
        <v>-2.2000000000000001E-3</v>
      </c>
      <c r="V201" s="231">
        <v>3780.6</v>
      </c>
      <c r="W201" s="231">
        <v>3771.9</v>
      </c>
      <c r="X201" s="228">
        <v>8.6999999999999993</v>
      </c>
      <c r="Y201" s="229">
        <v>2.3E-3</v>
      </c>
      <c r="Z201" s="228">
        <v>1.9</v>
      </c>
      <c r="AA201" s="228">
        <v>1.3</v>
      </c>
      <c r="AB201" s="228">
        <v>0.6</v>
      </c>
      <c r="AC201" s="229">
        <v>5.0000000000000001E-4</v>
      </c>
      <c r="AD201" s="228">
        <v>1.9</v>
      </c>
      <c r="AE201" s="228">
        <v>1.3</v>
      </c>
      <c r="AF201" s="228">
        <v>0.6</v>
      </c>
      <c r="AG201" s="229">
        <v>5.0000000000000001E-4</v>
      </c>
      <c r="AH201" s="228">
        <v>26.4</v>
      </c>
      <c r="AI201" s="228">
        <v>23.3</v>
      </c>
      <c r="AJ201" s="228">
        <v>3.1</v>
      </c>
      <c r="AK201" s="229">
        <v>7.0000000000000001E-3</v>
      </c>
      <c r="AL201" s="228">
        <v>21.1</v>
      </c>
      <c r="AM201" s="228">
        <v>1.1000000000000001</v>
      </c>
      <c r="AN201" s="228">
        <v>20</v>
      </c>
      <c r="AO201" s="229">
        <v>5.5999999999999999E-3</v>
      </c>
      <c r="AP201" s="231">
        <v>3750.75</v>
      </c>
      <c r="AQ201" s="231">
        <v>3777.43</v>
      </c>
      <c r="AR201" s="228">
        <v>0</v>
      </c>
      <c r="AS201" s="228">
        <v>90</v>
      </c>
      <c r="AT201" s="228">
        <v>78</v>
      </c>
      <c r="AU201" s="228">
        <v>12</v>
      </c>
      <c r="AV201" s="229">
        <v>0.15040000000000001</v>
      </c>
      <c r="AW201" s="228">
        <v>78</v>
      </c>
      <c r="AX201" s="228">
        <v>72</v>
      </c>
      <c r="AY201" s="228">
        <v>6</v>
      </c>
      <c r="AZ201" s="229">
        <v>8.4900000000000003E-2</v>
      </c>
      <c r="BA201" s="228">
        <v>11</v>
      </c>
      <c r="BB201" s="228">
        <v>6</v>
      </c>
      <c r="BC201" s="228">
        <v>5</v>
      </c>
      <c r="BD201" s="229">
        <v>0.875</v>
      </c>
      <c r="BE201" s="228">
        <v>0</v>
      </c>
      <c r="BF201" s="228">
        <v>0</v>
      </c>
      <c r="BG201" s="228">
        <v>0</v>
      </c>
      <c r="BH201" s="229">
        <v>4</v>
      </c>
      <c r="BI201" s="228">
        <v>124</v>
      </c>
      <c r="BJ201" s="228">
        <v>166</v>
      </c>
      <c r="BK201" s="228">
        <v>-42</v>
      </c>
      <c r="BL201" s="229">
        <v>-0.25159999999999999</v>
      </c>
      <c r="BM201" s="228">
        <v>44</v>
      </c>
      <c r="BN201" s="228">
        <v>77</v>
      </c>
      <c r="BO201" s="228">
        <v>-33</v>
      </c>
      <c r="BP201" s="229">
        <v>-0.4294</v>
      </c>
      <c r="BQ201" s="228">
        <v>258</v>
      </c>
      <c r="BR201" s="228">
        <v>321</v>
      </c>
      <c r="BS201" s="228">
        <v>-63</v>
      </c>
      <c r="BT201" s="229">
        <v>-0.19650000000000001</v>
      </c>
      <c r="BU201" s="230">
        <v>125995</v>
      </c>
      <c r="BV201" s="230">
        <v>146931</v>
      </c>
      <c r="BW201" s="230">
        <v>-20936</v>
      </c>
      <c r="BX201" s="229">
        <v>-0.14249999999999999</v>
      </c>
      <c r="BY201" s="228">
        <v>888</v>
      </c>
      <c r="BZ201" s="228">
        <v>897</v>
      </c>
      <c r="CA201" s="228">
        <v>-9</v>
      </c>
      <c r="CB201" s="229">
        <v>-1.01E-2</v>
      </c>
      <c r="CC201" s="228">
        <v>874</v>
      </c>
      <c r="CD201" s="228">
        <v>887</v>
      </c>
      <c r="CE201" s="228">
        <v>-13</v>
      </c>
      <c r="CF201" s="229">
        <v>-1.44E-2</v>
      </c>
      <c r="CG201" s="228">
        <v>13</v>
      </c>
      <c r="CH201" s="228">
        <v>9</v>
      </c>
      <c r="CI201" s="228">
        <v>4</v>
      </c>
      <c r="CJ201" s="229">
        <v>0.41049999999999998</v>
      </c>
      <c r="CK201" s="228">
        <v>2</v>
      </c>
      <c r="CL201" s="228">
        <v>2</v>
      </c>
      <c r="CM201" s="228">
        <v>0</v>
      </c>
      <c r="CN201" s="229">
        <v>5.8799999999999998E-2</v>
      </c>
      <c r="CO201" s="228">
        <v>244</v>
      </c>
      <c r="CP201" s="228">
        <v>253</v>
      </c>
      <c r="CQ201" s="228">
        <v>-9</v>
      </c>
      <c r="CR201" s="229">
        <v>-3.7100000000000001E-2</v>
      </c>
      <c r="CS201" s="228">
        <v>121</v>
      </c>
      <c r="CT201" s="228">
        <v>119</v>
      </c>
      <c r="CU201" s="228">
        <v>2</v>
      </c>
      <c r="CV201" s="229">
        <v>1.9800000000000002E-2</v>
      </c>
      <c r="CW201" s="230">
        <v>1253</v>
      </c>
      <c r="CX201" s="230">
        <v>1269</v>
      </c>
      <c r="CY201" s="228">
        <v>-16</v>
      </c>
      <c r="CZ201" s="229">
        <v>-1.2699999999999999E-2</v>
      </c>
      <c r="DA201" s="228">
        <v>16.75</v>
      </c>
      <c r="DB201" s="228">
        <v>18.2</v>
      </c>
      <c r="DC201" s="228">
        <v>-1.45</v>
      </c>
      <c r="DD201" s="228">
        <v>-1.45</v>
      </c>
      <c r="DE201" s="228">
        <v>25.28</v>
      </c>
      <c r="DF201" s="228">
        <v>25.34</v>
      </c>
      <c r="DG201" s="228">
        <v>-8.5299999999999994</v>
      </c>
      <c r="DH201" s="228">
        <v>-0.06</v>
      </c>
      <c r="DI201" s="228">
        <v>16.79</v>
      </c>
      <c r="DJ201" s="228">
        <v>17.989999999999998</v>
      </c>
      <c r="DK201" s="228">
        <v>-1.2</v>
      </c>
      <c r="DL201" s="228">
        <v>-1.2</v>
      </c>
      <c r="DM201" s="228">
        <v>16.649999999999999</v>
      </c>
      <c r="DN201" s="228">
        <v>18.649999999999999</v>
      </c>
      <c r="DO201" s="228">
        <v>-2</v>
      </c>
      <c r="DP201" s="228">
        <v>-2</v>
      </c>
      <c r="DQ201" s="228">
        <v>0.5</v>
      </c>
      <c r="DR201" s="228">
        <v>0.47</v>
      </c>
      <c r="DS201" s="228">
        <v>0.03</v>
      </c>
      <c r="DT201" s="229">
        <v>6.3799999999999996E-2</v>
      </c>
      <c r="DU201" s="231">
        <v>3800</v>
      </c>
      <c r="DV201" s="231">
        <v>3800</v>
      </c>
      <c r="DW201" s="228">
        <v>0.36</v>
      </c>
      <c r="DX201" s="228">
        <v>0.47</v>
      </c>
      <c r="DY201" s="228">
        <v>-0.11</v>
      </c>
      <c r="DZ201" s="229">
        <v>-0.23400000000000001</v>
      </c>
      <c r="EA201" s="229">
        <v>1.61E-2</v>
      </c>
      <c r="EB201" s="230">
        <v>28000</v>
      </c>
      <c r="EC201" s="229">
        <v>6.4999999999999997E-3</v>
      </c>
      <c r="ED201" s="229">
        <v>1.61E-2</v>
      </c>
      <c r="EE201" s="228">
        <v>26.68</v>
      </c>
      <c r="EF201" s="229">
        <v>7.1000000000000004E-3</v>
      </c>
      <c r="EG201" s="230">
        <v>77483</v>
      </c>
      <c r="EH201" s="230">
        <v>87429</v>
      </c>
      <c r="EI201" s="229">
        <v>-0.1138</v>
      </c>
      <c r="EJ201" s="229">
        <v>0.61499999999999999</v>
      </c>
      <c r="EK201" s="228">
        <v>127.64</v>
      </c>
      <c r="EL201" s="228">
        <v>43.7</v>
      </c>
      <c r="EM201" s="228">
        <v>89.73</v>
      </c>
      <c r="EN201" s="228">
        <v>8.3699999999999992</v>
      </c>
      <c r="EO201" s="228">
        <v>261.07</v>
      </c>
      <c r="EP201" s="228">
        <v>324.85000000000002</v>
      </c>
      <c r="EQ201" s="228">
        <v>-63.78</v>
      </c>
      <c r="ER201" s="229">
        <v>-0.1963</v>
      </c>
      <c r="ES201" s="228">
        <v>252.93</v>
      </c>
      <c r="ET201" s="228">
        <v>117.46</v>
      </c>
      <c r="EU201" s="228">
        <v>888.16</v>
      </c>
      <c r="EV201" s="231">
        <v>16072672</v>
      </c>
      <c r="EW201" s="231">
        <v>1258.55</v>
      </c>
      <c r="EX201" s="231">
        <v>1277.48</v>
      </c>
      <c r="EY201" s="228">
        <v>-18.93</v>
      </c>
      <c r="EZ201" s="229">
        <v>-1.4800000000000001E-2</v>
      </c>
      <c r="FA201" s="229">
        <v>0.20730000000000001</v>
      </c>
      <c r="FB201" s="227" t="s">
        <v>568</v>
      </c>
      <c r="FC201">
        <f t="shared" si="4"/>
        <v>0</v>
      </c>
    </row>
    <row r="202" spans="1:159" ht="17.25" thickBot="1" x14ac:dyDescent="0.3">
      <c r="A202" s="226">
        <v>46009</v>
      </c>
      <c r="B202" s="227" t="s">
        <v>161</v>
      </c>
      <c r="C202" s="227" t="s">
        <v>299</v>
      </c>
      <c r="D202" s="228">
        <v>375</v>
      </c>
      <c r="E202" s="228">
        <v>12</v>
      </c>
      <c r="F202" s="231">
        <v>1255.0999999999999</v>
      </c>
      <c r="G202" s="231">
        <v>1279.4000000000001</v>
      </c>
      <c r="H202" s="228">
        <v>-24.3</v>
      </c>
      <c r="I202" s="229">
        <v>-1.9E-2</v>
      </c>
      <c r="J202" s="231">
        <v>1252.7</v>
      </c>
      <c r="K202" s="231">
        <v>1274.5</v>
      </c>
      <c r="L202" s="228">
        <v>-21.8</v>
      </c>
      <c r="M202" s="229">
        <v>-1.7100000000000001E-2</v>
      </c>
      <c r="N202" s="231">
        <v>1255.0999999999999</v>
      </c>
      <c r="O202" s="231">
        <v>1279.4000000000001</v>
      </c>
      <c r="P202" s="228">
        <v>-24.3</v>
      </c>
      <c r="Q202" s="229">
        <v>-1.9E-2</v>
      </c>
      <c r="R202" s="231">
        <v>1264.0999999999999</v>
      </c>
      <c r="S202" s="231">
        <v>1285.5999999999999</v>
      </c>
      <c r="T202" s="228">
        <v>-21.5</v>
      </c>
      <c r="U202" s="229">
        <v>-1.67E-2</v>
      </c>
      <c r="V202" s="231">
        <v>1258</v>
      </c>
      <c r="W202" s="231">
        <v>1290</v>
      </c>
      <c r="X202" s="228">
        <v>-32</v>
      </c>
      <c r="Y202" s="229">
        <v>-2.4799999999999999E-2</v>
      </c>
      <c r="Z202" s="228">
        <v>2.4</v>
      </c>
      <c r="AA202" s="228">
        <v>4.9000000000000004</v>
      </c>
      <c r="AB202" s="228">
        <v>-2.5</v>
      </c>
      <c r="AC202" s="229">
        <v>1.9E-3</v>
      </c>
      <c r="AD202" s="228">
        <v>2.4</v>
      </c>
      <c r="AE202" s="228">
        <v>4.9000000000000004</v>
      </c>
      <c r="AF202" s="228">
        <v>-2.5</v>
      </c>
      <c r="AG202" s="229">
        <v>1.9E-3</v>
      </c>
      <c r="AH202" s="228">
        <v>11.4</v>
      </c>
      <c r="AI202" s="228">
        <v>11.1</v>
      </c>
      <c r="AJ202" s="228">
        <v>0.3</v>
      </c>
      <c r="AK202" s="229">
        <v>9.1000000000000004E-3</v>
      </c>
      <c r="AL202" s="228">
        <v>5.3</v>
      </c>
      <c r="AM202" s="228">
        <v>15.5</v>
      </c>
      <c r="AN202" s="228">
        <v>-10.199999999999999</v>
      </c>
      <c r="AO202" s="229">
        <v>4.1999999999999997E-3</v>
      </c>
      <c r="AP202" s="231">
        <v>1263.26</v>
      </c>
      <c r="AQ202" s="231">
        <v>1272.67</v>
      </c>
      <c r="AR202" s="228">
        <v>0</v>
      </c>
      <c r="AS202" s="228">
        <v>93</v>
      </c>
      <c r="AT202" s="228">
        <v>84</v>
      </c>
      <c r="AU202" s="228">
        <v>9</v>
      </c>
      <c r="AV202" s="229">
        <v>0.10390000000000001</v>
      </c>
      <c r="AW202" s="228">
        <v>59</v>
      </c>
      <c r="AX202" s="228">
        <v>51</v>
      </c>
      <c r="AY202" s="228">
        <v>8</v>
      </c>
      <c r="AZ202" s="229">
        <v>0.14960000000000001</v>
      </c>
      <c r="BA202" s="228">
        <v>34</v>
      </c>
      <c r="BB202" s="228">
        <v>33</v>
      </c>
      <c r="BC202" s="228">
        <v>1</v>
      </c>
      <c r="BD202" s="229">
        <v>2.8899999999999999E-2</v>
      </c>
      <c r="BE202" s="228">
        <v>1</v>
      </c>
      <c r="BF202" s="228">
        <v>1</v>
      </c>
      <c r="BG202" s="228">
        <v>0</v>
      </c>
      <c r="BH202" s="229">
        <v>0.28570000000000001</v>
      </c>
      <c r="BI202" s="228">
        <v>149</v>
      </c>
      <c r="BJ202" s="228">
        <v>165</v>
      </c>
      <c r="BK202" s="228">
        <v>-16</v>
      </c>
      <c r="BL202" s="229">
        <v>-9.5899999999999999E-2</v>
      </c>
      <c r="BM202" s="228">
        <v>80</v>
      </c>
      <c r="BN202" s="228">
        <v>68</v>
      </c>
      <c r="BO202" s="228">
        <v>11</v>
      </c>
      <c r="BP202" s="229">
        <v>0.16830000000000001</v>
      </c>
      <c r="BQ202" s="228">
        <v>322</v>
      </c>
      <c r="BR202" s="228">
        <v>318</v>
      </c>
      <c r="BS202" s="228">
        <v>4</v>
      </c>
      <c r="BT202" s="229">
        <v>1.38E-2</v>
      </c>
      <c r="BU202" s="230">
        <v>450275</v>
      </c>
      <c r="BV202" s="230">
        <v>404351</v>
      </c>
      <c r="BW202" s="230">
        <v>45924</v>
      </c>
      <c r="BX202" s="229">
        <v>0.11360000000000001</v>
      </c>
      <c r="BY202" s="228">
        <v>358</v>
      </c>
      <c r="BZ202" s="228">
        <v>353</v>
      </c>
      <c r="CA202" s="228">
        <v>5</v>
      </c>
      <c r="CB202" s="229">
        <v>1.5100000000000001E-2</v>
      </c>
      <c r="CC202" s="228">
        <v>293</v>
      </c>
      <c r="CD202" s="228">
        <v>312</v>
      </c>
      <c r="CE202" s="228">
        <v>-19</v>
      </c>
      <c r="CF202" s="229">
        <v>-6.2399999999999997E-2</v>
      </c>
      <c r="CG202" s="228">
        <v>63</v>
      </c>
      <c r="CH202" s="228">
        <v>38</v>
      </c>
      <c r="CI202" s="228">
        <v>24</v>
      </c>
      <c r="CJ202" s="229">
        <v>0.63329999999999997</v>
      </c>
      <c r="CK202" s="228">
        <v>3</v>
      </c>
      <c r="CL202" s="228">
        <v>2</v>
      </c>
      <c r="CM202" s="228">
        <v>0</v>
      </c>
      <c r="CN202" s="229">
        <v>0.2</v>
      </c>
      <c r="CO202" s="228">
        <v>172</v>
      </c>
      <c r="CP202" s="228">
        <v>161</v>
      </c>
      <c r="CQ202" s="228">
        <v>11</v>
      </c>
      <c r="CR202" s="229">
        <v>6.7199999999999996E-2</v>
      </c>
      <c r="CS202" s="228">
        <v>95</v>
      </c>
      <c r="CT202" s="228">
        <v>94</v>
      </c>
      <c r="CU202" s="228">
        <v>1</v>
      </c>
      <c r="CV202" s="229">
        <v>9.1000000000000004E-3</v>
      </c>
      <c r="CW202" s="228">
        <v>625</v>
      </c>
      <c r="CX202" s="228">
        <v>608</v>
      </c>
      <c r="CY202" s="228">
        <v>17</v>
      </c>
      <c r="CZ202" s="229">
        <v>2.7900000000000001E-2</v>
      </c>
      <c r="DA202" s="228">
        <v>23.25</v>
      </c>
      <c r="DB202" s="228">
        <v>22.66</v>
      </c>
      <c r="DC202" s="228">
        <v>0.59</v>
      </c>
      <c r="DD202" s="228">
        <v>0.59</v>
      </c>
      <c r="DE202" s="228">
        <v>39.82</v>
      </c>
      <c r="DF202" s="228">
        <v>39.83</v>
      </c>
      <c r="DG202" s="228">
        <v>-16.57</v>
      </c>
      <c r="DH202" s="228">
        <v>-0.01</v>
      </c>
      <c r="DI202" s="228">
        <v>23.47</v>
      </c>
      <c r="DJ202" s="228">
        <v>22.68</v>
      </c>
      <c r="DK202" s="228">
        <v>0.79</v>
      </c>
      <c r="DL202" s="228">
        <v>0.79</v>
      </c>
      <c r="DM202" s="228">
        <v>22.83</v>
      </c>
      <c r="DN202" s="228">
        <v>22.61</v>
      </c>
      <c r="DO202" s="228">
        <v>0.22</v>
      </c>
      <c r="DP202" s="228">
        <v>0.22</v>
      </c>
      <c r="DQ202" s="228">
        <v>0.55000000000000004</v>
      </c>
      <c r="DR202" s="228">
        <v>0.57999999999999996</v>
      </c>
      <c r="DS202" s="228">
        <v>-0.03</v>
      </c>
      <c r="DT202" s="229">
        <v>-5.1700000000000003E-2</v>
      </c>
      <c r="DU202" s="231">
        <v>1300</v>
      </c>
      <c r="DV202" s="231">
        <v>1300</v>
      </c>
      <c r="DW202" s="228">
        <v>0.53</v>
      </c>
      <c r="DX202" s="228">
        <v>0.41</v>
      </c>
      <c r="DY202" s="228">
        <v>0.12</v>
      </c>
      <c r="DZ202" s="229">
        <v>0.29270000000000002</v>
      </c>
      <c r="EA202" s="229">
        <v>0.1832</v>
      </c>
      <c r="EB202" s="230">
        <v>325125</v>
      </c>
      <c r="EC202" s="229">
        <v>7.1999999999999998E-3</v>
      </c>
      <c r="ED202" s="229">
        <v>0.1832</v>
      </c>
      <c r="EE202" s="228">
        <v>9.41</v>
      </c>
      <c r="EF202" s="229">
        <v>7.4000000000000003E-3</v>
      </c>
      <c r="EG202" s="230">
        <v>307509</v>
      </c>
      <c r="EH202" s="230">
        <v>199309</v>
      </c>
      <c r="EI202" s="229">
        <v>0.54290000000000005</v>
      </c>
      <c r="EJ202" s="229">
        <v>0.68289999999999995</v>
      </c>
      <c r="EK202" s="228">
        <v>157.15</v>
      </c>
      <c r="EL202" s="228">
        <v>79.48</v>
      </c>
      <c r="EM202" s="228">
        <v>98.51</v>
      </c>
      <c r="EN202" s="228">
        <v>15.21</v>
      </c>
      <c r="EO202" s="228">
        <v>335.14</v>
      </c>
      <c r="EP202" s="228">
        <v>335.96</v>
      </c>
      <c r="EQ202" s="228">
        <v>-0.82</v>
      </c>
      <c r="ER202" s="229">
        <v>-2.5000000000000001E-3</v>
      </c>
      <c r="ES202" s="228">
        <v>183.46</v>
      </c>
      <c r="ET202" s="228">
        <v>95.28</v>
      </c>
      <c r="EU202" s="228">
        <v>358.68</v>
      </c>
      <c r="EV202" s="231">
        <v>24646022</v>
      </c>
      <c r="EW202" s="228">
        <v>637.41</v>
      </c>
      <c r="EX202" s="228">
        <v>627.44000000000005</v>
      </c>
      <c r="EY202" s="228">
        <v>9.9700000000000006</v>
      </c>
      <c r="EZ202" s="229">
        <v>1.5900000000000001E-2</v>
      </c>
      <c r="FA202" s="229">
        <v>0.20200000000000001</v>
      </c>
      <c r="FB202" s="227" t="s">
        <v>567</v>
      </c>
      <c r="FC202">
        <f t="shared" si="4"/>
        <v>0</v>
      </c>
    </row>
    <row r="203" spans="1:159" ht="17.25" thickBot="1" x14ac:dyDescent="0.3">
      <c r="A203" s="226">
        <v>46009</v>
      </c>
      <c r="B203" s="227" t="s">
        <v>197</v>
      </c>
      <c r="C203" s="227" t="s">
        <v>482</v>
      </c>
      <c r="D203" s="228">
        <v>100</v>
      </c>
      <c r="E203" s="228">
        <v>12</v>
      </c>
      <c r="F203" s="231">
        <v>4042.2</v>
      </c>
      <c r="G203" s="231">
        <v>4057.2</v>
      </c>
      <c r="H203" s="228">
        <v>-15</v>
      </c>
      <c r="I203" s="229">
        <v>-3.7000000000000002E-3</v>
      </c>
      <c r="J203" s="231">
        <v>4030</v>
      </c>
      <c r="K203" s="231">
        <v>4045.2</v>
      </c>
      <c r="L203" s="228">
        <v>-15.2</v>
      </c>
      <c r="M203" s="229">
        <v>-3.8E-3</v>
      </c>
      <c r="N203" s="231">
        <v>4042.2</v>
      </c>
      <c r="O203" s="231">
        <v>4057.2</v>
      </c>
      <c r="P203" s="228">
        <v>-15</v>
      </c>
      <c r="Q203" s="229">
        <v>-3.7000000000000002E-3</v>
      </c>
      <c r="R203" s="231">
        <v>4067.5</v>
      </c>
      <c r="S203" s="231">
        <v>4080.1</v>
      </c>
      <c r="T203" s="228">
        <v>-12.6</v>
      </c>
      <c r="U203" s="229">
        <v>-3.0999999999999999E-3</v>
      </c>
      <c r="V203" s="231">
        <v>4091</v>
      </c>
      <c r="W203" s="231">
        <v>4102.8</v>
      </c>
      <c r="X203" s="228">
        <v>-11.8</v>
      </c>
      <c r="Y203" s="229">
        <v>-2.8999999999999998E-3</v>
      </c>
      <c r="Z203" s="228">
        <v>12.2</v>
      </c>
      <c r="AA203" s="228">
        <v>12</v>
      </c>
      <c r="AB203" s="228">
        <v>0.2</v>
      </c>
      <c r="AC203" s="229">
        <v>3.0000000000000001E-3</v>
      </c>
      <c r="AD203" s="228">
        <v>12.2</v>
      </c>
      <c r="AE203" s="228">
        <v>12</v>
      </c>
      <c r="AF203" s="228">
        <v>0.2</v>
      </c>
      <c r="AG203" s="229">
        <v>3.0000000000000001E-3</v>
      </c>
      <c r="AH203" s="228">
        <v>37.5</v>
      </c>
      <c r="AI203" s="228">
        <v>34.9</v>
      </c>
      <c r="AJ203" s="228">
        <v>2.6</v>
      </c>
      <c r="AK203" s="229">
        <v>9.2999999999999992E-3</v>
      </c>
      <c r="AL203" s="228">
        <v>61</v>
      </c>
      <c r="AM203" s="228">
        <v>57.6</v>
      </c>
      <c r="AN203" s="228">
        <v>3.4</v>
      </c>
      <c r="AO203" s="229">
        <v>1.5100000000000001E-2</v>
      </c>
      <c r="AP203" s="231">
        <v>4033.19</v>
      </c>
      <c r="AQ203" s="231">
        <v>4057.33</v>
      </c>
      <c r="AR203" s="228">
        <v>0</v>
      </c>
      <c r="AS203" s="228">
        <v>320</v>
      </c>
      <c r="AT203" s="228">
        <v>253</v>
      </c>
      <c r="AU203" s="228">
        <v>67</v>
      </c>
      <c r="AV203" s="229">
        <v>0.26650000000000001</v>
      </c>
      <c r="AW203" s="228">
        <v>219</v>
      </c>
      <c r="AX203" s="228">
        <v>195</v>
      </c>
      <c r="AY203" s="228">
        <v>24</v>
      </c>
      <c r="AZ203" s="229">
        <v>0.1258</v>
      </c>
      <c r="BA203" s="228">
        <v>94</v>
      </c>
      <c r="BB203" s="228">
        <v>52</v>
      </c>
      <c r="BC203" s="228">
        <v>43</v>
      </c>
      <c r="BD203" s="229">
        <v>0.82199999999999995</v>
      </c>
      <c r="BE203" s="228">
        <v>7</v>
      </c>
      <c r="BF203" s="228">
        <v>6</v>
      </c>
      <c r="BG203" s="228">
        <v>0</v>
      </c>
      <c r="BH203" s="229">
        <v>5.0999999999999997E-2</v>
      </c>
      <c r="BI203" s="230">
        <v>1858</v>
      </c>
      <c r="BJ203" s="230">
        <v>1671</v>
      </c>
      <c r="BK203" s="228">
        <v>188</v>
      </c>
      <c r="BL203" s="229">
        <v>0.1125</v>
      </c>
      <c r="BM203" s="228">
        <v>612</v>
      </c>
      <c r="BN203" s="228">
        <v>896</v>
      </c>
      <c r="BO203" s="228">
        <v>-284</v>
      </c>
      <c r="BP203" s="229">
        <v>-0.317</v>
      </c>
      <c r="BQ203" s="230">
        <v>2791</v>
      </c>
      <c r="BR203" s="230">
        <v>2819</v>
      </c>
      <c r="BS203" s="228">
        <v>-29</v>
      </c>
      <c r="BT203" s="229">
        <v>-1.0200000000000001E-2</v>
      </c>
      <c r="BU203" s="230">
        <v>670032</v>
      </c>
      <c r="BV203" s="230">
        <v>536728</v>
      </c>
      <c r="BW203" s="230">
        <v>133304</v>
      </c>
      <c r="BX203" s="229">
        <v>0.24840000000000001</v>
      </c>
      <c r="BY203" s="230">
        <v>3711</v>
      </c>
      <c r="BZ203" s="230">
        <v>3676</v>
      </c>
      <c r="CA203" s="228">
        <v>35</v>
      </c>
      <c r="CB203" s="229">
        <v>9.4000000000000004E-3</v>
      </c>
      <c r="CC203" s="230">
        <v>3254</v>
      </c>
      <c r="CD203" s="230">
        <v>3287</v>
      </c>
      <c r="CE203" s="228">
        <v>-33</v>
      </c>
      <c r="CF203" s="229">
        <v>-9.9000000000000008E-3</v>
      </c>
      <c r="CG203" s="228">
        <v>409</v>
      </c>
      <c r="CH203" s="228">
        <v>344</v>
      </c>
      <c r="CI203" s="228">
        <v>65</v>
      </c>
      <c r="CJ203" s="229">
        <v>0.1893</v>
      </c>
      <c r="CK203" s="228">
        <v>48</v>
      </c>
      <c r="CL203" s="228">
        <v>46</v>
      </c>
      <c r="CM203" s="228">
        <v>2</v>
      </c>
      <c r="CN203" s="229">
        <v>4.5900000000000003E-2</v>
      </c>
      <c r="CO203" s="230">
        <v>2223</v>
      </c>
      <c r="CP203" s="230">
        <v>2186</v>
      </c>
      <c r="CQ203" s="228">
        <v>37</v>
      </c>
      <c r="CR203" s="229">
        <v>1.7100000000000001E-2</v>
      </c>
      <c r="CS203" s="230">
        <v>1163</v>
      </c>
      <c r="CT203" s="230">
        <v>1172</v>
      </c>
      <c r="CU203" s="228">
        <v>-8</v>
      </c>
      <c r="CV203" s="229">
        <v>-7.1999999999999998E-3</v>
      </c>
      <c r="CW203" s="230">
        <v>7097</v>
      </c>
      <c r="CX203" s="230">
        <v>7034</v>
      </c>
      <c r="CY203" s="228">
        <v>64</v>
      </c>
      <c r="CZ203" s="229">
        <v>8.9999999999999993E-3</v>
      </c>
      <c r="DA203" s="228">
        <v>26.57</v>
      </c>
      <c r="DB203" s="228">
        <v>27.21</v>
      </c>
      <c r="DC203" s="228">
        <v>-0.64</v>
      </c>
      <c r="DD203" s="228">
        <v>-0.64</v>
      </c>
      <c r="DE203" s="228">
        <v>42.36</v>
      </c>
      <c r="DF203" s="228">
        <v>42.47</v>
      </c>
      <c r="DG203" s="228">
        <v>-15.79</v>
      </c>
      <c r="DH203" s="228">
        <v>-0.11</v>
      </c>
      <c r="DI203" s="228">
        <v>27.33</v>
      </c>
      <c r="DJ203" s="228">
        <v>28.42</v>
      </c>
      <c r="DK203" s="228">
        <v>-1.0900000000000001</v>
      </c>
      <c r="DL203" s="228">
        <v>-1.0900000000000001</v>
      </c>
      <c r="DM203" s="228">
        <v>24.26</v>
      </c>
      <c r="DN203" s="228">
        <v>24.94</v>
      </c>
      <c r="DO203" s="228">
        <v>-0.68</v>
      </c>
      <c r="DP203" s="228">
        <v>-0.68</v>
      </c>
      <c r="DQ203" s="228">
        <v>0.52</v>
      </c>
      <c r="DR203" s="228">
        <v>0.54</v>
      </c>
      <c r="DS203" s="228">
        <v>-0.02</v>
      </c>
      <c r="DT203" s="229">
        <v>-3.6999999999999998E-2</v>
      </c>
      <c r="DU203" s="231">
        <v>4300</v>
      </c>
      <c r="DV203" s="231">
        <v>4000</v>
      </c>
      <c r="DW203" s="228">
        <v>0.33</v>
      </c>
      <c r="DX203" s="228">
        <v>0.54</v>
      </c>
      <c r="DY203" s="228">
        <v>-0.21</v>
      </c>
      <c r="DZ203" s="229">
        <v>-0.38890000000000002</v>
      </c>
      <c r="EA203" s="229">
        <v>0.1231</v>
      </c>
      <c r="EB203" s="230">
        <v>963800</v>
      </c>
      <c r="EC203" s="229">
        <v>6.3E-3</v>
      </c>
      <c r="ED203" s="229">
        <v>0.1231</v>
      </c>
      <c r="EE203" s="228">
        <v>24.14</v>
      </c>
      <c r="EF203" s="229">
        <v>6.0000000000000001E-3</v>
      </c>
      <c r="EG203" s="230">
        <v>426314</v>
      </c>
      <c r="EH203" s="230">
        <v>326212</v>
      </c>
      <c r="EI203" s="229">
        <v>0.30690000000000001</v>
      </c>
      <c r="EJ203" s="229">
        <v>0.63629999999999998</v>
      </c>
      <c r="EK203" s="231">
        <v>1969.7</v>
      </c>
      <c r="EL203" s="228">
        <v>608.24</v>
      </c>
      <c r="EM203" s="228">
        <v>320.19</v>
      </c>
      <c r="EN203" s="228">
        <v>86.76</v>
      </c>
      <c r="EO203" s="231">
        <v>2898.13</v>
      </c>
      <c r="EP203" s="231">
        <v>2940.58</v>
      </c>
      <c r="EQ203" s="228">
        <v>-42.44</v>
      </c>
      <c r="ER203" s="229">
        <v>-1.44E-2</v>
      </c>
      <c r="ES203" s="231">
        <v>2430.0100000000002</v>
      </c>
      <c r="ET203" s="231">
        <v>1212.1500000000001</v>
      </c>
      <c r="EU203" s="231">
        <v>3713.96</v>
      </c>
      <c r="EV203" s="231">
        <v>33590487</v>
      </c>
      <c r="EW203" s="231">
        <v>7356.11</v>
      </c>
      <c r="EX203" s="231">
        <v>7307.35</v>
      </c>
      <c r="EY203" s="228">
        <v>48.76</v>
      </c>
      <c r="EZ203" s="229">
        <v>6.7000000000000002E-3</v>
      </c>
      <c r="FA203" s="229">
        <v>0.52270000000000005</v>
      </c>
      <c r="FB203" s="227" t="s">
        <v>567</v>
      </c>
      <c r="FC203">
        <f t="shared" si="4"/>
        <v>0</v>
      </c>
    </row>
    <row r="204" spans="1:159" ht="17.25" thickBot="1" x14ac:dyDescent="0.3">
      <c r="A204" s="226">
        <v>46009</v>
      </c>
      <c r="B204" s="227" t="s">
        <v>162</v>
      </c>
      <c r="C204" s="227" t="s">
        <v>300</v>
      </c>
      <c r="D204" s="228">
        <v>175</v>
      </c>
      <c r="E204" s="228">
        <v>12</v>
      </c>
      <c r="F204" s="231">
        <v>3593.8</v>
      </c>
      <c r="G204" s="231">
        <v>3643.9</v>
      </c>
      <c r="H204" s="228">
        <v>-50.1</v>
      </c>
      <c r="I204" s="229">
        <v>-1.37E-2</v>
      </c>
      <c r="J204" s="231">
        <v>3592.2</v>
      </c>
      <c r="K204" s="231">
        <v>3638.9</v>
      </c>
      <c r="L204" s="228">
        <v>-46.7</v>
      </c>
      <c r="M204" s="229">
        <v>-1.2800000000000001E-2</v>
      </c>
      <c r="N204" s="231">
        <v>3593.8</v>
      </c>
      <c r="O204" s="231">
        <v>3643.9</v>
      </c>
      <c r="P204" s="228">
        <v>-50.1</v>
      </c>
      <c r="Q204" s="229">
        <v>-1.37E-2</v>
      </c>
      <c r="R204" s="231">
        <v>3614.9</v>
      </c>
      <c r="S204" s="231">
        <v>3661.7</v>
      </c>
      <c r="T204" s="228">
        <v>-46.8</v>
      </c>
      <c r="U204" s="229">
        <v>-1.2800000000000001E-2</v>
      </c>
      <c r="V204" s="231">
        <v>3623.3</v>
      </c>
      <c r="W204" s="231">
        <v>3671.4</v>
      </c>
      <c r="X204" s="228">
        <v>-48.1</v>
      </c>
      <c r="Y204" s="229">
        <v>-1.3100000000000001E-2</v>
      </c>
      <c r="Z204" s="228">
        <v>1.6</v>
      </c>
      <c r="AA204" s="228">
        <v>5</v>
      </c>
      <c r="AB204" s="228">
        <v>-3.4</v>
      </c>
      <c r="AC204" s="229">
        <v>4.0000000000000002E-4</v>
      </c>
      <c r="AD204" s="228">
        <v>1.6</v>
      </c>
      <c r="AE204" s="228">
        <v>5</v>
      </c>
      <c r="AF204" s="228">
        <v>-3.4</v>
      </c>
      <c r="AG204" s="229">
        <v>4.0000000000000002E-4</v>
      </c>
      <c r="AH204" s="228">
        <v>22.7</v>
      </c>
      <c r="AI204" s="228">
        <v>22.8</v>
      </c>
      <c r="AJ204" s="228">
        <v>-0.1</v>
      </c>
      <c r="AK204" s="229">
        <v>6.3E-3</v>
      </c>
      <c r="AL204" s="228">
        <v>31.1</v>
      </c>
      <c r="AM204" s="228">
        <v>32.5</v>
      </c>
      <c r="AN204" s="228">
        <v>-1.4</v>
      </c>
      <c r="AO204" s="229">
        <v>8.6999999999999994E-3</v>
      </c>
      <c r="AP204" s="231">
        <v>3592.95</v>
      </c>
      <c r="AQ204" s="231">
        <v>3615.69</v>
      </c>
      <c r="AR204" s="228">
        <v>0</v>
      </c>
      <c r="AS204" s="228">
        <v>429</v>
      </c>
      <c r="AT204" s="228">
        <v>162</v>
      </c>
      <c r="AU204" s="228">
        <v>266</v>
      </c>
      <c r="AV204" s="229">
        <v>1.6404000000000001</v>
      </c>
      <c r="AW204" s="228">
        <v>382</v>
      </c>
      <c r="AX204" s="228">
        <v>147</v>
      </c>
      <c r="AY204" s="228">
        <v>236</v>
      </c>
      <c r="AZ204" s="229">
        <v>1.6059000000000001</v>
      </c>
      <c r="BA204" s="228">
        <v>45</v>
      </c>
      <c r="BB204" s="228">
        <v>15</v>
      </c>
      <c r="BC204" s="228">
        <v>29</v>
      </c>
      <c r="BD204" s="229">
        <v>1.8821000000000001</v>
      </c>
      <c r="BE204" s="228">
        <v>2</v>
      </c>
      <c r="BF204" s="228">
        <v>0</v>
      </c>
      <c r="BG204" s="228">
        <v>2</v>
      </c>
      <c r="BH204" s="229">
        <v>8.6667000000000005</v>
      </c>
      <c r="BI204" s="230">
        <v>1308</v>
      </c>
      <c r="BJ204" s="228">
        <v>701</v>
      </c>
      <c r="BK204" s="228">
        <v>607</v>
      </c>
      <c r="BL204" s="229">
        <v>0.86639999999999995</v>
      </c>
      <c r="BM204" s="230">
        <v>1441</v>
      </c>
      <c r="BN204" s="228">
        <v>385</v>
      </c>
      <c r="BO204" s="230">
        <v>1056</v>
      </c>
      <c r="BP204" s="229">
        <v>2.7425000000000002</v>
      </c>
      <c r="BQ204" s="230">
        <v>3177</v>
      </c>
      <c r="BR204" s="230">
        <v>1248</v>
      </c>
      <c r="BS204" s="230">
        <v>1929</v>
      </c>
      <c r="BT204" s="229">
        <v>1.5458000000000001</v>
      </c>
      <c r="BU204" s="230">
        <v>921557</v>
      </c>
      <c r="BV204" s="230">
        <v>449395</v>
      </c>
      <c r="BW204" s="230">
        <v>472162</v>
      </c>
      <c r="BX204" s="229">
        <v>1.0507</v>
      </c>
      <c r="BY204" s="230">
        <v>2719</v>
      </c>
      <c r="BZ204" s="230">
        <v>2687</v>
      </c>
      <c r="CA204" s="228">
        <v>32</v>
      </c>
      <c r="CB204" s="229">
        <v>1.17E-2</v>
      </c>
      <c r="CC204" s="230">
        <v>2655</v>
      </c>
      <c r="CD204" s="230">
        <v>2637</v>
      </c>
      <c r="CE204" s="228">
        <v>18</v>
      </c>
      <c r="CF204" s="229">
        <v>7.0000000000000001E-3</v>
      </c>
      <c r="CG204" s="228">
        <v>51</v>
      </c>
      <c r="CH204" s="228">
        <v>38</v>
      </c>
      <c r="CI204" s="228">
        <v>13</v>
      </c>
      <c r="CJ204" s="229">
        <v>0.3422</v>
      </c>
      <c r="CK204" s="228">
        <v>13</v>
      </c>
      <c r="CL204" s="228">
        <v>13</v>
      </c>
      <c r="CM204" s="228">
        <v>0</v>
      </c>
      <c r="CN204" s="229">
        <v>2.01E-2</v>
      </c>
      <c r="CO204" s="228">
        <v>655</v>
      </c>
      <c r="CP204" s="228">
        <v>651</v>
      </c>
      <c r="CQ204" s="228">
        <v>3</v>
      </c>
      <c r="CR204" s="229">
        <v>5.0000000000000001E-3</v>
      </c>
      <c r="CS204" s="228">
        <v>621</v>
      </c>
      <c r="CT204" s="228">
        <v>646</v>
      </c>
      <c r="CU204" s="228">
        <v>-25</v>
      </c>
      <c r="CV204" s="229">
        <v>-3.8699999999999998E-2</v>
      </c>
      <c r="CW204" s="230">
        <v>3994</v>
      </c>
      <c r="CX204" s="230">
        <v>3984</v>
      </c>
      <c r="CY204" s="228">
        <v>10</v>
      </c>
      <c r="CZ204" s="229">
        <v>2.5000000000000001E-3</v>
      </c>
      <c r="DA204" s="228">
        <v>20.67</v>
      </c>
      <c r="DB204" s="228">
        <v>20.6</v>
      </c>
      <c r="DC204" s="228">
        <v>7.0000000000000007E-2</v>
      </c>
      <c r="DD204" s="228">
        <v>7.0000000000000007E-2</v>
      </c>
      <c r="DE204" s="228">
        <v>29.66</v>
      </c>
      <c r="DF204" s="228">
        <v>29.68</v>
      </c>
      <c r="DG204" s="228">
        <v>-8.99</v>
      </c>
      <c r="DH204" s="228">
        <v>-0.02</v>
      </c>
      <c r="DI204" s="228">
        <v>20.55</v>
      </c>
      <c r="DJ204" s="228">
        <v>20.27</v>
      </c>
      <c r="DK204" s="228">
        <v>0.28000000000000003</v>
      </c>
      <c r="DL204" s="228">
        <v>0.28000000000000003</v>
      </c>
      <c r="DM204" s="228">
        <v>20.78</v>
      </c>
      <c r="DN204" s="228">
        <v>21.21</v>
      </c>
      <c r="DO204" s="228">
        <v>-0.43</v>
      </c>
      <c r="DP204" s="228">
        <v>-0.43</v>
      </c>
      <c r="DQ204" s="228">
        <v>0.95</v>
      </c>
      <c r="DR204" s="228">
        <v>0.99</v>
      </c>
      <c r="DS204" s="228">
        <v>-0.04</v>
      </c>
      <c r="DT204" s="229">
        <v>-4.0399999999999998E-2</v>
      </c>
      <c r="DU204" s="231">
        <v>3700</v>
      </c>
      <c r="DV204" s="231">
        <v>3400</v>
      </c>
      <c r="DW204" s="228">
        <v>1.1000000000000001</v>
      </c>
      <c r="DX204" s="228">
        <v>0.55000000000000004</v>
      </c>
      <c r="DY204" s="228">
        <v>0.55000000000000004</v>
      </c>
      <c r="DZ204" s="229">
        <v>1</v>
      </c>
      <c r="EA204" s="229">
        <v>2.3400000000000001E-2</v>
      </c>
      <c r="EB204" s="230">
        <v>140175</v>
      </c>
      <c r="EC204" s="229">
        <v>5.8999999999999999E-3</v>
      </c>
      <c r="ED204" s="229">
        <v>2.3400000000000001E-2</v>
      </c>
      <c r="EE204" s="228">
        <v>22.74</v>
      </c>
      <c r="EF204" s="229">
        <v>6.3E-3</v>
      </c>
      <c r="EG204" s="230">
        <v>657833</v>
      </c>
      <c r="EH204" s="230">
        <v>299749</v>
      </c>
      <c r="EI204" s="229">
        <v>1.1946000000000001</v>
      </c>
      <c r="EJ204" s="229">
        <v>0.71379999999999999</v>
      </c>
      <c r="EK204" s="231">
        <v>1352.69</v>
      </c>
      <c r="EL204" s="231">
        <v>1429.4</v>
      </c>
      <c r="EM204" s="228">
        <v>428.8</v>
      </c>
      <c r="EN204" s="228">
        <v>24.31</v>
      </c>
      <c r="EO204" s="231">
        <v>3210.89</v>
      </c>
      <c r="EP204" s="231">
        <v>1277.33</v>
      </c>
      <c r="EQ204" s="231">
        <v>1933.56</v>
      </c>
      <c r="ER204" s="229">
        <v>1.5137</v>
      </c>
      <c r="ES204" s="228">
        <v>672.34</v>
      </c>
      <c r="ET204" s="228">
        <v>589.61</v>
      </c>
      <c r="EU204" s="231">
        <v>2718.95</v>
      </c>
      <c r="EV204" s="231">
        <v>35369445</v>
      </c>
      <c r="EW204" s="231">
        <v>3980.9</v>
      </c>
      <c r="EX204" s="231">
        <v>4008.68</v>
      </c>
      <c r="EY204" s="228">
        <v>-27.78</v>
      </c>
      <c r="EZ204" s="229">
        <v>-6.8999999999999999E-3</v>
      </c>
      <c r="FA204" s="229">
        <v>0.31419999999999998</v>
      </c>
      <c r="FB204" s="227" t="s">
        <v>567</v>
      </c>
      <c r="FC204">
        <f t="shared" si="4"/>
        <v>0</v>
      </c>
    </row>
    <row r="205" spans="1:159" ht="17.25" thickBot="1" x14ac:dyDescent="0.3">
      <c r="A205" s="226">
        <v>46009</v>
      </c>
      <c r="B205" s="227" t="s">
        <v>157</v>
      </c>
      <c r="C205" s="227" t="s">
        <v>302</v>
      </c>
      <c r="D205" s="228">
        <v>50</v>
      </c>
      <c r="E205" s="228">
        <v>12</v>
      </c>
      <c r="F205" s="231">
        <v>11479</v>
      </c>
      <c r="G205" s="231">
        <v>11568</v>
      </c>
      <c r="H205" s="228">
        <v>-89</v>
      </c>
      <c r="I205" s="229">
        <v>-7.7000000000000002E-3</v>
      </c>
      <c r="J205" s="231">
        <v>11461</v>
      </c>
      <c r="K205" s="231">
        <v>11540</v>
      </c>
      <c r="L205" s="228">
        <v>-79</v>
      </c>
      <c r="M205" s="229">
        <v>-6.7999999999999996E-3</v>
      </c>
      <c r="N205" s="231">
        <v>11479</v>
      </c>
      <c r="O205" s="231">
        <v>11568</v>
      </c>
      <c r="P205" s="228">
        <v>-89</v>
      </c>
      <c r="Q205" s="229">
        <v>-7.7000000000000002E-3</v>
      </c>
      <c r="R205" s="231">
        <v>11553</v>
      </c>
      <c r="S205" s="231">
        <v>11637</v>
      </c>
      <c r="T205" s="228">
        <v>-84</v>
      </c>
      <c r="U205" s="229">
        <v>-7.1999999999999998E-3</v>
      </c>
      <c r="V205" s="231">
        <v>11621</v>
      </c>
      <c r="W205" s="231">
        <v>11713</v>
      </c>
      <c r="X205" s="228">
        <v>-92</v>
      </c>
      <c r="Y205" s="229">
        <v>-7.9000000000000008E-3</v>
      </c>
      <c r="Z205" s="228">
        <v>18</v>
      </c>
      <c r="AA205" s="228">
        <v>28</v>
      </c>
      <c r="AB205" s="228">
        <v>-10</v>
      </c>
      <c r="AC205" s="229">
        <v>1.6000000000000001E-3</v>
      </c>
      <c r="AD205" s="228">
        <v>18</v>
      </c>
      <c r="AE205" s="228">
        <v>28</v>
      </c>
      <c r="AF205" s="228">
        <v>-10</v>
      </c>
      <c r="AG205" s="229">
        <v>1.6000000000000001E-3</v>
      </c>
      <c r="AH205" s="228">
        <v>92</v>
      </c>
      <c r="AI205" s="228">
        <v>97</v>
      </c>
      <c r="AJ205" s="228">
        <v>-5</v>
      </c>
      <c r="AK205" s="229">
        <v>8.0000000000000002E-3</v>
      </c>
      <c r="AL205" s="228">
        <v>160</v>
      </c>
      <c r="AM205" s="228">
        <v>173</v>
      </c>
      <c r="AN205" s="228">
        <v>-13</v>
      </c>
      <c r="AO205" s="229">
        <v>1.4E-2</v>
      </c>
      <c r="AP205" s="231">
        <v>11516.21</v>
      </c>
      <c r="AQ205" s="231">
        <v>11592.13</v>
      </c>
      <c r="AR205" s="228">
        <v>0</v>
      </c>
      <c r="AS205" s="228">
        <v>913</v>
      </c>
      <c r="AT205" s="228">
        <v>263</v>
      </c>
      <c r="AU205" s="228">
        <v>650</v>
      </c>
      <c r="AV205" s="229">
        <v>2.4735</v>
      </c>
      <c r="AW205" s="228">
        <v>505</v>
      </c>
      <c r="AX205" s="228">
        <v>172</v>
      </c>
      <c r="AY205" s="228">
        <v>333</v>
      </c>
      <c r="AZ205" s="229">
        <v>1.9353</v>
      </c>
      <c r="BA205" s="228">
        <v>405</v>
      </c>
      <c r="BB205" s="228">
        <v>90</v>
      </c>
      <c r="BC205" s="228">
        <v>316</v>
      </c>
      <c r="BD205" s="229">
        <v>3.5211000000000001</v>
      </c>
      <c r="BE205" s="228">
        <v>2</v>
      </c>
      <c r="BF205" s="228">
        <v>1</v>
      </c>
      <c r="BG205" s="228">
        <v>1</v>
      </c>
      <c r="BH205" s="229">
        <v>1.1765000000000001</v>
      </c>
      <c r="BI205" s="230">
        <v>1231</v>
      </c>
      <c r="BJ205" s="228">
        <v>782</v>
      </c>
      <c r="BK205" s="228">
        <v>449</v>
      </c>
      <c r="BL205" s="229">
        <v>0.57430000000000003</v>
      </c>
      <c r="BM205" s="228">
        <v>518</v>
      </c>
      <c r="BN205" s="228">
        <v>276</v>
      </c>
      <c r="BO205" s="228">
        <v>242</v>
      </c>
      <c r="BP205" s="229">
        <v>0.87529999999999997</v>
      </c>
      <c r="BQ205" s="230">
        <v>2662</v>
      </c>
      <c r="BR205" s="230">
        <v>1321</v>
      </c>
      <c r="BS205" s="230">
        <v>1341</v>
      </c>
      <c r="BT205" s="229">
        <v>1.0149999999999999</v>
      </c>
      <c r="BU205" s="230">
        <v>109984</v>
      </c>
      <c r="BV205" s="230">
        <v>208589</v>
      </c>
      <c r="BW205" s="230">
        <v>-98605</v>
      </c>
      <c r="BX205" s="229">
        <v>-0.47270000000000001</v>
      </c>
      <c r="BY205" s="230">
        <v>3416</v>
      </c>
      <c r="BZ205" s="230">
        <v>3384</v>
      </c>
      <c r="CA205" s="228">
        <v>32</v>
      </c>
      <c r="CB205" s="229">
        <v>9.4000000000000004E-3</v>
      </c>
      <c r="CC205" s="230">
        <v>2724</v>
      </c>
      <c r="CD205" s="230">
        <v>3083</v>
      </c>
      <c r="CE205" s="228">
        <v>-358</v>
      </c>
      <c r="CF205" s="229">
        <v>-0.1162</v>
      </c>
      <c r="CG205" s="228">
        <v>676</v>
      </c>
      <c r="CH205" s="228">
        <v>287</v>
      </c>
      <c r="CI205" s="228">
        <v>389</v>
      </c>
      <c r="CJ205" s="229">
        <v>1.3535999999999999</v>
      </c>
      <c r="CK205" s="228">
        <v>16</v>
      </c>
      <c r="CL205" s="228">
        <v>14</v>
      </c>
      <c r="CM205" s="228">
        <v>1</v>
      </c>
      <c r="CN205" s="229">
        <v>9.5200000000000007E-2</v>
      </c>
      <c r="CO205" s="230">
        <v>1263</v>
      </c>
      <c r="CP205" s="230">
        <v>1150</v>
      </c>
      <c r="CQ205" s="228">
        <v>114</v>
      </c>
      <c r="CR205" s="229">
        <v>9.8900000000000002E-2</v>
      </c>
      <c r="CS205" s="228">
        <v>695</v>
      </c>
      <c r="CT205" s="228">
        <v>675</v>
      </c>
      <c r="CU205" s="228">
        <v>20</v>
      </c>
      <c r="CV205" s="229">
        <v>0.03</v>
      </c>
      <c r="CW205" s="230">
        <v>5375</v>
      </c>
      <c r="CX205" s="230">
        <v>5209</v>
      </c>
      <c r="CY205" s="228">
        <v>166</v>
      </c>
      <c r="CZ205" s="229">
        <v>3.1800000000000002E-2</v>
      </c>
      <c r="DA205" s="228">
        <v>15.91</v>
      </c>
      <c r="DB205" s="228">
        <v>16.559999999999999</v>
      </c>
      <c r="DC205" s="228">
        <v>-0.65</v>
      </c>
      <c r="DD205" s="228">
        <v>-0.65</v>
      </c>
      <c r="DE205" s="228">
        <v>24.02</v>
      </c>
      <c r="DF205" s="228">
        <v>24.06</v>
      </c>
      <c r="DG205" s="228">
        <v>-8.11</v>
      </c>
      <c r="DH205" s="228">
        <v>-0.04</v>
      </c>
      <c r="DI205" s="228">
        <v>16.239999999999998</v>
      </c>
      <c r="DJ205" s="228">
        <v>16.91</v>
      </c>
      <c r="DK205" s="228">
        <v>-0.67</v>
      </c>
      <c r="DL205" s="228">
        <v>-0.67</v>
      </c>
      <c r="DM205" s="228">
        <v>15.11</v>
      </c>
      <c r="DN205" s="228">
        <v>15.58</v>
      </c>
      <c r="DO205" s="228">
        <v>-0.47</v>
      </c>
      <c r="DP205" s="228">
        <v>-0.47</v>
      </c>
      <c r="DQ205" s="228">
        <v>0.55000000000000004</v>
      </c>
      <c r="DR205" s="228">
        <v>0.59</v>
      </c>
      <c r="DS205" s="228">
        <v>-0.04</v>
      </c>
      <c r="DT205" s="229">
        <v>-6.7799999999999999E-2</v>
      </c>
      <c r="DU205" s="231">
        <v>12000</v>
      </c>
      <c r="DV205" s="231">
        <v>10800</v>
      </c>
      <c r="DW205" s="228">
        <v>0.42</v>
      </c>
      <c r="DX205" s="228">
        <v>0.35</v>
      </c>
      <c r="DY205" s="228">
        <v>7.0000000000000007E-2</v>
      </c>
      <c r="DZ205" s="229">
        <v>0.2</v>
      </c>
      <c r="EA205" s="229">
        <v>0.20250000000000001</v>
      </c>
      <c r="EB205" s="230">
        <v>262750</v>
      </c>
      <c r="EC205" s="229">
        <v>6.4000000000000003E-3</v>
      </c>
      <c r="ED205" s="229">
        <v>0.20250000000000001</v>
      </c>
      <c r="EE205" s="228">
        <v>75.92</v>
      </c>
      <c r="EF205" s="229">
        <v>6.6E-3</v>
      </c>
      <c r="EG205" s="230">
        <v>59825</v>
      </c>
      <c r="EH205" s="230">
        <v>137767</v>
      </c>
      <c r="EI205" s="229">
        <v>-0.56579999999999997</v>
      </c>
      <c r="EJ205" s="229">
        <v>0.54390000000000005</v>
      </c>
      <c r="EK205" s="231">
        <v>1268.4000000000001</v>
      </c>
      <c r="EL205" s="228">
        <v>513.54999999999995</v>
      </c>
      <c r="EM205" s="228">
        <v>918.53</v>
      </c>
      <c r="EN205" s="228">
        <v>53.44</v>
      </c>
      <c r="EO205" s="231">
        <v>2700.48</v>
      </c>
      <c r="EP205" s="231">
        <v>1355.88</v>
      </c>
      <c r="EQ205" s="231">
        <v>1344.6</v>
      </c>
      <c r="ER205" s="229">
        <v>0.99170000000000003</v>
      </c>
      <c r="ES205" s="231">
        <v>1325.94</v>
      </c>
      <c r="ET205" s="228">
        <v>684.18</v>
      </c>
      <c r="EU205" s="231">
        <v>3420.7</v>
      </c>
      <c r="EV205" s="231">
        <v>11962066</v>
      </c>
      <c r="EW205" s="231">
        <v>5430.83</v>
      </c>
      <c r="EX205" s="231">
        <v>5289.89</v>
      </c>
      <c r="EY205" s="228">
        <v>140.94</v>
      </c>
      <c r="EZ205" s="229">
        <v>2.6599999999999999E-2</v>
      </c>
      <c r="FA205" s="229">
        <v>0.39140000000000003</v>
      </c>
      <c r="FB205" s="227" t="s">
        <v>567</v>
      </c>
      <c r="FC205">
        <f t="shared" si="4"/>
        <v>0</v>
      </c>
    </row>
    <row r="206" spans="1:159" ht="17.25" thickBot="1" x14ac:dyDescent="0.3">
      <c r="A206" s="226">
        <v>46009</v>
      </c>
      <c r="B206" s="227" t="s">
        <v>172</v>
      </c>
      <c r="C206" s="227" t="s">
        <v>593</v>
      </c>
      <c r="D206" s="228">
        <v>4425</v>
      </c>
      <c r="E206" s="228">
        <v>12</v>
      </c>
      <c r="F206" s="228">
        <v>154.08000000000001</v>
      </c>
      <c r="G206" s="228">
        <v>153.55000000000001</v>
      </c>
      <c r="H206" s="228">
        <v>0.53</v>
      </c>
      <c r="I206" s="229">
        <v>3.5000000000000001E-3</v>
      </c>
      <c r="J206" s="228">
        <v>154.15</v>
      </c>
      <c r="K206" s="228">
        <v>153.04</v>
      </c>
      <c r="L206" s="228">
        <v>1.1100000000000001</v>
      </c>
      <c r="M206" s="229">
        <v>7.3000000000000001E-3</v>
      </c>
      <c r="N206" s="228">
        <v>154.08000000000001</v>
      </c>
      <c r="O206" s="228">
        <v>153.55000000000001</v>
      </c>
      <c r="P206" s="228">
        <v>0.53</v>
      </c>
      <c r="Q206" s="229">
        <v>3.5000000000000001E-3</v>
      </c>
      <c r="R206" s="228">
        <v>154.68</v>
      </c>
      <c r="S206" s="228">
        <v>154.1</v>
      </c>
      <c r="T206" s="228">
        <v>0.57999999999999996</v>
      </c>
      <c r="U206" s="229">
        <v>3.8E-3</v>
      </c>
      <c r="V206" s="228">
        <v>155.43</v>
      </c>
      <c r="W206" s="228">
        <v>154.79</v>
      </c>
      <c r="X206" s="228">
        <v>0.64</v>
      </c>
      <c r="Y206" s="229">
        <v>4.1000000000000003E-3</v>
      </c>
      <c r="Z206" s="228">
        <v>-7.0000000000000007E-2</v>
      </c>
      <c r="AA206" s="228">
        <v>0.51</v>
      </c>
      <c r="AB206" s="228">
        <v>-0.57999999999999996</v>
      </c>
      <c r="AC206" s="229">
        <v>-5.0000000000000001E-4</v>
      </c>
      <c r="AD206" s="228">
        <v>-7.0000000000000007E-2</v>
      </c>
      <c r="AE206" s="228">
        <v>0.51</v>
      </c>
      <c r="AF206" s="228">
        <v>-0.57999999999999996</v>
      </c>
      <c r="AG206" s="229">
        <v>-5.0000000000000001E-4</v>
      </c>
      <c r="AH206" s="228">
        <v>0.53</v>
      </c>
      <c r="AI206" s="228">
        <v>1.06</v>
      </c>
      <c r="AJ206" s="228">
        <v>-0.53</v>
      </c>
      <c r="AK206" s="229">
        <v>3.3999999999999998E-3</v>
      </c>
      <c r="AL206" s="228">
        <v>1.28</v>
      </c>
      <c r="AM206" s="228">
        <v>1.75</v>
      </c>
      <c r="AN206" s="228">
        <v>-0.47</v>
      </c>
      <c r="AO206" s="229">
        <v>8.3000000000000001E-3</v>
      </c>
      <c r="AP206" s="228">
        <v>154.05000000000001</v>
      </c>
      <c r="AQ206" s="228">
        <v>154.66999999999999</v>
      </c>
      <c r="AR206" s="228">
        <v>0</v>
      </c>
      <c r="AS206" s="228">
        <v>200</v>
      </c>
      <c r="AT206" s="228">
        <v>180</v>
      </c>
      <c r="AU206" s="228">
        <v>20</v>
      </c>
      <c r="AV206" s="229">
        <v>0.10929999999999999</v>
      </c>
      <c r="AW206" s="228">
        <v>167</v>
      </c>
      <c r="AX206" s="228">
        <v>147</v>
      </c>
      <c r="AY206" s="228">
        <v>20</v>
      </c>
      <c r="AZ206" s="229">
        <v>0.13589999999999999</v>
      </c>
      <c r="BA206" s="228">
        <v>32</v>
      </c>
      <c r="BB206" s="228">
        <v>32</v>
      </c>
      <c r="BC206" s="228">
        <v>0</v>
      </c>
      <c r="BD206" s="229">
        <v>-6.3E-3</v>
      </c>
      <c r="BE206" s="228">
        <v>1</v>
      </c>
      <c r="BF206" s="228">
        <v>1</v>
      </c>
      <c r="BG206" s="228">
        <v>0</v>
      </c>
      <c r="BH206" s="229">
        <v>-7.1400000000000005E-2</v>
      </c>
      <c r="BI206" s="228">
        <v>352</v>
      </c>
      <c r="BJ206" s="228">
        <v>259</v>
      </c>
      <c r="BK206" s="228">
        <v>94</v>
      </c>
      <c r="BL206" s="229">
        <v>0.36170000000000002</v>
      </c>
      <c r="BM206" s="228">
        <v>204</v>
      </c>
      <c r="BN206" s="228">
        <v>138</v>
      </c>
      <c r="BO206" s="228">
        <v>66</v>
      </c>
      <c r="BP206" s="229">
        <v>0.48220000000000002</v>
      </c>
      <c r="BQ206" s="228">
        <v>756</v>
      </c>
      <c r="BR206" s="228">
        <v>577</v>
      </c>
      <c r="BS206" s="228">
        <v>180</v>
      </c>
      <c r="BT206" s="229">
        <v>0.31159999999999999</v>
      </c>
      <c r="BU206" s="230">
        <v>8948618</v>
      </c>
      <c r="BV206" s="230">
        <v>10114338</v>
      </c>
      <c r="BW206" s="230">
        <v>-1165720</v>
      </c>
      <c r="BX206" s="229">
        <v>-0.1153</v>
      </c>
      <c r="BY206" s="230">
        <v>1154</v>
      </c>
      <c r="BZ206" s="230">
        <v>1179</v>
      </c>
      <c r="CA206" s="228">
        <v>-24</v>
      </c>
      <c r="CB206" s="229">
        <v>-2.07E-2</v>
      </c>
      <c r="CC206" s="230">
        <v>1022</v>
      </c>
      <c r="CD206" s="230">
        <v>1053</v>
      </c>
      <c r="CE206" s="228">
        <v>-31</v>
      </c>
      <c r="CF206" s="229">
        <v>-2.9499999999999998E-2</v>
      </c>
      <c r="CG206" s="228">
        <v>122</v>
      </c>
      <c r="CH206" s="228">
        <v>116</v>
      </c>
      <c r="CI206" s="228">
        <v>7</v>
      </c>
      <c r="CJ206" s="229">
        <v>5.8400000000000001E-2</v>
      </c>
      <c r="CK206" s="228">
        <v>10</v>
      </c>
      <c r="CL206" s="228">
        <v>10</v>
      </c>
      <c r="CM206" s="228">
        <v>0</v>
      </c>
      <c r="CN206" s="229">
        <v>0</v>
      </c>
      <c r="CO206" s="228">
        <v>583</v>
      </c>
      <c r="CP206" s="228">
        <v>601</v>
      </c>
      <c r="CQ206" s="228">
        <v>-19</v>
      </c>
      <c r="CR206" s="229">
        <v>-3.1300000000000001E-2</v>
      </c>
      <c r="CS206" s="228">
        <v>393</v>
      </c>
      <c r="CT206" s="228">
        <v>406</v>
      </c>
      <c r="CU206" s="228">
        <v>-13</v>
      </c>
      <c r="CV206" s="229">
        <v>-3.1800000000000002E-2</v>
      </c>
      <c r="CW206" s="230">
        <v>2130</v>
      </c>
      <c r="CX206" s="230">
        <v>2186</v>
      </c>
      <c r="CY206" s="228">
        <v>-56</v>
      </c>
      <c r="CZ206" s="229">
        <v>-2.5600000000000001E-2</v>
      </c>
      <c r="DA206" s="228">
        <v>27.63</v>
      </c>
      <c r="DB206" s="228">
        <v>29.15</v>
      </c>
      <c r="DC206" s="228">
        <v>-1.52</v>
      </c>
      <c r="DD206" s="228">
        <v>-1.52</v>
      </c>
      <c r="DE206" s="228">
        <v>40.64</v>
      </c>
      <c r="DF206" s="228">
        <v>40.74</v>
      </c>
      <c r="DG206" s="228">
        <v>-13.01</v>
      </c>
      <c r="DH206" s="228">
        <v>-0.1</v>
      </c>
      <c r="DI206" s="228">
        <v>27.07</v>
      </c>
      <c r="DJ206" s="228">
        <v>29.25</v>
      </c>
      <c r="DK206" s="228">
        <v>-2.1800000000000002</v>
      </c>
      <c r="DL206" s="228">
        <v>-2.1800000000000002</v>
      </c>
      <c r="DM206" s="228">
        <v>28.59</v>
      </c>
      <c r="DN206" s="228">
        <v>28.96</v>
      </c>
      <c r="DO206" s="228">
        <v>-0.37</v>
      </c>
      <c r="DP206" s="228">
        <v>-0.37</v>
      </c>
      <c r="DQ206" s="228">
        <v>0.67</v>
      </c>
      <c r="DR206" s="228">
        <v>0.67</v>
      </c>
      <c r="DS206" s="228">
        <v>0</v>
      </c>
      <c r="DT206" s="229">
        <v>0</v>
      </c>
      <c r="DU206" s="228">
        <v>160</v>
      </c>
      <c r="DV206" s="228">
        <v>150</v>
      </c>
      <c r="DW206" s="228">
        <v>0.57999999999999996</v>
      </c>
      <c r="DX206" s="228">
        <v>0.53</v>
      </c>
      <c r="DY206" s="228">
        <v>0.05</v>
      </c>
      <c r="DZ206" s="229">
        <v>9.4299999999999995E-2</v>
      </c>
      <c r="EA206" s="229">
        <v>0.115</v>
      </c>
      <c r="EB206" s="230">
        <v>8172975</v>
      </c>
      <c r="EC206" s="229">
        <v>3.8999999999999998E-3</v>
      </c>
      <c r="ED206" s="229">
        <v>0.115</v>
      </c>
      <c r="EE206" s="228">
        <v>0.62</v>
      </c>
      <c r="EF206" s="229">
        <v>4.0000000000000001E-3</v>
      </c>
      <c r="EG206" s="230">
        <v>3859422</v>
      </c>
      <c r="EH206" s="230">
        <v>5645089</v>
      </c>
      <c r="EI206" s="229">
        <v>-0.31630000000000003</v>
      </c>
      <c r="EJ206" s="229">
        <v>0.43130000000000002</v>
      </c>
      <c r="EK206" s="228">
        <v>365.99</v>
      </c>
      <c r="EL206" s="228">
        <v>195.76</v>
      </c>
      <c r="EM206" s="228">
        <v>200.07</v>
      </c>
      <c r="EN206" s="228">
        <v>26.09</v>
      </c>
      <c r="EO206" s="228">
        <v>761.81</v>
      </c>
      <c r="EP206" s="228">
        <v>583.89</v>
      </c>
      <c r="EQ206" s="228">
        <v>177.92</v>
      </c>
      <c r="ER206" s="229">
        <v>0.30470000000000003</v>
      </c>
      <c r="ES206" s="228">
        <v>606.04999999999995</v>
      </c>
      <c r="ET206" s="228">
        <v>377.29</v>
      </c>
      <c r="EU206" s="231">
        <v>1154.79</v>
      </c>
      <c r="EV206" s="231">
        <v>289041713</v>
      </c>
      <c r="EW206" s="231">
        <v>2138.13</v>
      </c>
      <c r="EX206" s="231">
        <v>2187.94</v>
      </c>
      <c r="EY206" s="228">
        <v>-49.81</v>
      </c>
      <c r="EZ206" s="229">
        <v>-2.2800000000000001E-2</v>
      </c>
      <c r="FA206" s="229">
        <v>0.47820000000000001</v>
      </c>
      <c r="FB206" s="227" t="s">
        <v>556</v>
      </c>
      <c r="FC206">
        <f t="shared" si="4"/>
        <v>0</v>
      </c>
    </row>
    <row r="207" spans="1:159" ht="17.25" thickBot="1" x14ac:dyDescent="0.3">
      <c r="A207" s="226">
        <v>46009</v>
      </c>
      <c r="B207" s="227" t="s">
        <v>168</v>
      </c>
      <c r="C207" s="227" t="s">
        <v>569</v>
      </c>
      <c r="D207" s="228">
        <v>400</v>
      </c>
      <c r="E207" s="228">
        <v>12</v>
      </c>
      <c r="F207" s="231">
        <v>1393.8</v>
      </c>
      <c r="G207" s="231">
        <v>1422.1</v>
      </c>
      <c r="H207" s="228">
        <v>-28.3</v>
      </c>
      <c r="I207" s="229">
        <v>-1.9900000000000001E-2</v>
      </c>
      <c r="J207" s="231">
        <v>1391.2</v>
      </c>
      <c r="K207" s="231">
        <v>1424.9</v>
      </c>
      <c r="L207" s="228">
        <v>-33.700000000000003</v>
      </c>
      <c r="M207" s="229">
        <v>-2.3699999999999999E-2</v>
      </c>
      <c r="N207" s="231">
        <v>1393.8</v>
      </c>
      <c r="O207" s="231">
        <v>1422.1</v>
      </c>
      <c r="P207" s="228">
        <v>-28.3</v>
      </c>
      <c r="Q207" s="229">
        <v>-1.9900000000000001E-2</v>
      </c>
      <c r="R207" s="231">
        <v>1403.1</v>
      </c>
      <c r="S207" s="231">
        <v>1430.1</v>
      </c>
      <c r="T207" s="228">
        <v>-27</v>
      </c>
      <c r="U207" s="229">
        <v>-1.89E-2</v>
      </c>
      <c r="V207" s="231">
        <v>1414.7</v>
      </c>
      <c r="W207" s="231">
        <v>1442.5</v>
      </c>
      <c r="X207" s="228">
        <v>-27.8</v>
      </c>
      <c r="Y207" s="229">
        <v>-1.9300000000000001E-2</v>
      </c>
      <c r="Z207" s="228">
        <v>2.6</v>
      </c>
      <c r="AA207" s="228">
        <v>-2.8</v>
      </c>
      <c r="AB207" s="228">
        <v>5.4</v>
      </c>
      <c r="AC207" s="229">
        <v>1.9E-3</v>
      </c>
      <c r="AD207" s="228">
        <v>2.6</v>
      </c>
      <c r="AE207" s="228">
        <v>-2.8</v>
      </c>
      <c r="AF207" s="228">
        <v>5.4</v>
      </c>
      <c r="AG207" s="229">
        <v>1.9E-3</v>
      </c>
      <c r="AH207" s="228">
        <v>11.9</v>
      </c>
      <c r="AI207" s="228">
        <v>5.2</v>
      </c>
      <c r="AJ207" s="228">
        <v>6.7</v>
      </c>
      <c r="AK207" s="229">
        <v>8.6E-3</v>
      </c>
      <c r="AL207" s="228">
        <v>23.5</v>
      </c>
      <c r="AM207" s="228">
        <v>17.600000000000001</v>
      </c>
      <c r="AN207" s="228">
        <v>5.9</v>
      </c>
      <c r="AO207" s="229">
        <v>1.6899999999999998E-2</v>
      </c>
      <c r="AP207" s="231">
        <v>1392.24</v>
      </c>
      <c r="AQ207" s="231">
        <v>1401.96</v>
      </c>
      <c r="AR207" s="228">
        <v>0</v>
      </c>
      <c r="AS207" s="228">
        <v>573</v>
      </c>
      <c r="AT207" s="228">
        <v>317</v>
      </c>
      <c r="AU207" s="228">
        <v>256</v>
      </c>
      <c r="AV207" s="229">
        <v>0.81030000000000002</v>
      </c>
      <c r="AW207" s="228">
        <v>502</v>
      </c>
      <c r="AX207" s="228">
        <v>283</v>
      </c>
      <c r="AY207" s="228">
        <v>219</v>
      </c>
      <c r="AZ207" s="229">
        <v>0.77329999999999999</v>
      </c>
      <c r="BA207" s="228">
        <v>68</v>
      </c>
      <c r="BB207" s="228">
        <v>32</v>
      </c>
      <c r="BC207" s="228">
        <v>36</v>
      </c>
      <c r="BD207" s="229">
        <v>1.1228</v>
      </c>
      <c r="BE207" s="228">
        <v>3</v>
      </c>
      <c r="BF207" s="228">
        <v>1</v>
      </c>
      <c r="BG207" s="228">
        <v>1</v>
      </c>
      <c r="BH207" s="229">
        <v>1.1429</v>
      </c>
      <c r="BI207" s="230">
        <v>1048</v>
      </c>
      <c r="BJ207" s="228">
        <v>514</v>
      </c>
      <c r="BK207" s="228">
        <v>534</v>
      </c>
      <c r="BL207" s="229">
        <v>1.0379</v>
      </c>
      <c r="BM207" s="230">
        <v>1229</v>
      </c>
      <c r="BN207" s="228">
        <v>431</v>
      </c>
      <c r="BO207" s="228">
        <v>799</v>
      </c>
      <c r="BP207" s="229">
        <v>1.8546</v>
      </c>
      <c r="BQ207" s="230">
        <v>2851</v>
      </c>
      <c r="BR207" s="230">
        <v>1262</v>
      </c>
      <c r="BS207" s="230">
        <v>1589</v>
      </c>
      <c r="BT207" s="229">
        <v>1.2596000000000001</v>
      </c>
      <c r="BU207" s="230">
        <v>1185835</v>
      </c>
      <c r="BV207" s="230">
        <v>1185574</v>
      </c>
      <c r="BW207" s="228">
        <v>261</v>
      </c>
      <c r="BX207" s="229">
        <v>2.0000000000000001E-4</v>
      </c>
      <c r="BY207" s="230">
        <v>1686</v>
      </c>
      <c r="BZ207" s="230">
        <v>1749</v>
      </c>
      <c r="CA207" s="228">
        <v>-63</v>
      </c>
      <c r="CB207" s="229">
        <v>-3.5900000000000001E-2</v>
      </c>
      <c r="CC207" s="230">
        <v>1602</v>
      </c>
      <c r="CD207" s="230">
        <v>1699</v>
      </c>
      <c r="CE207" s="228">
        <v>-97</v>
      </c>
      <c r="CF207" s="229">
        <v>-5.7000000000000002E-2</v>
      </c>
      <c r="CG207" s="228">
        <v>79</v>
      </c>
      <c r="CH207" s="228">
        <v>46</v>
      </c>
      <c r="CI207" s="228">
        <v>33</v>
      </c>
      <c r="CJ207" s="229">
        <v>0.71150000000000002</v>
      </c>
      <c r="CK207" s="228">
        <v>5</v>
      </c>
      <c r="CL207" s="228">
        <v>4</v>
      </c>
      <c r="CM207" s="228">
        <v>1</v>
      </c>
      <c r="CN207" s="229">
        <v>0.3478</v>
      </c>
      <c r="CO207" s="228">
        <v>598</v>
      </c>
      <c r="CP207" s="228">
        <v>561</v>
      </c>
      <c r="CQ207" s="228">
        <v>36</v>
      </c>
      <c r="CR207" s="229">
        <v>6.4600000000000005E-2</v>
      </c>
      <c r="CS207" s="228">
        <v>478</v>
      </c>
      <c r="CT207" s="228">
        <v>476</v>
      </c>
      <c r="CU207" s="228">
        <v>1</v>
      </c>
      <c r="CV207" s="229">
        <v>2.8E-3</v>
      </c>
      <c r="CW207" s="230">
        <v>2762</v>
      </c>
      <c r="CX207" s="230">
        <v>2787</v>
      </c>
      <c r="CY207" s="228">
        <v>-25</v>
      </c>
      <c r="CZ207" s="229">
        <v>-8.9999999999999993E-3</v>
      </c>
      <c r="DA207" s="228">
        <v>21.28</v>
      </c>
      <c r="DB207" s="228">
        <v>22.34</v>
      </c>
      <c r="DC207" s="228">
        <v>-1.06</v>
      </c>
      <c r="DD207" s="228">
        <v>-1.06</v>
      </c>
      <c r="DE207" s="228">
        <v>27.17</v>
      </c>
      <c r="DF207" s="228">
        <v>27.04</v>
      </c>
      <c r="DG207" s="228">
        <v>-5.89</v>
      </c>
      <c r="DH207" s="228">
        <v>0.13</v>
      </c>
      <c r="DI207" s="228">
        <v>21.73</v>
      </c>
      <c r="DJ207" s="228">
        <v>22.77</v>
      </c>
      <c r="DK207" s="228">
        <v>-1.04</v>
      </c>
      <c r="DL207" s="228">
        <v>-1.04</v>
      </c>
      <c r="DM207" s="228">
        <v>20.9</v>
      </c>
      <c r="DN207" s="228">
        <v>21.83</v>
      </c>
      <c r="DO207" s="228">
        <v>-0.93</v>
      </c>
      <c r="DP207" s="228">
        <v>-0.93</v>
      </c>
      <c r="DQ207" s="228">
        <v>0.8</v>
      </c>
      <c r="DR207" s="228">
        <v>0.85</v>
      </c>
      <c r="DS207" s="228">
        <v>-0.05</v>
      </c>
      <c r="DT207" s="229">
        <v>-5.8799999999999998E-2</v>
      </c>
      <c r="DU207" s="231">
        <v>1500</v>
      </c>
      <c r="DV207" s="231">
        <v>1400</v>
      </c>
      <c r="DW207" s="228">
        <v>1.17</v>
      </c>
      <c r="DX207" s="228">
        <v>0.84</v>
      </c>
      <c r="DY207" s="228">
        <v>0.33</v>
      </c>
      <c r="DZ207" s="229">
        <v>0.39290000000000003</v>
      </c>
      <c r="EA207" s="229">
        <v>4.9799999999999997E-2</v>
      </c>
      <c r="EB207" s="230">
        <v>357600</v>
      </c>
      <c r="EC207" s="229">
        <v>6.7000000000000002E-3</v>
      </c>
      <c r="ED207" s="229">
        <v>4.9799999999999997E-2</v>
      </c>
      <c r="EE207" s="228">
        <v>9.7200000000000006</v>
      </c>
      <c r="EF207" s="229">
        <v>7.0000000000000001E-3</v>
      </c>
      <c r="EG207" s="230">
        <v>551903</v>
      </c>
      <c r="EH207" s="230">
        <v>885836</v>
      </c>
      <c r="EI207" s="229">
        <v>-0.377</v>
      </c>
      <c r="EJ207" s="229">
        <v>0.46539999999999998</v>
      </c>
      <c r="EK207" s="231">
        <v>1090.8900000000001</v>
      </c>
      <c r="EL207" s="231">
        <v>1230.95</v>
      </c>
      <c r="EM207" s="228">
        <v>572.83000000000004</v>
      </c>
      <c r="EN207" s="228">
        <v>26.74</v>
      </c>
      <c r="EO207" s="231">
        <v>2894.66</v>
      </c>
      <c r="EP207" s="231">
        <v>1314.96</v>
      </c>
      <c r="EQ207" s="231">
        <v>1579.7</v>
      </c>
      <c r="ER207" s="229">
        <v>1.2013</v>
      </c>
      <c r="ES207" s="228">
        <v>634.26</v>
      </c>
      <c r="ET207" s="228">
        <v>475.59</v>
      </c>
      <c r="EU207" s="231">
        <v>1686.93</v>
      </c>
      <c r="EV207" s="231">
        <v>47269416</v>
      </c>
      <c r="EW207" s="231">
        <v>2796.78</v>
      </c>
      <c r="EX207" s="231">
        <v>2863.63</v>
      </c>
      <c r="EY207" s="228">
        <v>-66.849999999999994</v>
      </c>
      <c r="EZ207" s="229">
        <v>-2.3300000000000001E-2</v>
      </c>
      <c r="FA207" s="229">
        <v>0.41920000000000002</v>
      </c>
      <c r="FB207" s="227" t="s">
        <v>568</v>
      </c>
      <c r="FC207">
        <f t="shared" si="4"/>
        <v>0</v>
      </c>
    </row>
    <row r="208" spans="1:159" ht="17.25" thickBot="1" x14ac:dyDescent="0.3">
      <c r="A208" s="226">
        <v>46009</v>
      </c>
      <c r="B208" s="227" t="s">
        <v>162</v>
      </c>
      <c r="C208" s="227" t="s">
        <v>675</v>
      </c>
      <c r="D208" s="228">
        <v>550</v>
      </c>
      <c r="E208" s="228">
        <v>12</v>
      </c>
      <c r="F208" s="231">
        <v>1228.7</v>
      </c>
      <c r="G208" s="231">
        <v>1251.5</v>
      </c>
      <c r="H208" s="228">
        <v>-22.8</v>
      </c>
      <c r="I208" s="229">
        <v>-1.8200000000000001E-2</v>
      </c>
      <c r="J208" s="231">
        <v>1226.5999999999999</v>
      </c>
      <c r="K208" s="231">
        <v>1248.8</v>
      </c>
      <c r="L208" s="228">
        <v>-22.2</v>
      </c>
      <c r="M208" s="229">
        <v>-1.78E-2</v>
      </c>
      <c r="N208" s="231">
        <v>1228.7</v>
      </c>
      <c r="O208" s="231">
        <v>1251.5</v>
      </c>
      <c r="P208" s="228">
        <v>-22.8</v>
      </c>
      <c r="Q208" s="229">
        <v>-1.8200000000000001E-2</v>
      </c>
      <c r="R208" s="231">
        <v>1236.4000000000001</v>
      </c>
      <c r="S208" s="231">
        <v>1258.9000000000001</v>
      </c>
      <c r="T208" s="228">
        <v>-22.5</v>
      </c>
      <c r="U208" s="229">
        <v>-1.7899999999999999E-2</v>
      </c>
      <c r="V208" s="231">
        <v>1235.0999999999999</v>
      </c>
      <c r="W208" s="231">
        <v>1256</v>
      </c>
      <c r="X208" s="228">
        <v>-20.9</v>
      </c>
      <c r="Y208" s="229">
        <v>-1.66E-2</v>
      </c>
      <c r="Z208" s="228">
        <v>2.1</v>
      </c>
      <c r="AA208" s="228">
        <v>2.7</v>
      </c>
      <c r="AB208" s="228">
        <v>-0.6</v>
      </c>
      <c r="AC208" s="229">
        <v>1.6999999999999999E-3</v>
      </c>
      <c r="AD208" s="228">
        <v>2.1</v>
      </c>
      <c r="AE208" s="228">
        <v>2.7</v>
      </c>
      <c r="AF208" s="228">
        <v>-0.6</v>
      </c>
      <c r="AG208" s="229">
        <v>1.6999999999999999E-3</v>
      </c>
      <c r="AH208" s="228">
        <v>9.8000000000000007</v>
      </c>
      <c r="AI208" s="228">
        <v>10.1</v>
      </c>
      <c r="AJ208" s="228">
        <v>-0.3</v>
      </c>
      <c r="AK208" s="229">
        <v>8.0000000000000002E-3</v>
      </c>
      <c r="AL208" s="228">
        <v>8.5</v>
      </c>
      <c r="AM208" s="228">
        <v>7.2</v>
      </c>
      <c r="AN208" s="228">
        <v>1.3</v>
      </c>
      <c r="AO208" s="229">
        <v>6.8999999999999999E-3</v>
      </c>
      <c r="AP208" s="231">
        <v>1227.8</v>
      </c>
      <c r="AQ208" s="231">
        <v>1236</v>
      </c>
      <c r="AR208" s="228">
        <v>0</v>
      </c>
      <c r="AS208" s="228">
        <v>74</v>
      </c>
      <c r="AT208" s="228">
        <v>51</v>
      </c>
      <c r="AU208" s="228">
        <v>24</v>
      </c>
      <c r="AV208" s="229">
        <v>0.46789999999999998</v>
      </c>
      <c r="AW208" s="228">
        <v>64</v>
      </c>
      <c r="AX208" s="228">
        <v>48</v>
      </c>
      <c r="AY208" s="228">
        <v>17</v>
      </c>
      <c r="AZ208" s="229">
        <v>0.34599999999999997</v>
      </c>
      <c r="BA208" s="228">
        <v>10</v>
      </c>
      <c r="BB208" s="228">
        <v>3</v>
      </c>
      <c r="BC208" s="228">
        <v>7</v>
      </c>
      <c r="BD208" s="229">
        <v>2.7105000000000001</v>
      </c>
      <c r="BE208" s="228">
        <v>0</v>
      </c>
      <c r="BF208" s="228">
        <v>0</v>
      </c>
      <c r="BG208" s="228">
        <v>0</v>
      </c>
      <c r="BH208" s="229">
        <v>1</v>
      </c>
      <c r="BI208" s="228">
        <v>254</v>
      </c>
      <c r="BJ208" s="228">
        <v>147</v>
      </c>
      <c r="BK208" s="228">
        <v>106</v>
      </c>
      <c r="BL208" s="229">
        <v>0.72250000000000003</v>
      </c>
      <c r="BM208" s="228">
        <v>132</v>
      </c>
      <c r="BN208" s="228">
        <v>53</v>
      </c>
      <c r="BO208" s="228">
        <v>79</v>
      </c>
      <c r="BP208" s="229">
        <v>1.4911000000000001</v>
      </c>
      <c r="BQ208" s="228">
        <v>460</v>
      </c>
      <c r="BR208" s="228">
        <v>251</v>
      </c>
      <c r="BS208" s="228">
        <v>209</v>
      </c>
      <c r="BT208" s="229">
        <v>0.83350000000000002</v>
      </c>
      <c r="BU208" s="230">
        <v>322750</v>
      </c>
      <c r="BV208" s="230">
        <v>383340</v>
      </c>
      <c r="BW208" s="230">
        <v>-60590</v>
      </c>
      <c r="BX208" s="229">
        <v>-0.15809999999999999</v>
      </c>
      <c r="BY208" s="228">
        <v>537</v>
      </c>
      <c r="BZ208" s="228">
        <v>530</v>
      </c>
      <c r="CA208" s="228">
        <v>7</v>
      </c>
      <c r="CB208" s="229">
        <v>1.26E-2</v>
      </c>
      <c r="CC208" s="228">
        <v>509</v>
      </c>
      <c r="CD208" s="228">
        <v>507</v>
      </c>
      <c r="CE208" s="228">
        <v>2</v>
      </c>
      <c r="CF208" s="229">
        <v>4.4999999999999997E-3</v>
      </c>
      <c r="CG208" s="228">
        <v>27</v>
      </c>
      <c r="CH208" s="228">
        <v>23</v>
      </c>
      <c r="CI208" s="228">
        <v>4</v>
      </c>
      <c r="CJ208" s="229">
        <v>0.1905</v>
      </c>
      <c r="CK208" s="228">
        <v>1</v>
      </c>
      <c r="CL208" s="228">
        <v>1</v>
      </c>
      <c r="CM208" s="228">
        <v>0</v>
      </c>
      <c r="CN208" s="229">
        <v>7.6899999999999996E-2</v>
      </c>
      <c r="CO208" s="228">
        <v>365</v>
      </c>
      <c r="CP208" s="228">
        <v>343</v>
      </c>
      <c r="CQ208" s="228">
        <v>22</v>
      </c>
      <c r="CR208" s="229">
        <v>6.4100000000000004E-2</v>
      </c>
      <c r="CS208" s="228">
        <v>190</v>
      </c>
      <c r="CT208" s="228">
        <v>192</v>
      </c>
      <c r="CU208" s="228">
        <v>-2</v>
      </c>
      <c r="CV208" s="229">
        <v>-1.1299999999999999E-2</v>
      </c>
      <c r="CW208" s="230">
        <v>1092</v>
      </c>
      <c r="CX208" s="230">
        <v>1065</v>
      </c>
      <c r="CY208" s="228">
        <v>26</v>
      </c>
      <c r="CZ208" s="229">
        <v>2.4899999999999999E-2</v>
      </c>
      <c r="DA208" s="228">
        <v>27.66</v>
      </c>
      <c r="DB208" s="228">
        <v>25.88</v>
      </c>
      <c r="DC208" s="228">
        <v>1.78</v>
      </c>
      <c r="DD208" s="228">
        <v>1.78</v>
      </c>
      <c r="DE208" s="228">
        <v>40.43</v>
      </c>
      <c r="DF208" s="228">
        <v>40.450000000000003</v>
      </c>
      <c r="DG208" s="228">
        <v>-12.77</v>
      </c>
      <c r="DH208" s="228">
        <v>-0.02</v>
      </c>
      <c r="DI208" s="228">
        <v>28.97</v>
      </c>
      <c r="DJ208" s="228">
        <v>25.97</v>
      </c>
      <c r="DK208" s="228">
        <v>3</v>
      </c>
      <c r="DL208" s="228">
        <v>3</v>
      </c>
      <c r="DM208" s="228">
        <v>25.15</v>
      </c>
      <c r="DN208" s="228">
        <v>25.61</v>
      </c>
      <c r="DO208" s="228">
        <v>-0.46</v>
      </c>
      <c r="DP208" s="228">
        <v>-0.46</v>
      </c>
      <c r="DQ208" s="228">
        <v>0.52</v>
      </c>
      <c r="DR208" s="228">
        <v>0.56000000000000005</v>
      </c>
      <c r="DS208" s="228">
        <v>-0.04</v>
      </c>
      <c r="DT208" s="229">
        <v>-7.1400000000000005E-2</v>
      </c>
      <c r="DU208" s="231">
        <v>1320</v>
      </c>
      <c r="DV208" s="231">
        <v>1180</v>
      </c>
      <c r="DW208" s="228">
        <v>0.52</v>
      </c>
      <c r="DX208" s="228">
        <v>0.36</v>
      </c>
      <c r="DY208" s="228">
        <v>0.16</v>
      </c>
      <c r="DZ208" s="229">
        <v>0.44440000000000002</v>
      </c>
      <c r="EA208" s="229">
        <v>5.21E-2</v>
      </c>
      <c r="EB208" s="230">
        <v>191950</v>
      </c>
      <c r="EC208" s="229">
        <v>6.3E-3</v>
      </c>
      <c r="ED208" s="229">
        <v>5.21E-2</v>
      </c>
      <c r="EE208" s="228">
        <v>8.1999999999999993</v>
      </c>
      <c r="EF208" s="229">
        <v>6.7000000000000002E-3</v>
      </c>
      <c r="EG208" s="230">
        <v>137258</v>
      </c>
      <c r="EH208" s="230">
        <v>198359</v>
      </c>
      <c r="EI208" s="229">
        <v>-0.308</v>
      </c>
      <c r="EJ208" s="229">
        <v>0.42530000000000001</v>
      </c>
      <c r="EK208" s="228">
        <v>271.69</v>
      </c>
      <c r="EL208" s="228">
        <v>132.02000000000001</v>
      </c>
      <c r="EM208" s="228">
        <v>74.209999999999994</v>
      </c>
      <c r="EN208" s="228">
        <v>18.690000000000001</v>
      </c>
      <c r="EO208" s="228">
        <v>477.92</v>
      </c>
      <c r="EP208" s="228">
        <v>261.26</v>
      </c>
      <c r="EQ208" s="228">
        <v>216.66</v>
      </c>
      <c r="ER208" s="229">
        <v>0.82930000000000004</v>
      </c>
      <c r="ES208" s="228">
        <v>392.29</v>
      </c>
      <c r="ET208" s="228">
        <v>191.46</v>
      </c>
      <c r="EU208" s="228">
        <v>537.36</v>
      </c>
      <c r="EV208" s="231">
        <v>22813802</v>
      </c>
      <c r="EW208" s="231">
        <v>1121.1099999999999</v>
      </c>
      <c r="EX208" s="231">
        <v>1103.92</v>
      </c>
      <c r="EY208" s="228">
        <v>17.190000000000001</v>
      </c>
      <c r="EZ208" s="229">
        <v>1.5599999999999999E-2</v>
      </c>
      <c r="FA208" s="229">
        <v>0.38950000000000001</v>
      </c>
      <c r="FB208" s="227" t="s">
        <v>567</v>
      </c>
      <c r="FC208">
        <f t="shared" si="4"/>
        <v>0</v>
      </c>
    </row>
    <row r="209" spans="1:159" ht="17.25" thickBot="1" x14ac:dyDescent="0.3">
      <c r="A209" s="226">
        <v>46009</v>
      </c>
      <c r="B209" s="227" t="s">
        <v>498</v>
      </c>
      <c r="C209" s="227" t="s">
        <v>303</v>
      </c>
      <c r="D209" s="228">
        <v>1355</v>
      </c>
      <c r="E209" s="228">
        <v>12</v>
      </c>
      <c r="F209" s="228">
        <v>745.25</v>
      </c>
      <c r="G209" s="228">
        <v>747.75</v>
      </c>
      <c r="H209" s="228">
        <v>-2.5</v>
      </c>
      <c r="I209" s="229">
        <v>-3.3E-3</v>
      </c>
      <c r="J209" s="228">
        <v>744.4</v>
      </c>
      <c r="K209" s="228">
        <v>746.3</v>
      </c>
      <c r="L209" s="228">
        <v>-1.9</v>
      </c>
      <c r="M209" s="229">
        <v>-2.5000000000000001E-3</v>
      </c>
      <c r="N209" s="228">
        <v>745.25</v>
      </c>
      <c r="O209" s="228">
        <v>747.75</v>
      </c>
      <c r="P209" s="228">
        <v>-2.5</v>
      </c>
      <c r="Q209" s="229">
        <v>-3.3E-3</v>
      </c>
      <c r="R209" s="228">
        <v>750</v>
      </c>
      <c r="S209" s="228">
        <v>752.45</v>
      </c>
      <c r="T209" s="228">
        <v>-2.4500000000000002</v>
      </c>
      <c r="U209" s="229">
        <v>-3.3E-3</v>
      </c>
      <c r="V209" s="228">
        <v>755.7</v>
      </c>
      <c r="W209" s="228">
        <v>755.45</v>
      </c>
      <c r="X209" s="228">
        <v>0.25</v>
      </c>
      <c r="Y209" s="229">
        <v>2.9999999999999997E-4</v>
      </c>
      <c r="Z209" s="228">
        <v>0.85</v>
      </c>
      <c r="AA209" s="228">
        <v>1.45</v>
      </c>
      <c r="AB209" s="228">
        <v>-0.6</v>
      </c>
      <c r="AC209" s="229">
        <v>1.1000000000000001E-3</v>
      </c>
      <c r="AD209" s="228">
        <v>0.85</v>
      </c>
      <c r="AE209" s="228">
        <v>1.45</v>
      </c>
      <c r="AF209" s="228">
        <v>-0.6</v>
      </c>
      <c r="AG209" s="229">
        <v>1.1000000000000001E-3</v>
      </c>
      <c r="AH209" s="228">
        <v>5.6</v>
      </c>
      <c r="AI209" s="228">
        <v>6.15</v>
      </c>
      <c r="AJ209" s="228">
        <v>-0.55000000000000004</v>
      </c>
      <c r="AK209" s="229">
        <v>7.4999999999999997E-3</v>
      </c>
      <c r="AL209" s="228">
        <v>11.3</v>
      </c>
      <c r="AM209" s="228">
        <v>9.15</v>
      </c>
      <c r="AN209" s="228">
        <v>2.15</v>
      </c>
      <c r="AO209" s="229">
        <v>1.52E-2</v>
      </c>
      <c r="AP209" s="228">
        <v>743.56</v>
      </c>
      <c r="AQ209" s="228">
        <v>748.77</v>
      </c>
      <c r="AR209" s="228">
        <v>0</v>
      </c>
      <c r="AS209" s="228">
        <v>199</v>
      </c>
      <c r="AT209" s="228">
        <v>168</v>
      </c>
      <c r="AU209" s="228">
        <v>32</v>
      </c>
      <c r="AV209" s="229">
        <v>0.18870000000000001</v>
      </c>
      <c r="AW209" s="228">
        <v>163</v>
      </c>
      <c r="AX209" s="228">
        <v>148</v>
      </c>
      <c r="AY209" s="228">
        <v>15</v>
      </c>
      <c r="AZ209" s="229">
        <v>0.1007</v>
      </c>
      <c r="BA209" s="228">
        <v>35</v>
      </c>
      <c r="BB209" s="228">
        <v>18</v>
      </c>
      <c r="BC209" s="228">
        <v>17</v>
      </c>
      <c r="BD209" s="229">
        <v>0.90159999999999996</v>
      </c>
      <c r="BE209" s="228">
        <v>1</v>
      </c>
      <c r="BF209" s="228">
        <v>1</v>
      </c>
      <c r="BG209" s="228">
        <v>0</v>
      </c>
      <c r="BH209" s="229">
        <v>0</v>
      </c>
      <c r="BI209" s="228">
        <v>496</v>
      </c>
      <c r="BJ209" s="228">
        <v>517</v>
      </c>
      <c r="BK209" s="228">
        <v>-21</v>
      </c>
      <c r="BL209" s="229">
        <v>-4.0099999999999997E-2</v>
      </c>
      <c r="BM209" s="228">
        <v>207</v>
      </c>
      <c r="BN209" s="228">
        <v>198</v>
      </c>
      <c r="BO209" s="228">
        <v>9</v>
      </c>
      <c r="BP209" s="229">
        <v>4.7E-2</v>
      </c>
      <c r="BQ209" s="228">
        <v>902</v>
      </c>
      <c r="BR209" s="228">
        <v>882</v>
      </c>
      <c r="BS209" s="228">
        <v>20</v>
      </c>
      <c r="BT209" s="229">
        <v>2.29E-2</v>
      </c>
      <c r="BU209" s="230">
        <v>755781</v>
      </c>
      <c r="BV209" s="230">
        <v>1718891</v>
      </c>
      <c r="BW209" s="230">
        <v>-963110</v>
      </c>
      <c r="BX209" s="229">
        <v>-0.56030000000000002</v>
      </c>
      <c r="BY209" s="230">
        <v>2638</v>
      </c>
      <c r="BZ209" s="230">
        <v>2624</v>
      </c>
      <c r="CA209" s="228">
        <v>14</v>
      </c>
      <c r="CB209" s="229">
        <v>5.1999999999999998E-3</v>
      </c>
      <c r="CC209" s="230">
        <v>2562</v>
      </c>
      <c r="CD209" s="230">
        <v>2564</v>
      </c>
      <c r="CE209" s="228">
        <v>-2</v>
      </c>
      <c r="CF209" s="229">
        <v>-8.9999999999999998E-4</v>
      </c>
      <c r="CG209" s="228">
        <v>69</v>
      </c>
      <c r="CH209" s="228">
        <v>54</v>
      </c>
      <c r="CI209" s="228">
        <v>16</v>
      </c>
      <c r="CJ209" s="229">
        <v>0.28999999999999998</v>
      </c>
      <c r="CK209" s="228">
        <v>7</v>
      </c>
      <c r="CL209" s="228">
        <v>6</v>
      </c>
      <c r="CM209" s="228">
        <v>0</v>
      </c>
      <c r="CN209" s="229">
        <v>4.7600000000000003E-2</v>
      </c>
      <c r="CO209" s="228">
        <v>752</v>
      </c>
      <c r="CP209" s="228">
        <v>743</v>
      </c>
      <c r="CQ209" s="228">
        <v>9</v>
      </c>
      <c r="CR209" s="229">
        <v>1.2E-2</v>
      </c>
      <c r="CS209" s="228">
        <v>517</v>
      </c>
      <c r="CT209" s="228">
        <v>511</v>
      </c>
      <c r="CU209" s="228">
        <v>6</v>
      </c>
      <c r="CV209" s="229">
        <v>1.21E-2</v>
      </c>
      <c r="CW209" s="230">
        <v>3907</v>
      </c>
      <c r="CX209" s="230">
        <v>3878</v>
      </c>
      <c r="CY209" s="228">
        <v>29</v>
      </c>
      <c r="CZ209" s="229">
        <v>7.4000000000000003E-3</v>
      </c>
      <c r="DA209" s="228">
        <v>21.65</v>
      </c>
      <c r="DB209" s="228">
        <v>22.18</v>
      </c>
      <c r="DC209" s="228">
        <v>-0.53</v>
      </c>
      <c r="DD209" s="228">
        <v>-0.53</v>
      </c>
      <c r="DE209" s="228">
        <v>32.020000000000003</v>
      </c>
      <c r="DF209" s="228">
        <v>32.1</v>
      </c>
      <c r="DG209" s="228">
        <v>-10.37</v>
      </c>
      <c r="DH209" s="228">
        <v>-0.08</v>
      </c>
      <c r="DI209" s="228">
        <v>21.53</v>
      </c>
      <c r="DJ209" s="228">
        <v>22.14</v>
      </c>
      <c r="DK209" s="228">
        <v>-0.61</v>
      </c>
      <c r="DL209" s="228">
        <v>-0.61</v>
      </c>
      <c r="DM209" s="228">
        <v>21.92</v>
      </c>
      <c r="DN209" s="228">
        <v>22.29</v>
      </c>
      <c r="DO209" s="228">
        <v>-0.37</v>
      </c>
      <c r="DP209" s="228">
        <v>-0.37</v>
      </c>
      <c r="DQ209" s="228">
        <v>0.69</v>
      </c>
      <c r="DR209" s="228">
        <v>0.69</v>
      </c>
      <c r="DS209" s="228">
        <v>0</v>
      </c>
      <c r="DT209" s="229">
        <v>0</v>
      </c>
      <c r="DU209" s="228">
        <v>770</v>
      </c>
      <c r="DV209" s="228">
        <v>700</v>
      </c>
      <c r="DW209" s="228">
        <v>0.42</v>
      </c>
      <c r="DX209" s="228">
        <v>0.38</v>
      </c>
      <c r="DY209" s="228">
        <v>0.04</v>
      </c>
      <c r="DZ209" s="229">
        <v>0.1053</v>
      </c>
      <c r="EA209" s="229">
        <v>2.87E-2</v>
      </c>
      <c r="EB209" s="230">
        <v>804870</v>
      </c>
      <c r="EC209" s="229">
        <v>6.4000000000000003E-3</v>
      </c>
      <c r="ED209" s="229">
        <v>2.87E-2</v>
      </c>
      <c r="EE209" s="228">
        <v>5.21</v>
      </c>
      <c r="EF209" s="229">
        <v>7.0000000000000001E-3</v>
      </c>
      <c r="EG209" s="230">
        <v>439594</v>
      </c>
      <c r="EH209" s="230">
        <v>973025</v>
      </c>
      <c r="EI209" s="229">
        <v>-0.54820000000000002</v>
      </c>
      <c r="EJ209" s="229">
        <v>0.58160000000000001</v>
      </c>
      <c r="EK209" s="228">
        <v>512.78</v>
      </c>
      <c r="EL209" s="228">
        <v>204.55</v>
      </c>
      <c r="EM209" s="228">
        <v>198.94</v>
      </c>
      <c r="EN209" s="228">
        <v>28.79</v>
      </c>
      <c r="EO209" s="228">
        <v>916.27</v>
      </c>
      <c r="EP209" s="228">
        <v>903.65</v>
      </c>
      <c r="EQ209" s="228">
        <v>12.62</v>
      </c>
      <c r="ER209" s="229">
        <v>1.4E-2</v>
      </c>
      <c r="ES209" s="228">
        <v>780.02</v>
      </c>
      <c r="ET209" s="228">
        <v>502.99</v>
      </c>
      <c r="EU209" s="231">
        <v>2638.37</v>
      </c>
      <c r="EV209" s="231">
        <v>82588393</v>
      </c>
      <c r="EW209" s="231">
        <v>3921.38</v>
      </c>
      <c r="EX209" s="231">
        <v>3902.42</v>
      </c>
      <c r="EY209" s="228">
        <v>18.96</v>
      </c>
      <c r="EZ209" s="229">
        <v>4.8999999999999998E-3</v>
      </c>
      <c r="FA209" s="229">
        <v>0.63480000000000003</v>
      </c>
      <c r="FB209" s="227" t="s">
        <v>567</v>
      </c>
      <c r="FC209">
        <f t="shared" si="4"/>
        <v>0</v>
      </c>
    </row>
    <row r="210" spans="1:159" ht="17.25" thickBot="1" x14ac:dyDescent="0.3">
      <c r="A210" s="226">
        <v>46009</v>
      </c>
      <c r="B210" s="227" t="s">
        <v>168</v>
      </c>
      <c r="C210" s="227" t="s">
        <v>586</v>
      </c>
      <c r="D210" s="228">
        <v>1025</v>
      </c>
      <c r="E210" s="228">
        <v>12</v>
      </c>
      <c r="F210" s="228">
        <v>474.6</v>
      </c>
      <c r="G210" s="228">
        <v>471.95</v>
      </c>
      <c r="H210" s="228">
        <v>2.65</v>
      </c>
      <c r="I210" s="229">
        <v>5.5999999999999999E-3</v>
      </c>
      <c r="J210" s="228">
        <v>473.6</v>
      </c>
      <c r="K210" s="228">
        <v>470.85</v>
      </c>
      <c r="L210" s="228">
        <v>2.75</v>
      </c>
      <c r="M210" s="229">
        <v>5.7999999999999996E-3</v>
      </c>
      <c r="N210" s="228">
        <v>474.6</v>
      </c>
      <c r="O210" s="228">
        <v>471.95</v>
      </c>
      <c r="P210" s="228">
        <v>2.65</v>
      </c>
      <c r="Q210" s="229">
        <v>5.5999999999999999E-3</v>
      </c>
      <c r="R210" s="228">
        <v>477.65</v>
      </c>
      <c r="S210" s="228">
        <v>474.25</v>
      </c>
      <c r="T210" s="228">
        <v>3.4</v>
      </c>
      <c r="U210" s="229">
        <v>7.1999999999999998E-3</v>
      </c>
      <c r="V210" s="228">
        <v>480.55</v>
      </c>
      <c r="W210" s="228">
        <v>476.65</v>
      </c>
      <c r="X210" s="228">
        <v>3.9</v>
      </c>
      <c r="Y210" s="229">
        <v>8.2000000000000007E-3</v>
      </c>
      <c r="Z210" s="228">
        <v>1</v>
      </c>
      <c r="AA210" s="228">
        <v>1.1000000000000001</v>
      </c>
      <c r="AB210" s="228">
        <v>-0.1</v>
      </c>
      <c r="AC210" s="229">
        <v>2.0999999999999999E-3</v>
      </c>
      <c r="AD210" s="228">
        <v>1</v>
      </c>
      <c r="AE210" s="228">
        <v>1.1000000000000001</v>
      </c>
      <c r="AF210" s="228">
        <v>-0.1</v>
      </c>
      <c r="AG210" s="229">
        <v>2.0999999999999999E-3</v>
      </c>
      <c r="AH210" s="228">
        <v>4.05</v>
      </c>
      <c r="AI210" s="228">
        <v>3.4</v>
      </c>
      <c r="AJ210" s="228">
        <v>0.65</v>
      </c>
      <c r="AK210" s="229">
        <v>8.6E-3</v>
      </c>
      <c r="AL210" s="228">
        <v>6.95</v>
      </c>
      <c r="AM210" s="228">
        <v>5.8</v>
      </c>
      <c r="AN210" s="228">
        <v>1.1499999999999999</v>
      </c>
      <c r="AO210" s="229">
        <v>1.47E-2</v>
      </c>
      <c r="AP210" s="228">
        <v>470.43</v>
      </c>
      <c r="AQ210" s="228">
        <v>473.62</v>
      </c>
      <c r="AR210" s="228">
        <v>0</v>
      </c>
      <c r="AS210" s="228">
        <v>295</v>
      </c>
      <c r="AT210" s="228">
        <v>275</v>
      </c>
      <c r="AU210" s="228">
        <v>20</v>
      </c>
      <c r="AV210" s="229">
        <v>7.2900000000000006E-2</v>
      </c>
      <c r="AW210" s="228">
        <v>250</v>
      </c>
      <c r="AX210" s="228">
        <v>247</v>
      </c>
      <c r="AY210" s="228">
        <v>4</v>
      </c>
      <c r="AZ210" s="229">
        <v>1.4200000000000001E-2</v>
      </c>
      <c r="BA210" s="228">
        <v>42</v>
      </c>
      <c r="BB210" s="228">
        <v>26</v>
      </c>
      <c r="BC210" s="228">
        <v>16</v>
      </c>
      <c r="BD210" s="229">
        <v>0.60040000000000004</v>
      </c>
      <c r="BE210" s="228">
        <v>2</v>
      </c>
      <c r="BF210" s="228">
        <v>2</v>
      </c>
      <c r="BG210" s="228">
        <v>1</v>
      </c>
      <c r="BH210" s="229">
        <v>0.4516</v>
      </c>
      <c r="BI210" s="230">
        <v>1182</v>
      </c>
      <c r="BJ210" s="228">
        <v>845</v>
      </c>
      <c r="BK210" s="228">
        <v>337</v>
      </c>
      <c r="BL210" s="229">
        <v>0.3987</v>
      </c>
      <c r="BM210" s="228">
        <v>422</v>
      </c>
      <c r="BN210" s="228">
        <v>373</v>
      </c>
      <c r="BO210" s="228">
        <v>49</v>
      </c>
      <c r="BP210" s="229">
        <v>0.13220000000000001</v>
      </c>
      <c r="BQ210" s="230">
        <v>1898</v>
      </c>
      <c r="BR210" s="230">
        <v>1492</v>
      </c>
      <c r="BS210" s="228">
        <v>406</v>
      </c>
      <c r="BT210" s="229">
        <v>0.2722</v>
      </c>
      <c r="BU210" s="230">
        <v>2899229</v>
      </c>
      <c r="BV210" s="230">
        <v>3565788</v>
      </c>
      <c r="BW210" s="230">
        <v>-666559</v>
      </c>
      <c r="BX210" s="229">
        <v>-0.18690000000000001</v>
      </c>
      <c r="BY210" s="230">
        <v>2225</v>
      </c>
      <c r="BZ210" s="230">
        <v>2233</v>
      </c>
      <c r="CA210" s="228">
        <v>-7</v>
      </c>
      <c r="CB210" s="229">
        <v>-3.3E-3</v>
      </c>
      <c r="CC210" s="230">
        <v>2110</v>
      </c>
      <c r="CD210" s="230">
        <v>2137</v>
      </c>
      <c r="CE210" s="228">
        <v>-27</v>
      </c>
      <c r="CF210" s="229">
        <v>-1.2500000000000001E-2</v>
      </c>
      <c r="CG210" s="228">
        <v>108</v>
      </c>
      <c r="CH210" s="228">
        <v>89</v>
      </c>
      <c r="CI210" s="228">
        <v>19</v>
      </c>
      <c r="CJ210" s="229">
        <v>0.21729999999999999</v>
      </c>
      <c r="CK210" s="228">
        <v>7</v>
      </c>
      <c r="CL210" s="228">
        <v>7</v>
      </c>
      <c r="CM210" s="228">
        <v>0</v>
      </c>
      <c r="CN210" s="229">
        <v>0</v>
      </c>
      <c r="CO210" s="228">
        <v>982</v>
      </c>
      <c r="CP210" s="230">
        <v>1179</v>
      </c>
      <c r="CQ210" s="228">
        <v>-197</v>
      </c>
      <c r="CR210" s="229">
        <v>-0.1673</v>
      </c>
      <c r="CS210" s="228">
        <v>485</v>
      </c>
      <c r="CT210" s="228">
        <v>498</v>
      </c>
      <c r="CU210" s="228">
        <v>-13</v>
      </c>
      <c r="CV210" s="229">
        <v>-2.5999999999999999E-2</v>
      </c>
      <c r="CW210" s="230">
        <v>3693</v>
      </c>
      <c r="CX210" s="230">
        <v>3911</v>
      </c>
      <c r="CY210" s="228">
        <v>-218</v>
      </c>
      <c r="CZ210" s="229">
        <v>-5.57E-2</v>
      </c>
      <c r="DA210" s="228">
        <v>24.39</v>
      </c>
      <c r="DB210" s="228">
        <v>27.34</v>
      </c>
      <c r="DC210" s="228">
        <v>-2.95</v>
      </c>
      <c r="DD210" s="228">
        <v>-2.95</v>
      </c>
      <c r="DE210" s="228">
        <v>37.74</v>
      </c>
      <c r="DF210" s="228">
        <v>37.83</v>
      </c>
      <c r="DG210" s="228">
        <v>-13.35</v>
      </c>
      <c r="DH210" s="228">
        <v>-0.09</v>
      </c>
      <c r="DI210" s="228">
        <v>24.5</v>
      </c>
      <c r="DJ210" s="228">
        <v>27.84</v>
      </c>
      <c r="DK210" s="228">
        <v>-3.34</v>
      </c>
      <c r="DL210" s="228">
        <v>-3.34</v>
      </c>
      <c r="DM210" s="228">
        <v>24.06</v>
      </c>
      <c r="DN210" s="228">
        <v>26.21</v>
      </c>
      <c r="DO210" s="228">
        <v>-2.15</v>
      </c>
      <c r="DP210" s="228">
        <v>-2.15</v>
      </c>
      <c r="DQ210" s="228">
        <v>0.49</v>
      </c>
      <c r="DR210" s="228">
        <v>0.42</v>
      </c>
      <c r="DS210" s="228">
        <v>7.0000000000000007E-2</v>
      </c>
      <c r="DT210" s="229">
        <v>0.16669999999999999</v>
      </c>
      <c r="DU210" s="228">
        <v>500</v>
      </c>
      <c r="DV210" s="228">
        <v>450</v>
      </c>
      <c r="DW210" s="228">
        <v>0.36</v>
      </c>
      <c r="DX210" s="228">
        <v>0.44</v>
      </c>
      <c r="DY210" s="228">
        <v>-0.08</v>
      </c>
      <c r="DZ210" s="229">
        <v>-0.18179999999999999</v>
      </c>
      <c r="EA210" s="229">
        <v>5.1900000000000002E-2</v>
      </c>
      <c r="EB210" s="230">
        <v>2028375</v>
      </c>
      <c r="EC210" s="229">
        <v>6.4000000000000003E-3</v>
      </c>
      <c r="ED210" s="229">
        <v>5.1900000000000002E-2</v>
      </c>
      <c r="EE210" s="228">
        <v>3.19</v>
      </c>
      <c r="EF210" s="229">
        <v>6.7999999999999996E-3</v>
      </c>
      <c r="EG210" s="230">
        <v>1298954</v>
      </c>
      <c r="EH210" s="230">
        <v>1802539</v>
      </c>
      <c r="EI210" s="229">
        <v>-0.27939999999999998</v>
      </c>
      <c r="EJ210" s="229">
        <v>0.44800000000000001</v>
      </c>
      <c r="EK210" s="231">
        <v>1236.24</v>
      </c>
      <c r="EL210" s="228">
        <v>417.35</v>
      </c>
      <c r="EM210" s="228">
        <v>297</v>
      </c>
      <c r="EN210" s="228">
        <v>56.66</v>
      </c>
      <c r="EO210" s="231">
        <v>1950.58</v>
      </c>
      <c r="EP210" s="231">
        <v>1534.11</v>
      </c>
      <c r="EQ210" s="228">
        <v>416.47</v>
      </c>
      <c r="ER210" s="229">
        <v>0.27150000000000002</v>
      </c>
      <c r="ES210" s="231">
        <v>1025.46</v>
      </c>
      <c r="ET210" s="228">
        <v>467.11</v>
      </c>
      <c r="EU210" s="231">
        <v>2226.2800000000002</v>
      </c>
      <c r="EV210" s="231">
        <v>203804339</v>
      </c>
      <c r="EW210" s="231">
        <v>3718.85</v>
      </c>
      <c r="EX210" s="231">
        <v>3936.37</v>
      </c>
      <c r="EY210" s="228">
        <v>-217.52</v>
      </c>
      <c r="EZ210" s="229">
        <v>-5.5300000000000002E-2</v>
      </c>
      <c r="FA210" s="229">
        <v>0.38179999999999997</v>
      </c>
      <c r="FB210" s="227" t="s">
        <v>556</v>
      </c>
      <c r="FC210">
        <f t="shared" si="4"/>
        <v>0</v>
      </c>
    </row>
    <row r="211" spans="1:159" ht="17.25" thickBot="1" x14ac:dyDescent="0.3">
      <c r="A211" s="226">
        <v>46009</v>
      </c>
      <c r="B211" s="227" t="s">
        <v>227</v>
      </c>
      <c r="C211" s="227" t="s">
        <v>304</v>
      </c>
      <c r="D211" s="228">
        <v>1150</v>
      </c>
      <c r="E211" s="228">
        <v>12</v>
      </c>
      <c r="F211" s="228">
        <v>579.35</v>
      </c>
      <c r="G211" s="228">
        <v>570.1</v>
      </c>
      <c r="H211" s="228">
        <v>9.25</v>
      </c>
      <c r="I211" s="229">
        <v>1.6199999999999999E-2</v>
      </c>
      <c r="J211" s="228">
        <v>579.15</v>
      </c>
      <c r="K211" s="228">
        <v>569.79999999999995</v>
      </c>
      <c r="L211" s="228">
        <v>9.35</v>
      </c>
      <c r="M211" s="229">
        <v>1.6400000000000001E-2</v>
      </c>
      <c r="N211" s="228">
        <v>579.35</v>
      </c>
      <c r="O211" s="228">
        <v>570.1</v>
      </c>
      <c r="P211" s="228">
        <v>9.25</v>
      </c>
      <c r="Q211" s="229">
        <v>1.6199999999999999E-2</v>
      </c>
      <c r="R211" s="228">
        <v>582.1</v>
      </c>
      <c r="S211" s="228">
        <v>572.6</v>
      </c>
      <c r="T211" s="228">
        <v>9.5</v>
      </c>
      <c r="U211" s="229">
        <v>1.66E-2</v>
      </c>
      <c r="V211" s="228">
        <v>582.9</v>
      </c>
      <c r="W211" s="228">
        <v>573.75</v>
      </c>
      <c r="X211" s="228">
        <v>9.15</v>
      </c>
      <c r="Y211" s="229">
        <v>1.5900000000000001E-2</v>
      </c>
      <c r="Z211" s="228">
        <v>0.2</v>
      </c>
      <c r="AA211" s="228">
        <v>0.3</v>
      </c>
      <c r="AB211" s="228">
        <v>-0.1</v>
      </c>
      <c r="AC211" s="229">
        <v>2.9999999999999997E-4</v>
      </c>
      <c r="AD211" s="228">
        <v>0.2</v>
      </c>
      <c r="AE211" s="228">
        <v>0.3</v>
      </c>
      <c r="AF211" s="228">
        <v>-0.1</v>
      </c>
      <c r="AG211" s="229">
        <v>2.9999999999999997E-4</v>
      </c>
      <c r="AH211" s="228">
        <v>2.95</v>
      </c>
      <c r="AI211" s="228">
        <v>2.8</v>
      </c>
      <c r="AJ211" s="228">
        <v>0.15</v>
      </c>
      <c r="AK211" s="229">
        <v>5.1000000000000004E-3</v>
      </c>
      <c r="AL211" s="228">
        <v>3.75</v>
      </c>
      <c r="AM211" s="228">
        <v>3.95</v>
      </c>
      <c r="AN211" s="228">
        <v>-0.2</v>
      </c>
      <c r="AO211" s="229">
        <v>6.4999999999999997E-3</v>
      </c>
      <c r="AP211" s="228">
        <v>577</v>
      </c>
      <c r="AQ211" s="228">
        <v>578.82000000000005</v>
      </c>
      <c r="AR211" s="228">
        <v>0</v>
      </c>
      <c r="AS211" s="230">
        <v>1389</v>
      </c>
      <c r="AT211" s="230">
        <v>2064</v>
      </c>
      <c r="AU211" s="228">
        <v>-675</v>
      </c>
      <c r="AV211" s="229">
        <v>-0.32719999999999999</v>
      </c>
      <c r="AW211" s="230">
        <v>1123</v>
      </c>
      <c r="AX211" s="230">
        <v>1717</v>
      </c>
      <c r="AY211" s="228">
        <v>-594</v>
      </c>
      <c r="AZ211" s="229">
        <v>-0.34599999999999997</v>
      </c>
      <c r="BA211" s="228">
        <v>229</v>
      </c>
      <c r="BB211" s="228">
        <v>320</v>
      </c>
      <c r="BC211" s="228">
        <v>-90</v>
      </c>
      <c r="BD211" s="229">
        <v>-0.28289999999999998</v>
      </c>
      <c r="BE211" s="228">
        <v>37</v>
      </c>
      <c r="BF211" s="228">
        <v>28</v>
      </c>
      <c r="BG211" s="228">
        <v>9</v>
      </c>
      <c r="BH211" s="229">
        <v>0.3221</v>
      </c>
      <c r="BI211" s="230">
        <v>6366</v>
      </c>
      <c r="BJ211" s="230">
        <v>9585</v>
      </c>
      <c r="BK211" s="230">
        <v>-3219</v>
      </c>
      <c r="BL211" s="229">
        <v>-0.33579999999999999</v>
      </c>
      <c r="BM211" s="230">
        <v>3835</v>
      </c>
      <c r="BN211" s="230">
        <v>4999</v>
      </c>
      <c r="BO211" s="230">
        <v>-1165</v>
      </c>
      <c r="BP211" s="229">
        <v>-0.23300000000000001</v>
      </c>
      <c r="BQ211" s="230">
        <v>11589</v>
      </c>
      <c r="BR211" s="230">
        <v>16648</v>
      </c>
      <c r="BS211" s="230">
        <v>-5059</v>
      </c>
      <c r="BT211" s="229">
        <v>-0.3039</v>
      </c>
      <c r="BU211" s="230">
        <v>15654512</v>
      </c>
      <c r="BV211" s="230">
        <v>31591329</v>
      </c>
      <c r="BW211" s="230">
        <v>-15936817</v>
      </c>
      <c r="BX211" s="229">
        <v>-0.50449999999999995</v>
      </c>
      <c r="BY211" s="230">
        <v>6249</v>
      </c>
      <c r="BZ211" s="230">
        <v>6221</v>
      </c>
      <c r="CA211" s="228">
        <v>27</v>
      </c>
      <c r="CB211" s="229">
        <v>4.4000000000000003E-3</v>
      </c>
      <c r="CC211" s="230">
        <v>5843</v>
      </c>
      <c r="CD211" s="230">
        <v>5853</v>
      </c>
      <c r="CE211" s="228">
        <v>-11</v>
      </c>
      <c r="CF211" s="229">
        <v>-1.8E-3</v>
      </c>
      <c r="CG211" s="228">
        <v>360</v>
      </c>
      <c r="CH211" s="228">
        <v>328</v>
      </c>
      <c r="CI211" s="228">
        <v>32</v>
      </c>
      <c r="CJ211" s="229">
        <v>9.6799999999999997E-2</v>
      </c>
      <c r="CK211" s="228">
        <v>46</v>
      </c>
      <c r="CL211" s="228">
        <v>40</v>
      </c>
      <c r="CM211" s="228">
        <v>6</v>
      </c>
      <c r="CN211" s="229">
        <v>0.1633</v>
      </c>
      <c r="CO211" s="230">
        <v>3106</v>
      </c>
      <c r="CP211" s="230">
        <v>3261</v>
      </c>
      <c r="CQ211" s="228">
        <v>-155</v>
      </c>
      <c r="CR211" s="229">
        <v>-4.7600000000000003E-2</v>
      </c>
      <c r="CS211" s="230">
        <v>3187</v>
      </c>
      <c r="CT211" s="230">
        <v>2948</v>
      </c>
      <c r="CU211" s="228">
        <v>239</v>
      </c>
      <c r="CV211" s="229">
        <v>8.1100000000000005E-2</v>
      </c>
      <c r="CW211" s="230">
        <v>12541</v>
      </c>
      <c r="CX211" s="230">
        <v>12430</v>
      </c>
      <c r="CY211" s="228">
        <v>111</v>
      </c>
      <c r="CZ211" s="229">
        <v>8.9999999999999993E-3</v>
      </c>
      <c r="DA211" s="228">
        <v>25.39</v>
      </c>
      <c r="DB211" s="228">
        <v>27.66</v>
      </c>
      <c r="DC211" s="228">
        <v>-2.27</v>
      </c>
      <c r="DD211" s="228">
        <v>-2.27</v>
      </c>
      <c r="DE211" s="228">
        <v>37.090000000000003</v>
      </c>
      <c r="DF211" s="228">
        <v>37.119999999999997</v>
      </c>
      <c r="DG211" s="228">
        <v>-11.7</v>
      </c>
      <c r="DH211" s="228">
        <v>-0.03</v>
      </c>
      <c r="DI211" s="228">
        <v>24.44</v>
      </c>
      <c r="DJ211" s="228">
        <v>27.52</v>
      </c>
      <c r="DK211" s="228">
        <v>-3.08</v>
      </c>
      <c r="DL211" s="228">
        <v>-3.08</v>
      </c>
      <c r="DM211" s="228">
        <v>26.98</v>
      </c>
      <c r="DN211" s="228">
        <v>27.94</v>
      </c>
      <c r="DO211" s="228">
        <v>-0.96</v>
      </c>
      <c r="DP211" s="228">
        <v>-0.96</v>
      </c>
      <c r="DQ211" s="228">
        <v>1.03</v>
      </c>
      <c r="DR211" s="228">
        <v>0.9</v>
      </c>
      <c r="DS211" s="228">
        <v>0.13</v>
      </c>
      <c r="DT211" s="229">
        <v>0.1444</v>
      </c>
      <c r="DU211" s="228">
        <v>600</v>
      </c>
      <c r="DV211" s="228">
        <v>550</v>
      </c>
      <c r="DW211" s="228">
        <v>0.6</v>
      </c>
      <c r="DX211" s="228">
        <v>0.52</v>
      </c>
      <c r="DY211" s="228">
        <v>0.08</v>
      </c>
      <c r="DZ211" s="229">
        <v>0.15379999999999999</v>
      </c>
      <c r="EA211" s="229">
        <v>6.5000000000000002E-2</v>
      </c>
      <c r="EB211" s="230">
        <v>6350300</v>
      </c>
      <c r="EC211" s="229">
        <v>4.7000000000000002E-3</v>
      </c>
      <c r="ED211" s="229">
        <v>6.5000000000000002E-2</v>
      </c>
      <c r="EE211" s="228">
        <v>1.82</v>
      </c>
      <c r="EF211" s="229">
        <v>3.2000000000000002E-3</v>
      </c>
      <c r="EG211" s="230">
        <v>6861399</v>
      </c>
      <c r="EH211" s="230">
        <v>12338576</v>
      </c>
      <c r="EI211" s="229">
        <v>-0.44390000000000002</v>
      </c>
      <c r="EJ211" s="229">
        <v>0.43830000000000002</v>
      </c>
      <c r="EK211" s="231">
        <v>6535.86</v>
      </c>
      <c r="EL211" s="231">
        <v>3710.1</v>
      </c>
      <c r="EM211" s="231">
        <v>1383.93</v>
      </c>
      <c r="EN211" s="228">
        <v>292.61</v>
      </c>
      <c r="EO211" s="231">
        <v>11629.89</v>
      </c>
      <c r="EP211" s="231">
        <v>16714.34</v>
      </c>
      <c r="EQ211" s="231">
        <v>-5084.45</v>
      </c>
      <c r="ER211" s="229">
        <v>-0.30420000000000003</v>
      </c>
      <c r="ES211" s="231">
        <v>3060.38</v>
      </c>
      <c r="ET211" s="231">
        <v>2922.04</v>
      </c>
      <c r="EU211" s="231">
        <v>6250.84</v>
      </c>
      <c r="EV211" s="231">
        <v>255091106</v>
      </c>
      <c r="EW211" s="231">
        <v>12233.25</v>
      </c>
      <c r="EX211" s="231">
        <v>12009.32</v>
      </c>
      <c r="EY211" s="228">
        <v>223.93</v>
      </c>
      <c r="EZ211" s="229">
        <v>1.8599999999999998E-2</v>
      </c>
      <c r="FA211" s="229">
        <v>0.84860000000000002</v>
      </c>
      <c r="FB211" s="227" t="s">
        <v>555</v>
      </c>
      <c r="FC211">
        <f t="shared" si="4"/>
        <v>0</v>
      </c>
    </row>
    <row r="212" spans="1:159" ht="17.25" thickBot="1" x14ac:dyDescent="0.3">
      <c r="A212" s="226">
        <v>46009</v>
      </c>
      <c r="B212" s="227" t="s">
        <v>184</v>
      </c>
      <c r="C212" s="227" t="s">
        <v>305</v>
      </c>
      <c r="D212" s="228">
        <v>375</v>
      </c>
      <c r="E212" s="228">
        <v>12</v>
      </c>
      <c r="F212" s="231">
        <v>1404.6</v>
      </c>
      <c r="G212" s="231">
        <v>1383.1</v>
      </c>
      <c r="H212" s="228">
        <v>21.5</v>
      </c>
      <c r="I212" s="229">
        <v>1.55E-2</v>
      </c>
      <c r="J212" s="231">
        <v>1401.7</v>
      </c>
      <c r="K212" s="231">
        <v>1380.5</v>
      </c>
      <c r="L212" s="228">
        <v>21.2</v>
      </c>
      <c r="M212" s="229">
        <v>1.54E-2</v>
      </c>
      <c r="N212" s="231">
        <v>1404.6</v>
      </c>
      <c r="O212" s="231">
        <v>1383.1</v>
      </c>
      <c r="P212" s="228">
        <v>21.5</v>
      </c>
      <c r="Q212" s="229">
        <v>1.55E-2</v>
      </c>
      <c r="R212" s="231">
        <v>1397.8</v>
      </c>
      <c r="S212" s="231">
        <v>1370.4</v>
      </c>
      <c r="T212" s="228">
        <v>27.4</v>
      </c>
      <c r="U212" s="229">
        <v>0.02</v>
      </c>
      <c r="V212" s="231">
        <v>1392.6</v>
      </c>
      <c r="W212" s="231">
        <v>1365.4</v>
      </c>
      <c r="X212" s="228">
        <v>27.2</v>
      </c>
      <c r="Y212" s="229">
        <v>1.9900000000000001E-2</v>
      </c>
      <c r="Z212" s="228">
        <v>2.9</v>
      </c>
      <c r="AA212" s="228">
        <v>2.6</v>
      </c>
      <c r="AB212" s="228">
        <v>0.3</v>
      </c>
      <c r="AC212" s="229">
        <v>2.0999999999999999E-3</v>
      </c>
      <c r="AD212" s="228">
        <v>2.9</v>
      </c>
      <c r="AE212" s="228">
        <v>2.6</v>
      </c>
      <c r="AF212" s="228">
        <v>0.3</v>
      </c>
      <c r="AG212" s="229">
        <v>2.0999999999999999E-3</v>
      </c>
      <c r="AH212" s="228">
        <v>-3.9</v>
      </c>
      <c r="AI212" s="228">
        <v>-10.1</v>
      </c>
      <c r="AJ212" s="228">
        <v>6.2</v>
      </c>
      <c r="AK212" s="229">
        <v>-2.8E-3</v>
      </c>
      <c r="AL212" s="228">
        <v>-9.1</v>
      </c>
      <c r="AM212" s="228">
        <v>-15.1</v>
      </c>
      <c r="AN212" s="228">
        <v>6</v>
      </c>
      <c r="AO212" s="229">
        <v>-6.4999999999999997E-3</v>
      </c>
      <c r="AP212" s="231">
        <v>1406.27</v>
      </c>
      <c r="AQ212" s="231">
        <v>1397.18</v>
      </c>
      <c r="AR212" s="228">
        <v>0</v>
      </c>
      <c r="AS212" s="228">
        <v>584</v>
      </c>
      <c r="AT212" s="228">
        <v>203</v>
      </c>
      <c r="AU212" s="228">
        <v>381</v>
      </c>
      <c r="AV212" s="229">
        <v>1.8777999999999999</v>
      </c>
      <c r="AW212" s="228">
        <v>402</v>
      </c>
      <c r="AX212" s="228">
        <v>162</v>
      </c>
      <c r="AY212" s="228">
        <v>241</v>
      </c>
      <c r="AZ212" s="229">
        <v>1.4897</v>
      </c>
      <c r="BA212" s="228">
        <v>177</v>
      </c>
      <c r="BB212" s="228">
        <v>40</v>
      </c>
      <c r="BC212" s="228">
        <v>137</v>
      </c>
      <c r="BD212" s="229">
        <v>3.4634</v>
      </c>
      <c r="BE212" s="228">
        <v>5</v>
      </c>
      <c r="BF212" s="228">
        <v>2</v>
      </c>
      <c r="BG212" s="228">
        <v>3</v>
      </c>
      <c r="BH212" s="229">
        <v>1.8571</v>
      </c>
      <c r="BI212" s="230">
        <v>1897</v>
      </c>
      <c r="BJ212" s="228">
        <v>418</v>
      </c>
      <c r="BK212" s="230">
        <v>1479</v>
      </c>
      <c r="BL212" s="229">
        <v>3.5384000000000002</v>
      </c>
      <c r="BM212" s="228">
        <v>692</v>
      </c>
      <c r="BN212" s="228">
        <v>242</v>
      </c>
      <c r="BO212" s="228">
        <v>451</v>
      </c>
      <c r="BP212" s="229">
        <v>1.863</v>
      </c>
      <c r="BQ212" s="230">
        <v>3174</v>
      </c>
      <c r="BR212" s="228">
        <v>863</v>
      </c>
      <c r="BS212" s="230">
        <v>2311</v>
      </c>
      <c r="BT212" s="229">
        <v>2.6781999999999999</v>
      </c>
      <c r="BU212" s="230">
        <v>1081011</v>
      </c>
      <c r="BV212" s="230">
        <v>666857</v>
      </c>
      <c r="BW212" s="230">
        <v>414154</v>
      </c>
      <c r="BX212" s="229">
        <v>0.62109999999999999</v>
      </c>
      <c r="BY212" s="230">
        <v>1686</v>
      </c>
      <c r="BZ212" s="230">
        <v>1623</v>
      </c>
      <c r="CA212" s="228">
        <v>64</v>
      </c>
      <c r="CB212" s="229">
        <v>3.9199999999999999E-2</v>
      </c>
      <c r="CC212" s="230">
        <v>1340</v>
      </c>
      <c r="CD212" s="230">
        <v>1392</v>
      </c>
      <c r="CE212" s="228">
        <v>-52</v>
      </c>
      <c r="CF212" s="229">
        <v>-3.73E-2</v>
      </c>
      <c r="CG212" s="228">
        <v>337</v>
      </c>
      <c r="CH212" s="228">
        <v>222</v>
      </c>
      <c r="CI212" s="228">
        <v>115</v>
      </c>
      <c r="CJ212" s="229">
        <v>0.51500000000000001</v>
      </c>
      <c r="CK212" s="228">
        <v>9</v>
      </c>
      <c r="CL212" s="228">
        <v>8</v>
      </c>
      <c r="CM212" s="228">
        <v>1</v>
      </c>
      <c r="CN212" s="229">
        <v>0.1338</v>
      </c>
      <c r="CO212" s="228">
        <v>494</v>
      </c>
      <c r="CP212" s="228">
        <v>459</v>
      </c>
      <c r="CQ212" s="228">
        <v>36</v>
      </c>
      <c r="CR212" s="229">
        <v>7.7600000000000002E-2</v>
      </c>
      <c r="CS212" s="228">
        <v>398</v>
      </c>
      <c r="CT212" s="228">
        <v>353</v>
      </c>
      <c r="CU212" s="228">
        <v>45</v>
      </c>
      <c r="CV212" s="229">
        <v>0.1275</v>
      </c>
      <c r="CW212" s="230">
        <v>2579</v>
      </c>
      <c r="CX212" s="230">
        <v>2435</v>
      </c>
      <c r="CY212" s="228">
        <v>144</v>
      </c>
      <c r="CZ212" s="229">
        <v>5.9299999999999999E-2</v>
      </c>
      <c r="DA212" s="228">
        <v>23.83</v>
      </c>
      <c r="DB212" s="228">
        <v>23.82</v>
      </c>
      <c r="DC212" s="228">
        <v>0.01</v>
      </c>
      <c r="DD212" s="228">
        <v>0.01</v>
      </c>
      <c r="DE212" s="228">
        <v>36.299999999999997</v>
      </c>
      <c r="DF212" s="228">
        <v>36.33</v>
      </c>
      <c r="DG212" s="228">
        <v>-12.47</v>
      </c>
      <c r="DH212" s="228">
        <v>-0.03</v>
      </c>
      <c r="DI212" s="228">
        <v>23.77</v>
      </c>
      <c r="DJ212" s="228">
        <v>23.69</v>
      </c>
      <c r="DK212" s="228">
        <v>0.08</v>
      </c>
      <c r="DL212" s="228">
        <v>0.08</v>
      </c>
      <c r="DM212" s="228">
        <v>24</v>
      </c>
      <c r="DN212" s="228">
        <v>24.04</v>
      </c>
      <c r="DO212" s="228">
        <v>-0.04</v>
      </c>
      <c r="DP212" s="228">
        <v>-0.04</v>
      </c>
      <c r="DQ212" s="228">
        <v>0.81</v>
      </c>
      <c r="DR212" s="228">
        <v>0.77</v>
      </c>
      <c r="DS212" s="228">
        <v>0.04</v>
      </c>
      <c r="DT212" s="229">
        <v>5.1900000000000002E-2</v>
      </c>
      <c r="DU212" s="231">
        <v>1420</v>
      </c>
      <c r="DV212" s="231">
        <v>1360</v>
      </c>
      <c r="DW212" s="228">
        <v>0.36</v>
      </c>
      <c r="DX212" s="228">
        <v>0.57999999999999996</v>
      </c>
      <c r="DY212" s="228">
        <v>-0.22</v>
      </c>
      <c r="DZ212" s="229">
        <v>-0.37930000000000003</v>
      </c>
      <c r="EA212" s="229">
        <v>0.20530000000000001</v>
      </c>
      <c r="EB212" s="230">
        <v>1641750</v>
      </c>
      <c r="EC212" s="229">
        <v>-4.7999999999999996E-3</v>
      </c>
      <c r="ED212" s="229">
        <v>0.20530000000000001</v>
      </c>
      <c r="EE212" s="228">
        <v>-9.09</v>
      </c>
      <c r="EF212" s="229">
        <v>-6.4999999999999997E-3</v>
      </c>
      <c r="EG212" s="230">
        <v>414432</v>
      </c>
      <c r="EH212" s="230">
        <v>438834</v>
      </c>
      <c r="EI212" s="229">
        <v>-5.5599999999999997E-2</v>
      </c>
      <c r="EJ212" s="229">
        <v>0.38340000000000002</v>
      </c>
      <c r="EK212" s="231">
        <v>1948.65</v>
      </c>
      <c r="EL212" s="228">
        <v>682.21</v>
      </c>
      <c r="EM212" s="228">
        <v>583.54</v>
      </c>
      <c r="EN212" s="228">
        <v>37.799999999999997</v>
      </c>
      <c r="EO212" s="231">
        <v>3214.4</v>
      </c>
      <c r="EP212" s="228">
        <v>860.21</v>
      </c>
      <c r="EQ212" s="231">
        <v>2354.19</v>
      </c>
      <c r="ER212" s="229">
        <v>2.7368000000000001</v>
      </c>
      <c r="ES212" s="228">
        <v>501.97</v>
      </c>
      <c r="ET212" s="228">
        <v>381.29</v>
      </c>
      <c r="EU212" s="231">
        <v>1684.55</v>
      </c>
      <c r="EV212" s="231">
        <v>34594689</v>
      </c>
      <c r="EW212" s="231">
        <v>2567.81</v>
      </c>
      <c r="EX212" s="231">
        <v>2393.23</v>
      </c>
      <c r="EY212" s="228">
        <v>174.58</v>
      </c>
      <c r="EZ212" s="229">
        <v>7.2900000000000006E-2</v>
      </c>
      <c r="FA212" s="229">
        <v>0.53069999999999995</v>
      </c>
      <c r="FB212" s="227" t="s">
        <v>555</v>
      </c>
      <c r="FC212">
        <f t="shared" si="4"/>
        <v>0</v>
      </c>
    </row>
    <row r="213" spans="1:159" ht="17.25" thickBot="1" x14ac:dyDescent="0.3">
      <c r="A213" s="226">
        <v>46009</v>
      </c>
      <c r="B213" s="227" t="s">
        <v>221</v>
      </c>
      <c r="C213" s="227" t="s">
        <v>306</v>
      </c>
      <c r="D213" s="228">
        <v>3000</v>
      </c>
      <c r="E213" s="228">
        <v>12</v>
      </c>
      <c r="F213" s="228">
        <v>264.31</v>
      </c>
      <c r="G213" s="228">
        <v>261.27999999999997</v>
      </c>
      <c r="H213" s="228">
        <v>3.03</v>
      </c>
      <c r="I213" s="229">
        <v>1.1599999999999999E-2</v>
      </c>
      <c r="J213" s="228">
        <v>263.85000000000002</v>
      </c>
      <c r="K213" s="228">
        <v>261.14</v>
      </c>
      <c r="L213" s="228">
        <v>2.71</v>
      </c>
      <c r="M213" s="229">
        <v>1.04E-2</v>
      </c>
      <c r="N213" s="228">
        <v>264.31</v>
      </c>
      <c r="O213" s="228">
        <v>261.27999999999997</v>
      </c>
      <c r="P213" s="228">
        <v>3.03</v>
      </c>
      <c r="Q213" s="229">
        <v>1.1599999999999999E-2</v>
      </c>
      <c r="R213" s="228">
        <v>262.86</v>
      </c>
      <c r="S213" s="228">
        <v>260.16000000000003</v>
      </c>
      <c r="T213" s="228">
        <v>2.7</v>
      </c>
      <c r="U213" s="229">
        <v>1.04E-2</v>
      </c>
      <c r="V213" s="228">
        <v>262.35000000000002</v>
      </c>
      <c r="W213" s="228">
        <v>259.56</v>
      </c>
      <c r="X213" s="228">
        <v>2.79</v>
      </c>
      <c r="Y213" s="229">
        <v>1.0699999999999999E-2</v>
      </c>
      <c r="Z213" s="228">
        <v>0.46</v>
      </c>
      <c r="AA213" s="228">
        <v>0.14000000000000001</v>
      </c>
      <c r="AB213" s="228">
        <v>0.32</v>
      </c>
      <c r="AC213" s="229">
        <v>1.6999999999999999E-3</v>
      </c>
      <c r="AD213" s="228">
        <v>0.46</v>
      </c>
      <c r="AE213" s="228">
        <v>0.14000000000000001</v>
      </c>
      <c r="AF213" s="228">
        <v>0.32</v>
      </c>
      <c r="AG213" s="229">
        <v>1.6999999999999999E-3</v>
      </c>
      <c r="AH213" s="228">
        <v>-0.99</v>
      </c>
      <c r="AI213" s="228">
        <v>-0.98</v>
      </c>
      <c r="AJ213" s="228">
        <v>-0.01</v>
      </c>
      <c r="AK213" s="229">
        <v>-3.8E-3</v>
      </c>
      <c r="AL213" s="228">
        <v>-1.5</v>
      </c>
      <c r="AM213" s="228">
        <v>-1.58</v>
      </c>
      <c r="AN213" s="228">
        <v>0.08</v>
      </c>
      <c r="AO213" s="229">
        <v>-5.7000000000000002E-3</v>
      </c>
      <c r="AP213" s="228">
        <v>263.88</v>
      </c>
      <c r="AQ213" s="228">
        <v>262.41000000000003</v>
      </c>
      <c r="AR213" s="228">
        <v>0</v>
      </c>
      <c r="AS213" s="228">
        <v>661</v>
      </c>
      <c r="AT213" s="228">
        <v>256</v>
      </c>
      <c r="AU213" s="228">
        <v>404</v>
      </c>
      <c r="AV213" s="229">
        <v>1.5767</v>
      </c>
      <c r="AW213" s="228">
        <v>461</v>
      </c>
      <c r="AX213" s="228">
        <v>194</v>
      </c>
      <c r="AY213" s="228">
        <v>267</v>
      </c>
      <c r="AZ213" s="229">
        <v>1.3728</v>
      </c>
      <c r="BA213" s="228">
        <v>185</v>
      </c>
      <c r="BB213" s="228">
        <v>58</v>
      </c>
      <c r="BC213" s="228">
        <v>128</v>
      </c>
      <c r="BD213" s="229">
        <v>2.2145999999999999</v>
      </c>
      <c r="BE213" s="228">
        <v>14</v>
      </c>
      <c r="BF213" s="228">
        <v>4</v>
      </c>
      <c r="BG213" s="228">
        <v>10</v>
      </c>
      <c r="BH213" s="229">
        <v>2.2364000000000002</v>
      </c>
      <c r="BI213" s="230">
        <v>2066</v>
      </c>
      <c r="BJ213" s="230">
        <v>1007</v>
      </c>
      <c r="BK213" s="230">
        <v>1060</v>
      </c>
      <c r="BL213" s="229">
        <v>1.0528999999999999</v>
      </c>
      <c r="BM213" s="228">
        <v>999</v>
      </c>
      <c r="BN213" s="228">
        <v>537</v>
      </c>
      <c r="BO213" s="228">
        <v>462</v>
      </c>
      <c r="BP213" s="229">
        <v>0.85980000000000001</v>
      </c>
      <c r="BQ213" s="230">
        <v>3726</v>
      </c>
      <c r="BR213" s="230">
        <v>1800</v>
      </c>
      <c r="BS213" s="230">
        <v>1926</v>
      </c>
      <c r="BT213" s="229">
        <v>1.0699000000000001</v>
      </c>
      <c r="BU213" s="230">
        <v>9402637</v>
      </c>
      <c r="BV213" s="230">
        <v>5106624</v>
      </c>
      <c r="BW213" s="230">
        <v>4296013</v>
      </c>
      <c r="BX213" s="229">
        <v>0.84130000000000005</v>
      </c>
      <c r="BY213" s="230">
        <v>3198</v>
      </c>
      <c r="BZ213" s="230">
        <v>3184</v>
      </c>
      <c r="CA213" s="228">
        <v>14</v>
      </c>
      <c r="CB213" s="229">
        <v>4.3E-3</v>
      </c>
      <c r="CC213" s="230">
        <v>2933</v>
      </c>
      <c r="CD213" s="230">
        <v>2985</v>
      </c>
      <c r="CE213" s="228">
        <v>-52</v>
      </c>
      <c r="CF213" s="229">
        <v>-1.7299999999999999E-2</v>
      </c>
      <c r="CG213" s="228">
        <v>231</v>
      </c>
      <c r="CH213" s="228">
        <v>172</v>
      </c>
      <c r="CI213" s="228">
        <v>59</v>
      </c>
      <c r="CJ213" s="229">
        <v>0.34100000000000003</v>
      </c>
      <c r="CK213" s="228">
        <v>34</v>
      </c>
      <c r="CL213" s="228">
        <v>27</v>
      </c>
      <c r="CM213" s="228">
        <v>7</v>
      </c>
      <c r="CN213" s="229">
        <v>0.2442</v>
      </c>
      <c r="CO213" s="230">
        <v>1250</v>
      </c>
      <c r="CP213" s="230">
        <v>1218</v>
      </c>
      <c r="CQ213" s="228">
        <v>32</v>
      </c>
      <c r="CR213" s="229">
        <v>2.63E-2</v>
      </c>
      <c r="CS213" s="230">
        <v>1070</v>
      </c>
      <c r="CT213" s="228">
        <v>987</v>
      </c>
      <c r="CU213" s="228">
        <v>82</v>
      </c>
      <c r="CV213" s="229">
        <v>8.3299999999999999E-2</v>
      </c>
      <c r="CW213" s="230">
        <v>5517</v>
      </c>
      <c r="CX213" s="230">
        <v>5389</v>
      </c>
      <c r="CY213" s="228">
        <v>128</v>
      </c>
      <c r="CZ213" s="229">
        <v>2.3699999999999999E-2</v>
      </c>
      <c r="DA213" s="228">
        <v>19.059999999999999</v>
      </c>
      <c r="DB213" s="228">
        <v>19.43</v>
      </c>
      <c r="DC213" s="228">
        <v>-0.37</v>
      </c>
      <c r="DD213" s="228">
        <v>-0.37</v>
      </c>
      <c r="DE213" s="228">
        <v>29.53</v>
      </c>
      <c r="DF213" s="228">
        <v>29.56</v>
      </c>
      <c r="DG213" s="228">
        <v>-10.47</v>
      </c>
      <c r="DH213" s="228">
        <v>-0.03</v>
      </c>
      <c r="DI213" s="228">
        <v>18.27</v>
      </c>
      <c r="DJ213" s="228">
        <v>19.13</v>
      </c>
      <c r="DK213" s="228">
        <v>-0.86</v>
      </c>
      <c r="DL213" s="228">
        <v>-0.86</v>
      </c>
      <c r="DM213" s="228">
        <v>20.69</v>
      </c>
      <c r="DN213" s="228">
        <v>20.010000000000002</v>
      </c>
      <c r="DO213" s="228">
        <v>0.68</v>
      </c>
      <c r="DP213" s="228">
        <v>0.68</v>
      </c>
      <c r="DQ213" s="228">
        <v>0.86</v>
      </c>
      <c r="DR213" s="228">
        <v>0.81</v>
      </c>
      <c r="DS213" s="228">
        <v>0.05</v>
      </c>
      <c r="DT213" s="229">
        <v>6.1699999999999998E-2</v>
      </c>
      <c r="DU213" s="228">
        <v>265</v>
      </c>
      <c r="DV213" s="228">
        <v>250</v>
      </c>
      <c r="DW213" s="228">
        <v>0.48</v>
      </c>
      <c r="DX213" s="228">
        <v>0.53</v>
      </c>
      <c r="DY213" s="228">
        <v>-0.05</v>
      </c>
      <c r="DZ213" s="229">
        <v>-9.4299999999999995E-2</v>
      </c>
      <c r="EA213" s="229">
        <v>8.2799999999999999E-2</v>
      </c>
      <c r="EB213" s="230">
        <v>7542000</v>
      </c>
      <c r="EC213" s="229">
        <v>-5.4999999999999997E-3</v>
      </c>
      <c r="ED213" s="229">
        <v>8.2799999999999999E-2</v>
      </c>
      <c r="EE213" s="228">
        <v>-1.47</v>
      </c>
      <c r="EF213" s="229">
        <v>-5.5999999999999999E-3</v>
      </c>
      <c r="EG213" s="230">
        <v>4078240</v>
      </c>
      <c r="EH213" s="230">
        <v>2934437</v>
      </c>
      <c r="EI213" s="229">
        <v>0.38979999999999998</v>
      </c>
      <c r="EJ213" s="229">
        <v>0.43369999999999997</v>
      </c>
      <c r="EK213" s="231">
        <v>2108.48</v>
      </c>
      <c r="EL213" s="228">
        <v>975.87</v>
      </c>
      <c r="EM213" s="228">
        <v>658.53</v>
      </c>
      <c r="EN213" s="228">
        <v>37.14</v>
      </c>
      <c r="EO213" s="231">
        <v>3742.88</v>
      </c>
      <c r="EP213" s="231">
        <v>1799.66</v>
      </c>
      <c r="EQ213" s="231">
        <v>1943.22</v>
      </c>
      <c r="ER213" s="229">
        <v>1.0798000000000001</v>
      </c>
      <c r="ES213" s="231">
        <v>1260.21</v>
      </c>
      <c r="ET213" s="231">
        <v>1003.13</v>
      </c>
      <c r="EU213" s="231">
        <v>3196.05</v>
      </c>
      <c r="EV213" s="231">
        <v>292948819</v>
      </c>
      <c r="EW213" s="231">
        <v>5459.39</v>
      </c>
      <c r="EX213" s="231">
        <v>5293.32</v>
      </c>
      <c r="EY213" s="228">
        <v>166.07</v>
      </c>
      <c r="EZ213" s="229">
        <v>3.1399999999999997E-2</v>
      </c>
      <c r="FA213" s="229">
        <v>0.71250000000000002</v>
      </c>
      <c r="FB213" s="227" t="s">
        <v>555</v>
      </c>
      <c r="FC213">
        <f t="shared" si="4"/>
        <v>0</v>
      </c>
    </row>
    <row r="214" spans="1:159" ht="17.25" thickBot="1" x14ac:dyDescent="0.3">
      <c r="A214" s="226">
        <v>46009</v>
      </c>
      <c r="B214" s="227" t="s">
        <v>172</v>
      </c>
      <c r="C214" s="227" t="s">
        <v>590</v>
      </c>
      <c r="D214" s="228">
        <v>31100</v>
      </c>
      <c r="E214" s="228">
        <v>12</v>
      </c>
      <c r="F214" s="228">
        <v>21.48</v>
      </c>
      <c r="G214" s="228">
        <v>21.57</v>
      </c>
      <c r="H214" s="228">
        <v>-0.09</v>
      </c>
      <c r="I214" s="229">
        <v>-4.1999999999999997E-3</v>
      </c>
      <c r="J214" s="228">
        <v>21.44</v>
      </c>
      <c r="K214" s="228">
        <v>21.56</v>
      </c>
      <c r="L214" s="228">
        <v>-0.12</v>
      </c>
      <c r="M214" s="229">
        <v>-5.5999999999999999E-3</v>
      </c>
      <c r="N214" s="228">
        <v>21.48</v>
      </c>
      <c r="O214" s="228">
        <v>21.57</v>
      </c>
      <c r="P214" s="228">
        <v>-0.09</v>
      </c>
      <c r="Q214" s="229">
        <v>-4.1999999999999997E-3</v>
      </c>
      <c r="R214" s="228">
        <v>21.63</v>
      </c>
      <c r="S214" s="228">
        <v>21.7</v>
      </c>
      <c r="T214" s="228">
        <v>-7.0000000000000007E-2</v>
      </c>
      <c r="U214" s="229">
        <v>-3.2000000000000002E-3</v>
      </c>
      <c r="V214" s="228">
        <v>21.75</v>
      </c>
      <c r="W214" s="228">
        <v>21.83</v>
      </c>
      <c r="X214" s="228">
        <v>-0.08</v>
      </c>
      <c r="Y214" s="229">
        <v>-3.7000000000000002E-3</v>
      </c>
      <c r="Z214" s="228">
        <v>0.04</v>
      </c>
      <c r="AA214" s="228">
        <v>0.01</v>
      </c>
      <c r="AB214" s="228">
        <v>0.03</v>
      </c>
      <c r="AC214" s="229">
        <v>1.9E-3</v>
      </c>
      <c r="AD214" s="228">
        <v>0.04</v>
      </c>
      <c r="AE214" s="228">
        <v>0.01</v>
      </c>
      <c r="AF214" s="228">
        <v>0.03</v>
      </c>
      <c r="AG214" s="229">
        <v>1.9E-3</v>
      </c>
      <c r="AH214" s="228">
        <v>0.19</v>
      </c>
      <c r="AI214" s="228">
        <v>0.14000000000000001</v>
      </c>
      <c r="AJ214" s="228">
        <v>0.05</v>
      </c>
      <c r="AK214" s="229">
        <v>8.8999999999999999E-3</v>
      </c>
      <c r="AL214" s="228">
        <v>0.31</v>
      </c>
      <c r="AM214" s="228">
        <v>0.27</v>
      </c>
      <c r="AN214" s="228">
        <v>0.04</v>
      </c>
      <c r="AO214" s="229">
        <v>1.4500000000000001E-2</v>
      </c>
      <c r="AP214" s="228">
        <v>21.48</v>
      </c>
      <c r="AQ214" s="228">
        <v>21.62</v>
      </c>
      <c r="AR214" s="228">
        <v>0</v>
      </c>
      <c r="AS214" s="228">
        <v>193</v>
      </c>
      <c r="AT214" s="228">
        <v>131</v>
      </c>
      <c r="AU214" s="228">
        <v>62</v>
      </c>
      <c r="AV214" s="229">
        <v>0.46920000000000001</v>
      </c>
      <c r="AW214" s="228">
        <v>136</v>
      </c>
      <c r="AX214" s="228">
        <v>101</v>
      </c>
      <c r="AY214" s="228">
        <v>35</v>
      </c>
      <c r="AZ214" s="229">
        <v>0.34820000000000001</v>
      </c>
      <c r="BA214" s="228">
        <v>52</v>
      </c>
      <c r="BB214" s="228">
        <v>28</v>
      </c>
      <c r="BC214" s="228">
        <v>24</v>
      </c>
      <c r="BD214" s="229">
        <v>0.86399999999999999</v>
      </c>
      <c r="BE214" s="228">
        <v>5</v>
      </c>
      <c r="BF214" s="228">
        <v>3</v>
      </c>
      <c r="BG214" s="228">
        <v>2</v>
      </c>
      <c r="BH214" s="229">
        <v>0.86050000000000004</v>
      </c>
      <c r="BI214" s="228">
        <v>667</v>
      </c>
      <c r="BJ214" s="228">
        <v>488</v>
      </c>
      <c r="BK214" s="228">
        <v>179</v>
      </c>
      <c r="BL214" s="229">
        <v>0.3664</v>
      </c>
      <c r="BM214" s="228">
        <v>142</v>
      </c>
      <c r="BN214" s="228">
        <v>135</v>
      </c>
      <c r="BO214" s="228">
        <v>7</v>
      </c>
      <c r="BP214" s="229">
        <v>4.9000000000000002E-2</v>
      </c>
      <c r="BQ214" s="230">
        <v>1002</v>
      </c>
      <c r="BR214" s="228">
        <v>755</v>
      </c>
      <c r="BS214" s="228">
        <v>247</v>
      </c>
      <c r="BT214" s="229">
        <v>0.3276</v>
      </c>
      <c r="BU214" s="230">
        <v>42118269</v>
      </c>
      <c r="BV214" s="230">
        <v>58249840</v>
      </c>
      <c r="BW214" s="230">
        <v>-16131571</v>
      </c>
      <c r="BX214" s="229">
        <v>-0.27689999999999998</v>
      </c>
      <c r="BY214" s="230">
        <v>2419</v>
      </c>
      <c r="BZ214" s="230">
        <v>2424</v>
      </c>
      <c r="CA214" s="228">
        <v>-4</v>
      </c>
      <c r="CB214" s="229">
        <v>-1.8E-3</v>
      </c>
      <c r="CC214" s="230">
        <v>2081</v>
      </c>
      <c r="CD214" s="230">
        <v>2103</v>
      </c>
      <c r="CE214" s="228">
        <v>-22</v>
      </c>
      <c r="CF214" s="229">
        <v>-1.03E-2</v>
      </c>
      <c r="CG214" s="228">
        <v>302</v>
      </c>
      <c r="CH214" s="228">
        <v>286</v>
      </c>
      <c r="CI214" s="228">
        <v>16</v>
      </c>
      <c r="CJ214" s="229">
        <v>5.67E-2</v>
      </c>
      <c r="CK214" s="228">
        <v>36</v>
      </c>
      <c r="CL214" s="228">
        <v>35</v>
      </c>
      <c r="CM214" s="228">
        <v>1</v>
      </c>
      <c r="CN214" s="229">
        <v>2.87E-2</v>
      </c>
      <c r="CO214" s="230">
        <v>1026</v>
      </c>
      <c r="CP214" s="230">
        <v>1021</v>
      </c>
      <c r="CQ214" s="228">
        <v>5</v>
      </c>
      <c r="CR214" s="229">
        <v>5.0000000000000001E-3</v>
      </c>
      <c r="CS214" s="228">
        <v>512</v>
      </c>
      <c r="CT214" s="228">
        <v>512</v>
      </c>
      <c r="CU214" s="228">
        <v>0</v>
      </c>
      <c r="CV214" s="229">
        <v>2.9999999999999997E-4</v>
      </c>
      <c r="CW214" s="230">
        <v>3957</v>
      </c>
      <c r="CX214" s="230">
        <v>3957</v>
      </c>
      <c r="CY214" s="228">
        <v>1</v>
      </c>
      <c r="CZ214" s="229">
        <v>2.0000000000000001E-4</v>
      </c>
      <c r="DA214" s="228">
        <v>25.28</v>
      </c>
      <c r="DB214" s="228">
        <v>26.27</v>
      </c>
      <c r="DC214" s="228">
        <v>-0.99</v>
      </c>
      <c r="DD214" s="228">
        <v>-0.99</v>
      </c>
      <c r="DE214" s="228">
        <v>39.479999999999997</v>
      </c>
      <c r="DF214" s="228">
        <v>39.57</v>
      </c>
      <c r="DG214" s="228">
        <v>-14.2</v>
      </c>
      <c r="DH214" s="228">
        <v>-0.09</v>
      </c>
      <c r="DI214" s="228">
        <v>25.94</v>
      </c>
      <c r="DJ214" s="228">
        <v>27.08</v>
      </c>
      <c r="DK214" s="228">
        <v>-1.1399999999999999</v>
      </c>
      <c r="DL214" s="228">
        <v>-1.1399999999999999</v>
      </c>
      <c r="DM214" s="228">
        <v>22.2</v>
      </c>
      <c r="DN214" s="228">
        <v>23.33</v>
      </c>
      <c r="DO214" s="228">
        <v>-1.1299999999999999</v>
      </c>
      <c r="DP214" s="228">
        <v>-1.1299999999999999</v>
      </c>
      <c r="DQ214" s="228">
        <v>0.5</v>
      </c>
      <c r="DR214" s="228">
        <v>0.5</v>
      </c>
      <c r="DS214" s="228">
        <v>0</v>
      </c>
      <c r="DT214" s="229">
        <v>0</v>
      </c>
      <c r="DU214" s="228">
        <v>23</v>
      </c>
      <c r="DV214" s="228">
        <v>22</v>
      </c>
      <c r="DW214" s="228">
        <v>0.21</v>
      </c>
      <c r="DX214" s="228">
        <v>0.28000000000000003</v>
      </c>
      <c r="DY214" s="228">
        <v>-7.0000000000000007E-2</v>
      </c>
      <c r="DZ214" s="229">
        <v>-0.25</v>
      </c>
      <c r="EA214" s="229">
        <v>0.13980000000000001</v>
      </c>
      <c r="EB214" s="230">
        <v>149466600</v>
      </c>
      <c r="EC214" s="229">
        <v>7.0000000000000001E-3</v>
      </c>
      <c r="ED214" s="229">
        <v>0.13980000000000001</v>
      </c>
      <c r="EE214" s="228">
        <v>0.14000000000000001</v>
      </c>
      <c r="EF214" s="229">
        <v>6.4999999999999997E-3</v>
      </c>
      <c r="EG214" s="230">
        <v>18235326</v>
      </c>
      <c r="EH214" s="230">
        <v>29879998</v>
      </c>
      <c r="EI214" s="229">
        <v>-0.38969999999999999</v>
      </c>
      <c r="EJ214" s="229">
        <v>0.433</v>
      </c>
      <c r="EK214" s="228">
        <v>710.75</v>
      </c>
      <c r="EL214" s="228">
        <v>142.97</v>
      </c>
      <c r="EM214" s="228">
        <v>193.48</v>
      </c>
      <c r="EN214" s="228">
        <v>28.76</v>
      </c>
      <c r="EO214" s="231">
        <v>1047.2</v>
      </c>
      <c r="EP214" s="228">
        <v>787.56</v>
      </c>
      <c r="EQ214" s="228">
        <v>259.63</v>
      </c>
      <c r="ER214" s="229">
        <v>0.32969999999999999</v>
      </c>
      <c r="ES214" s="231">
        <v>1136.8499999999999</v>
      </c>
      <c r="ET214" s="228">
        <v>522.54999999999995</v>
      </c>
      <c r="EU214" s="231">
        <v>2421.89</v>
      </c>
      <c r="EV214" s="231">
        <v>3136562346</v>
      </c>
      <c r="EW214" s="231">
        <v>4081.29</v>
      </c>
      <c r="EX214" s="231">
        <v>4092.45</v>
      </c>
      <c r="EY214" s="228">
        <v>-11.16</v>
      </c>
      <c r="EZ214" s="229">
        <v>-2.7000000000000001E-3</v>
      </c>
      <c r="FA214" s="229">
        <v>0.58740000000000003</v>
      </c>
      <c r="FB214" s="227" t="s">
        <v>568</v>
      </c>
      <c r="FC214">
        <f t="shared" si="4"/>
        <v>0</v>
      </c>
    </row>
    <row r="215" spans="1:159" ht="17.25" thickBot="1" x14ac:dyDescent="0.3">
      <c r="A215" s="226">
        <v>46009</v>
      </c>
      <c r="B215" s="227" t="s">
        <v>170</v>
      </c>
      <c r="C215" s="227" t="s">
        <v>557</v>
      </c>
      <c r="D215" s="228">
        <v>900</v>
      </c>
      <c r="E215" s="228">
        <v>12</v>
      </c>
      <c r="F215" s="228">
        <v>916.35</v>
      </c>
      <c r="G215" s="228">
        <v>919.1</v>
      </c>
      <c r="H215" s="228">
        <v>-2.75</v>
      </c>
      <c r="I215" s="229">
        <v>-3.0000000000000001E-3</v>
      </c>
      <c r="J215" s="228">
        <v>913.65</v>
      </c>
      <c r="K215" s="228">
        <v>918.1</v>
      </c>
      <c r="L215" s="228">
        <v>-4.45</v>
      </c>
      <c r="M215" s="229">
        <v>-4.7999999999999996E-3</v>
      </c>
      <c r="N215" s="228">
        <v>916.35</v>
      </c>
      <c r="O215" s="228">
        <v>919.1</v>
      </c>
      <c r="P215" s="228">
        <v>-2.75</v>
      </c>
      <c r="Q215" s="229">
        <v>-3.0000000000000001E-3</v>
      </c>
      <c r="R215" s="228">
        <v>922.35</v>
      </c>
      <c r="S215" s="228">
        <v>924.55</v>
      </c>
      <c r="T215" s="228">
        <v>-2.2000000000000002</v>
      </c>
      <c r="U215" s="229">
        <v>-2.3999999999999998E-3</v>
      </c>
      <c r="V215" s="228">
        <v>925</v>
      </c>
      <c r="W215" s="228">
        <v>929.45</v>
      </c>
      <c r="X215" s="228">
        <v>-4.45</v>
      </c>
      <c r="Y215" s="229">
        <v>-4.7999999999999996E-3</v>
      </c>
      <c r="Z215" s="228">
        <v>2.7</v>
      </c>
      <c r="AA215" s="228">
        <v>1</v>
      </c>
      <c r="AB215" s="228">
        <v>1.7</v>
      </c>
      <c r="AC215" s="229">
        <v>3.0000000000000001E-3</v>
      </c>
      <c r="AD215" s="228">
        <v>2.7</v>
      </c>
      <c r="AE215" s="228">
        <v>1</v>
      </c>
      <c r="AF215" s="228">
        <v>1.7</v>
      </c>
      <c r="AG215" s="229">
        <v>3.0000000000000001E-3</v>
      </c>
      <c r="AH215" s="228">
        <v>8.6999999999999993</v>
      </c>
      <c r="AI215" s="228">
        <v>6.45</v>
      </c>
      <c r="AJ215" s="228">
        <v>2.25</v>
      </c>
      <c r="AK215" s="229">
        <v>9.4999999999999998E-3</v>
      </c>
      <c r="AL215" s="228">
        <v>11.35</v>
      </c>
      <c r="AM215" s="228">
        <v>11.35</v>
      </c>
      <c r="AN215" s="228">
        <v>0</v>
      </c>
      <c r="AO215" s="229">
        <v>1.24E-2</v>
      </c>
      <c r="AP215" s="228">
        <v>916.67</v>
      </c>
      <c r="AQ215" s="228">
        <v>922.11</v>
      </c>
      <c r="AR215" s="228">
        <v>0</v>
      </c>
      <c r="AS215" s="228">
        <v>96</v>
      </c>
      <c r="AT215" s="228">
        <v>78</v>
      </c>
      <c r="AU215" s="228">
        <v>19</v>
      </c>
      <c r="AV215" s="229">
        <v>0.24149999999999999</v>
      </c>
      <c r="AW215" s="228">
        <v>81</v>
      </c>
      <c r="AX215" s="228">
        <v>67</v>
      </c>
      <c r="AY215" s="228">
        <v>13</v>
      </c>
      <c r="AZ215" s="229">
        <v>0.2</v>
      </c>
      <c r="BA215" s="228">
        <v>15</v>
      </c>
      <c r="BB215" s="228">
        <v>9</v>
      </c>
      <c r="BC215" s="228">
        <v>6</v>
      </c>
      <c r="BD215" s="229">
        <v>0.59130000000000005</v>
      </c>
      <c r="BE215" s="228">
        <v>0</v>
      </c>
      <c r="BF215" s="228">
        <v>1</v>
      </c>
      <c r="BG215" s="228">
        <v>0</v>
      </c>
      <c r="BH215" s="229">
        <v>-0.4</v>
      </c>
      <c r="BI215" s="228">
        <v>192</v>
      </c>
      <c r="BJ215" s="228">
        <v>162</v>
      </c>
      <c r="BK215" s="228">
        <v>30</v>
      </c>
      <c r="BL215" s="229">
        <v>0.18240000000000001</v>
      </c>
      <c r="BM215" s="228">
        <v>77</v>
      </c>
      <c r="BN215" s="228">
        <v>49</v>
      </c>
      <c r="BO215" s="228">
        <v>27</v>
      </c>
      <c r="BP215" s="229">
        <v>0.55179999999999996</v>
      </c>
      <c r="BQ215" s="228">
        <v>365</v>
      </c>
      <c r="BR215" s="228">
        <v>289</v>
      </c>
      <c r="BS215" s="228">
        <v>76</v>
      </c>
      <c r="BT215" s="229">
        <v>0.26129999999999998</v>
      </c>
      <c r="BU215" s="230">
        <v>371600</v>
      </c>
      <c r="BV215" s="230">
        <v>537747</v>
      </c>
      <c r="BW215" s="230">
        <v>-166147</v>
      </c>
      <c r="BX215" s="229">
        <v>-0.309</v>
      </c>
      <c r="BY215" s="230">
        <v>1030</v>
      </c>
      <c r="BZ215" s="230">
        <v>1035</v>
      </c>
      <c r="CA215" s="228">
        <v>-5</v>
      </c>
      <c r="CB215" s="229">
        <v>-4.8999999999999998E-3</v>
      </c>
      <c r="CC215" s="228">
        <v>954</v>
      </c>
      <c r="CD215" s="228">
        <v>967</v>
      </c>
      <c r="CE215" s="228">
        <v>-13</v>
      </c>
      <c r="CF215" s="229">
        <v>-1.35E-2</v>
      </c>
      <c r="CG215" s="228">
        <v>73</v>
      </c>
      <c r="CH215" s="228">
        <v>65</v>
      </c>
      <c r="CI215" s="228">
        <v>8</v>
      </c>
      <c r="CJ215" s="229">
        <v>0.1206</v>
      </c>
      <c r="CK215" s="228">
        <v>3</v>
      </c>
      <c r="CL215" s="228">
        <v>3</v>
      </c>
      <c r="CM215" s="228">
        <v>0</v>
      </c>
      <c r="CN215" s="229">
        <v>2.7799999999999998E-2</v>
      </c>
      <c r="CO215" s="228">
        <v>412</v>
      </c>
      <c r="CP215" s="228">
        <v>402</v>
      </c>
      <c r="CQ215" s="228">
        <v>11</v>
      </c>
      <c r="CR215" s="229">
        <v>2.69E-2</v>
      </c>
      <c r="CS215" s="228">
        <v>304</v>
      </c>
      <c r="CT215" s="228">
        <v>296</v>
      </c>
      <c r="CU215" s="228">
        <v>8</v>
      </c>
      <c r="CV215" s="229">
        <v>2.7E-2</v>
      </c>
      <c r="CW215" s="230">
        <v>1746</v>
      </c>
      <c r="CX215" s="230">
        <v>1733</v>
      </c>
      <c r="CY215" s="228">
        <v>14</v>
      </c>
      <c r="CZ215" s="229">
        <v>7.9000000000000008E-3</v>
      </c>
      <c r="DA215" s="228">
        <v>17.14</v>
      </c>
      <c r="DB215" s="228">
        <v>18.510000000000002</v>
      </c>
      <c r="DC215" s="228">
        <v>-1.37</v>
      </c>
      <c r="DD215" s="228">
        <v>-1.37</v>
      </c>
      <c r="DE215" s="228">
        <v>27.94</v>
      </c>
      <c r="DF215" s="228">
        <v>28.01</v>
      </c>
      <c r="DG215" s="228">
        <v>-10.8</v>
      </c>
      <c r="DH215" s="228">
        <v>-7.0000000000000007E-2</v>
      </c>
      <c r="DI215" s="228">
        <v>17.18</v>
      </c>
      <c r="DJ215" s="228">
        <v>18.649999999999999</v>
      </c>
      <c r="DK215" s="228">
        <v>-1.47</v>
      </c>
      <c r="DL215" s="228">
        <v>-1.47</v>
      </c>
      <c r="DM215" s="228">
        <v>17.05</v>
      </c>
      <c r="DN215" s="228">
        <v>18.07</v>
      </c>
      <c r="DO215" s="228">
        <v>-1.02</v>
      </c>
      <c r="DP215" s="228">
        <v>-1.02</v>
      </c>
      <c r="DQ215" s="228">
        <v>0.74</v>
      </c>
      <c r="DR215" s="228">
        <v>0.74</v>
      </c>
      <c r="DS215" s="228">
        <v>0</v>
      </c>
      <c r="DT215" s="229">
        <v>0</v>
      </c>
      <c r="DU215" s="228">
        <v>940</v>
      </c>
      <c r="DV215" s="228">
        <v>900</v>
      </c>
      <c r="DW215" s="228">
        <v>0.4</v>
      </c>
      <c r="DX215" s="228">
        <v>0.3</v>
      </c>
      <c r="DY215" s="228">
        <v>0.1</v>
      </c>
      <c r="DZ215" s="229">
        <v>0.33329999999999999</v>
      </c>
      <c r="EA215" s="229">
        <v>7.3599999999999999E-2</v>
      </c>
      <c r="EB215" s="230">
        <v>741600</v>
      </c>
      <c r="EC215" s="229">
        <v>6.4999999999999997E-3</v>
      </c>
      <c r="ED215" s="229">
        <v>7.3599999999999999E-2</v>
      </c>
      <c r="EE215" s="228">
        <v>5.44</v>
      </c>
      <c r="EF215" s="229">
        <v>5.8999999999999999E-3</v>
      </c>
      <c r="EG215" s="230">
        <v>228248</v>
      </c>
      <c r="EH215" s="230">
        <v>367456</v>
      </c>
      <c r="EI215" s="229">
        <v>-0.37880000000000003</v>
      </c>
      <c r="EJ215" s="229">
        <v>0.61419999999999997</v>
      </c>
      <c r="EK215" s="228">
        <v>198.12</v>
      </c>
      <c r="EL215" s="228">
        <v>75.7</v>
      </c>
      <c r="EM215" s="228">
        <v>96.37</v>
      </c>
      <c r="EN215" s="228">
        <v>10.83</v>
      </c>
      <c r="EO215" s="228">
        <v>370.2</v>
      </c>
      <c r="EP215" s="228">
        <v>295.63</v>
      </c>
      <c r="EQ215" s="228">
        <v>74.569999999999993</v>
      </c>
      <c r="ER215" s="229">
        <v>0.25219999999999998</v>
      </c>
      <c r="ES215" s="228">
        <v>436.14</v>
      </c>
      <c r="ET215" s="228">
        <v>305.64999999999998</v>
      </c>
      <c r="EU215" s="231">
        <v>1030.82</v>
      </c>
      <c r="EV215" s="231">
        <v>32617803</v>
      </c>
      <c r="EW215" s="231">
        <v>1772.61</v>
      </c>
      <c r="EX215" s="231">
        <v>1761.92</v>
      </c>
      <c r="EY215" s="228">
        <v>10.69</v>
      </c>
      <c r="EZ215" s="229">
        <v>6.1000000000000004E-3</v>
      </c>
      <c r="FA215" s="229">
        <v>0.58430000000000004</v>
      </c>
      <c r="FB215" s="227" t="s">
        <v>568</v>
      </c>
      <c r="FC215">
        <f t="shared" si="4"/>
        <v>0</v>
      </c>
    </row>
    <row r="216" spans="1:159" x14ac:dyDescent="0.25">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BY325-CC325</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BY389-CC389</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G155" sqref="G155"/>
    </sheetView>
  </sheetViews>
  <sheetFormatPr defaultRowHeight="15" x14ac:dyDescent="0.25"/>
  <cols>
    <col min="1" max="1" width="12.285156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3.7109375" customWidth="1"/>
    <col min="79" max="79" width="9" customWidth="1"/>
    <col min="80" max="81" width="15.5703125" customWidth="1"/>
    <col min="82" max="82" width="13.7109375" customWidth="1"/>
    <col min="83" max="83" width="11.42578125" customWidth="1"/>
    <col min="84" max="84" width="14" customWidth="1"/>
    <col min="85" max="85" width="14.42578125" customWidth="1"/>
    <col min="86" max="86" width="13.5703125" customWidth="1"/>
    <col min="87" max="87" width="11.42578125" customWidth="1"/>
    <col min="88" max="89" width="14" customWidth="1"/>
    <col min="90" max="90" width="11.5703125" customWidth="1"/>
    <col min="91" max="91" width="10.140625" customWidth="1"/>
    <col min="92" max="93" width="15.5703125" customWidth="1"/>
    <col min="94" max="94" width="12.7109375" customWidth="1"/>
    <col min="95" max="95" width="10.42578125" customWidth="1"/>
    <col min="96" max="97" width="15.5703125" customWidth="1"/>
    <col min="98" max="98" width="13.7109375" customWidth="1"/>
    <col min="99" max="99" width="10.28515625" customWidth="1"/>
    <col min="100" max="101" width="16.7109375" customWidth="1"/>
    <col min="102" max="102" width="13.85546875" customWidth="1"/>
    <col min="103" max="103" width="11.7109375" customWidth="1"/>
    <col min="104" max="104" width="8" style="195" customWidth="1"/>
    <col min="105" max="105" width="8.7109375" customWidth="1"/>
    <col min="106" max="106" width="7.85546875" customWidth="1"/>
    <col min="107" max="107" width="7.71093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8.42578125" customWidth="1"/>
    <col min="152" max="153" width="16.7109375" customWidth="1"/>
    <col min="154" max="154" width="14.710937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46009</v>
      </c>
      <c r="B2" s="227" t="s">
        <v>175</v>
      </c>
      <c r="C2" s="227" t="s">
        <v>683</v>
      </c>
      <c r="D2" s="228">
        <v>500</v>
      </c>
      <c r="E2" s="231">
        <v>1144.4000000000001</v>
      </c>
      <c r="F2" s="231">
        <v>1130.0999999999999</v>
      </c>
      <c r="G2" s="228">
        <v>14.3</v>
      </c>
      <c r="H2" s="229">
        <v>1.2699999999999999E-2</v>
      </c>
      <c r="I2" s="231">
        <v>1143.2</v>
      </c>
      <c r="J2" s="231">
        <v>1126.0999999999999</v>
      </c>
      <c r="K2" s="228">
        <v>17.100000000000001</v>
      </c>
      <c r="L2" s="229">
        <v>1.52E-2</v>
      </c>
      <c r="M2" s="231">
        <v>1144.4000000000001</v>
      </c>
      <c r="N2" s="231">
        <v>1130.0999999999999</v>
      </c>
      <c r="O2" s="228">
        <v>14.3</v>
      </c>
      <c r="P2" s="229">
        <v>1.2699999999999999E-2</v>
      </c>
      <c r="Q2" s="231">
        <v>1145.0999999999999</v>
      </c>
      <c r="R2" s="231">
        <v>1130.5999999999999</v>
      </c>
      <c r="S2" s="228">
        <v>14.5</v>
      </c>
      <c r="T2" s="229">
        <v>1.2800000000000001E-2</v>
      </c>
      <c r="U2" s="231">
        <v>1147.5</v>
      </c>
      <c r="V2" s="231">
        <v>1142</v>
      </c>
      <c r="W2" s="228">
        <v>5.5</v>
      </c>
      <c r="X2" s="229">
        <v>4.7999999999999996E-3</v>
      </c>
      <c r="Y2" s="228">
        <v>1.2</v>
      </c>
      <c r="Z2" s="228">
        <v>4</v>
      </c>
      <c r="AA2" s="228">
        <v>-2.8</v>
      </c>
      <c r="AB2" s="229">
        <v>1E-3</v>
      </c>
      <c r="AC2" s="228">
        <v>1.2</v>
      </c>
      <c r="AD2" s="228">
        <v>4</v>
      </c>
      <c r="AE2" s="228">
        <v>-2.8</v>
      </c>
      <c r="AF2" s="229">
        <v>1E-3</v>
      </c>
      <c r="AG2" s="228">
        <v>1.9</v>
      </c>
      <c r="AH2" s="228">
        <v>4.5</v>
      </c>
      <c r="AI2" s="228">
        <v>-2.6</v>
      </c>
      <c r="AJ2" s="229">
        <v>1.6999999999999999E-3</v>
      </c>
      <c r="AK2" s="228">
        <v>4.3</v>
      </c>
      <c r="AL2" s="228">
        <v>15.9</v>
      </c>
      <c r="AM2" s="228">
        <v>-11.6</v>
      </c>
      <c r="AN2" s="229">
        <v>3.8E-3</v>
      </c>
      <c r="AO2" s="231">
        <v>1141.2</v>
      </c>
      <c r="AP2" s="231">
        <v>1140.6400000000001</v>
      </c>
      <c r="AQ2" s="228">
        <v>0</v>
      </c>
      <c r="AR2" s="230">
        <v>521000</v>
      </c>
      <c r="AS2" s="230">
        <v>3078000</v>
      </c>
      <c r="AT2" s="230">
        <v>-2557000</v>
      </c>
      <c r="AU2" s="229">
        <v>-0.83069999999999999</v>
      </c>
      <c r="AV2" s="230">
        <v>484000</v>
      </c>
      <c r="AW2" s="230">
        <v>2567000</v>
      </c>
      <c r="AX2" s="230">
        <v>-2083000</v>
      </c>
      <c r="AY2" s="229">
        <v>-0.8115</v>
      </c>
      <c r="AZ2" s="230">
        <v>36000</v>
      </c>
      <c r="BA2" s="230">
        <v>510500</v>
      </c>
      <c r="BB2" s="230">
        <v>-474500</v>
      </c>
      <c r="BC2" s="229">
        <v>-0.92949999999999999</v>
      </c>
      <c r="BD2" s="230">
        <v>1000</v>
      </c>
      <c r="BE2" s="228">
        <v>500</v>
      </c>
      <c r="BF2" s="228">
        <v>500</v>
      </c>
      <c r="BG2" s="229">
        <v>1</v>
      </c>
      <c r="BH2" s="230">
        <v>1688500</v>
      </c>
      <c r="BI2" s="230">
        <v>9550500</v>
      </c>
      <c r="BJ2" s="230">
        <v>-7862000</v>
      </c>
      <c r="BK2" s="229">
        <v>-0.82320000000000004</v>
      </c>
      <c r="BL2" s="230">
        <v>340500</v>
      </c>
      <c r="BM2" s="230">
        <v>5856500</v>
      </c>
      <c r="BN2" s="230">
        <v>-5516000</v>
      </c>
      <c r="BO2" s="229">
        <v>-0.94189999999999996</v>
      </c>
      <c r="BP2" s="230">
        <v>2550000</v>
      </c>
      <c r="BQ2" s="230">
        <v>18485000</v>
      </c>
      <c r="BR2" s="230">
        <v>-15935000</v>
      </c>
      <c r="BS2" s="229">
        <v>-0.86209999999999998</v>
      </c>
      <c r="BT2" s="230">
        <v>364262</v>
      </c>
      <c r="BU2" s="230">
        <v>1074755</v>
      </c>
      <c r="BV2" s="230">
        <v>-710493</v>
      </c>
      <c r="BW2" s="229">
        <v>-0.66110000000000002</v>
      </c>
      <c r="BX2" s="230">
        <v>1876500</v>
      </c>
      <c r="BY2" s="230">
        <v>1926500</v>
      </c>
      <c r="BZ2" s="230">
        <v>-50000</v>
      </c>
      <c r="CA2" s="229">
        <v>-2.5999999999999999E-2</v>
      </c>
      <c r="CB2" s="230">
        <v>1754500</v>
      </c>
      <c r="CC2" s="230">
        <v>1805500</v>
      </c>
      <c r="CD2" s="230">
        <v>-51000</v>
      </c>
      <c r="CE2" s="229">
        <v>-2.8199999999999999E-2</v>
      </c>
      <c r="CF2" s="230">
        <v>117000</v>
      </c>
      <c r="CG2" s="230">
        <v>116500</v>
      </c>
      <c r="CH2" s="228">
        <v>500</v>
      </c>
      <c r="CI2" s="229">
        <v>4.3E-3</v>
      </c>
      <c r="CJ2" s="230">
        <v>5000</v>
      </c>
      <c r="CK2" s="230">
        <v>4500</v>
      </c>
      <c r="CL2" s="228">
        <v>500</v>
      </c>
      <c r="CM2" s="229">
        <v>0.1111</v>
      </c>
      <c r="CN2" s="230">
        <v>1796500</v>
      </c>
      <c r="CO2" s="230">
        <v>1722000</v>
      </c>
      <c r="CP2" s="230">
        <v>74500</v>
      </c>
      <c r="CQ2" s="229">
        <v>4.3299999999999998E-2</v>
      </c>
      <c r="CR2" s="230">
        <v>1057000</v>
      </c>
      <c r="CS2" s="230">
        <v>1085000</v>
      </c>
      <c r="CT2" s="230">
        <v>-28000</v>
      </c>
      <c r="CU2" s="229">
        <v>-2.58E-2</v>
      </c>
      <c r="CV2" s="230">
        <v>4730000</v>
      </c>
      <c r="CW2" s="230">
        <v>4733500</v>
      </c>
      <c r="CX2" s="230">
        <v>-3500</v>
      </c>
      <c r="CY2" s="229">
        <v>-6.9999999999999999E-4</v>
      </c>
      <c r="CZ2" s="228">
        <v>27.33</v>
      </c>
      <c r="DA2" s="228">
        <v>27.35</v>
      </c>
      <c r="DB2" s="228">
        <v>-0.02</v>
      </c>
      <c r="DC2" s="228">
        <v>-0.02</v>
      </c>
      <c r="DD2" s="228">
        <v>43.36</v>
      </c>
      <c r="DE2" s="228">
        <v>43.42</v>
      </c>
      <c r="DF2" s="228">
        <v>-16.03</v>
      </c>
      <c r="DG2" s="228">
        <v>-0.06</v>
      </c>
      <c r="DH2" s="228">
        <v>26.96</v>
      </c>
      <c r="DI2" s="228">
        <v>27.58</v>
      </c>
      <c r="DJ2" s="228">
        <v>-0.62</v>
      </c>
      <c r="DK2" s="228">
        <v>-0.62</v>
      </c>
      <c r="DL2" s="228">
        <v>29.12</v>
      </c>
      <c r="DM2" s="228">
        <v>26.98</v>
      </c>
      <c r="DN2" s="228">
        <v>2.14</v>
      </c>
      <c r="DO2" s="228">
        <v>2.14</v>
      </c>
      <c r="DP2" s="228">
        <v>0.59</v>
      </c>
      <c r="DQ2" s="228">
        <v>0.63</v>
      </c>
      <c r="DR2" s="228">
        <v>-0.04</v>
      </c>
      <c r="DS2" s="229">
        <v>-6.3500000000000001E-2</v>
      </c>
      <c r="DT2" s="231">
        <v>1200</v>
      </c>
      <c r="DU2" s="231">
        <v>1060</v>
      </c>
      <c r="DV2" s="228">
        <v>0.2</v>
      </c>
      <c r="DW2" s="228">
        <v>0.61</v>
      </c>
      <c r="DX2" s="228">
        <v>-0.41</v>
      </c>
      <c r="DY2" s="229">
        <v>-0.67210000000000003</v>
      </c>
      <c r="DZ2" s="229">
        <v>6.5000000000000002E-2</v>
      </c>
      <c r="EA2" s="230">
        <v>121000</v>
      </c>
      <c r="EB2" s="229">
        <v>5.9999999999999995E-4</v>
      </c>
      <c r="EC2" s="229">
        <v>6.5000000000000002E-2</v>
      </c>
      <c r="ED2" s="228">
        <v>-0.56000000000000005</v>
      </c>
      <c r="EE2" s="229">
        <v>-5.0000000000000001E-4</v>
      </c>
      <c r="EF2" s="230">
        <v>116407</v>
      </c>
      <c r="EG2" s="230">
        <v>178064</v>
      </c>
      <c r="EH2" s="229">
        <v>-0.3463</v>
      </c>
      <c r="EI2" s="229">
        <v>0.3196</v>
      </c>
      <c r="EJ2" s="231">
        <v>19918.57</v>
      </c>
      <c r="EK2" s="231">
        <v>3788.14</v>
      </c>
      <c r="EL2" s="231">
        <v>5945.52</v>
      </c>
      <c r="EM2" s="231">
        <v>3912</v>
      </c>
      <c r="EN2" s="231">
        <v>29652.23</v>
      </c>
      <c r="EO2" s="231">
        <v>215781.44</v>
      </c>
      <c r="EP2" s="231">
        <v>-186129.21</v>
      </c>
      <c r="EQ2" s="229">
        <v>-0.86260000000000003</v>
      </c>
      <c r="ER2" s="231">
        <v>21384</v>
      </c>
      <c r="ES2" s="231">
        <v>11671</v>
      </c>
      <c r="ET2" s="231">
        <v>21476</v>
      </c>
      <c r="EU2" s="231">
        <v>44660948</v>
      </c>
      <c r="EV2" s="231">
        <v>54530</v>
      </c>
      <c r="EW2" s="231">
        <v>54286</v>
      </c>
      <c r="EX2" s="228">
        <v>244</v>
      </c>
      <c r="EY2" s="229">
        <v>4.4999999999999997E-3</v>
      </c>
      <c r="EZ2" s="229">
        <v>0.10589999999999999</v>
      </c>
      <c r="FA2" s="227" t="s">
        <v>556</v>
      </c>
      <c r="FB2" s="161">
        <f>BX2-CB2</f>
        <v>122000</v>
      </c>
    </row>
    <row r="3" spans="1:158" ht="17.25" hidden="1" thickBot="1" x14ac:dyDescent="0.3">
      <c r="A3" s="226">
        <v>46009</v>
      </c>
      <c r="B3" s="227" t="s">
        <v>184</v>
      </c>
      <c r="C3" s="227" t="s">
        <v>553</v>
      </c>
      <c r="D3" s="228">
        <v>125</v>
      </c>
      <c r="E3" s="231">
        <v>5116.5</v>
      </c>
      <c r="F3" s="231">
        <v>5190</v>
      </c>
      <c r="G3" s="228">
        <v>-73.5</v>
      </c>
      <c r="H3" s="229">
        <v>-1.4200000000000001E-2</v>
      </c>
      <c r="I3" s="231">
        <v>5097.5</v>
      </c>
      <c r="J3" s="231">
        <v>5171</v>
      </c>
      <c r="K3" s="228">
        <v>-73.5</v>
      </c>
      <c r="L3" s="229">
        <v>-1.4200000000000001E-2</v>
      </c>
      <c r="M3" s="231">
        <v>5116.5</v>
      </c>
      <c r="N3" s="231">
        <v>5190</v>
      </c>
      <c r="O3" s="228">
        <v>-73.5</v>
      </c>
      <c r="P3" s="229">
        <v>-1.4200000000000001E-2</v>
      </c>
      <c r="Q3" s="231">
        <v>5132.5</v>
      </c>
      <c r="R3" s="231">
        <v>5198</v>
      </c>
      <c r="S3" s="228">
        <v>-65.5</v>
      </c>
      <c r="T3" s="229">
        <v>-1.26E-2</v>
      </c>
      <c r="U3" s="231">
        <v>5153</v>
      </c>
      <c r="V3" s="231">
        <v>5228.5</v>
      </c>
      <c r="W3" s="228">
        <v>-75.5</v>
      </c>
      <c r="X3" s="229">
        <v>-1.44E-2</v>
      </c>
      <c r="Y3" s="228">
        <v>19</v>
      </c>
      <c r="Z3" s="228">
        <v>19</v>
      </c>
      <c r="AA3" s="228">
        <v>0</v>
      </c>
      <c r="AB3" s="229">
        <v>3.7000000000000002E-3</v>
      </c>
      <c r="AC3" s="228">
        <v>19</v>
      </c>
      <c r="AD3" s="228">
        <v>19</v>
      </c>
      <c r="AE3" s="228">
        <v>0</v>
      </c>
      <c r="AF3" s="229">
        <v>3.7000000000000002E-3</v>
      </c>
      <c r="AG3" s="228">
        <v>35</v>
      </c>
      <c r="AH3" s="228">
        <v>27</v>
      </c>
      <c r="AI3" s="228">
        <v>8</v>
      </c>
      <c r="AJ3" s="229">
        <v>6.8999999999999999E-3</v>
      </c>
      <c r="AK3" s="228">
        <v>55.5</v>
      </c>
      <c r="AL3" s="228">
        <v>57.5</v>
      </c>
      <c r="AM3" s="228">
        <v>-2</v>
      </c>
      <c r="AN3" s="229">
        <v>1.09E-2</v>
      </c>
      <c r="AO3" s="231">
        <v>5128.76</v>
      </c>
      <c r="AP3" s="231">
        <v>5142.96</v>
      </c>
      <c r="AQ3" s="228">
        <v>0</v>
      </c>
      <c r="AR3" s="230">
        <v>424250</v>
      </c>
      <c r="AS3" s="230">
        <v>333625</v>
      </c>
      <c r="AT3" s="230">
        <v>90625</v>
      </c>
      <c r="AU3" s="229">
        <v>0.27160000000000001</v>
      </c>
      <c r="AV3" s="230">
        <v>363125</v>
      </c>
      <c r="AW3" s="230">
        <v>237750</v>
      </c>
      <c r="AX3" s="230">
        <v>125375</v>
      </c>
      <c r="AY3" s="229">
        <v>0.52729999999999999</v>
      </c>
      <c r="AZ3" s="230">
        <v>56625</v>
      </c>
      <c r="BA3" s="230">
        <v>91625</v>
      </c>
      <c r="BB3" s="230">
        <v>-35000</v>
      </c>
      <c r="BC3" s="229">
        <v>-0.38200000000000001</v>
      </c>
      <c r="BD3" s="230">
        <v>4500</v>
      </c>
      <c r="BE3" s="230">
        <v>4250</v>
      </c>
      <c r="BF3" s="228">
        <v>250</v>
      </c>
      <c r="BG3" s="229">
        <v>5.8799999999999998E-2</v>
      </c>
      <c r="BH3" s="230">
        <v>1055125</v>
      </c>
      <c r="BI3" s="230">
        <v>733750</v>
      </c>
      <c r="BJ3" s="230">
        <v>321375</v>
      </c>
      <c r="BK3" s="229">
        <v>0.438</v>
      </c>
      <c r="BL3" s="230">
        <v>683625</v>
      </c>
      <c r="BM3" s="230">
        <v>367375</v>
      </c>
      <c r="BN3" s="230">
        <v>316250</v>
      </c>
      <c r="BO3" s="229">
        <v>0.86080000000000001</v>
      </c>
      <c r="BP3" s="230">
        <v>2163000</v>
      </c>
      <c r="BQ3" s="230">
        <v>1434750</v>
      </c>
      <c r="BR3" s="230">
        <v>728250</v>
      </c>
      <c r="BS3" s="229">
        <v>0.50760000000000005</v>
      </c>
      <c r="BT3" s="230">
        <v>365689</v>
      </c>
      <c r="BU3" s="230">
        <v>87853</v>
      </c>
      <c r="BV3" s="230">
        <v>277836</v>
      </c>
      <c r="BW3" s="229">
        <v>3.1625000000000001</v>
      </c>
      <c r="BX3" s="230">
        <v>2512875</v>
      </c>
      <c r="BY3" s="230">
        <v>2505250</v>
      </c>
      <c r="BZ3" s="230">
        <v>7625</v>
      </c>
      <c r="CA3" s="229">
        <v>3.0000000000000001E-3</v>
      </c>
      <c r="CB3" s="230">
        <v>2204125</v>
      </c>
      <c r="CC3" s="230">
        <v>2221000</v>
      </c>
      <c r="CD3" s="230">
        <v>-16875</v>
      </c>
      <c r="CE3" s="229">
        <v>-7.6E-3</v>
      </c>
      <c r="CF3" s="230">
        <v>283375</v>
      </c>
      <c r="CG3" s="230">
        <v>261625</v>
      </c>
      <c r="CH3" s="230">
        <v>21750</v>
      </c>
      <c r="CI3" s="229">
        <v>8.3099999999999993E-2</v>
      </c>
      <c r="CJ3" s="230">
        <v>25375</v>
      </c>
      <c r="CK3" s="230">
        <v>22625</v>
      </c>
      <c r="CL3" s="230">
        <v>2750</v>
      </c>
      <c r="CM3" s="229">
        <v>0.1215</v>
      </c>
      <c r="CN3" s="230">
        <v>941500</v>
      </c>
      <c r="CO3" s="230">
        <v>871875</v>
      </c>
      <c r="CP3" s="230">
        <v>69625</v>
      </c>
      <c r="CQ3" s="229">
        <v>7.9899999999999999E-2</v>
      </c>
      <c r="CR3" s="230">
        <v>714625</v>
      </c>
      <c r="CS3" s="230">
        <v>676000</v>
      </c>
      <c r="CT3" s="230">
        <v>38625</v>
      </c>
      <c r="CU3" s="229">
        <v>5.7099999999999998E-2</v>
      </c>
      <c r="CV3" s="230">
        <v>4169000</v>
      </c>
      <c r="CW3" s="230">
        <v>4053125</v>
      </c>
      <c r="CX3" s="230">
        <v>115875</v>
      </c>
      <c r="CY3" s="229">
        <v>2.86E-2</v>
      </c>
      <c r="CZ3" s="228">
        <v>21.12</v>
      </c>
      <c r="DA3" s="228">
        <v>20.93</v>
      </c>
      <c r="DB3" s="228">
        <v>0.19</v>
      </c>
      <c r="DC3" s="228">
        <v>0.19</v>
      </c>
      <c r="DD3" s="228">
        <v>34.409999999999997</v>
      </c>
      <c r="DE3" s="228">
        <v>34.450000000000003</v>
      </c>
      <c r="DF3" s="228">
        <v>-13.29</v>
      </c>
      <c r="DG3" s="228">
        <v>-0.04</v>
      </c>
      <c r="DH3" s="228">
        <v>21.43</v>
      </c>
      <c r="DI3" s="228">
        <v>21.38</v>
      </c>
      <c r="DJ3" s="228">
        <v>0.05</v>
      </c>
      <c r="DK3" s="228">
        <v>0.05</v>
      </c>
      <c r="DL3" s="228">
        <v>20.66</v>
      </c>
      <c r="DM3" s="228">
        <v>20.04</v>
      </c>
      <c r="DN3" s="228">
        <v>0.62</v>
      </c>
      <c r="DO3" s="228">
        <v>0.62</v>
      </c>
      <c r="DP3" s="228">
        <v>0.76</v>
      </c>
      <c r="DQ3" s="228">
        <v>0.78</v>
      </c>
      <c r="DR3" s="228">
        <v>-0.02</v>
      </c>
      <c r="DS3" s="229">
        <v>-2.5600000000000001E-2</v>
      </c>
      <c r="DT3" s="231">
        <v>5500</v>
      </c>
      <c r="DU3" s="231">
        <v>5000</v>
      </c>
      <c r="DV3" s="228">
        <v>0.65</v>
      </c>
      <c r="DW3" s="228">
        <v>0.5</v>
      </c>
      <c r="DX3" s="228">
        <v>0.15</v>
      </c>
      <c r="DY3" s="229">
        <v>0.3</v>
      </c>
      <c r="DZ3" s="229">
        <v>0.1229</v>
      </c>
      <c r="EA3" s="230">
        <v>284250</v>
      </c>
      <c r="EB3" s="229">
        <v>3.0999999999999999E-3</v>
      </c>
      <c r="EC3" s="229">
        <v>0.1229</v>
      </c>
      <c r="ED3" s="228">
        <v>14.2</v>
      </c>
      <c r="EE3" s="229">
        <v>2.8E-3</v>
      </c>
      <c r="EF3" s="230">
        <v>263857</v>
      </c>
      <c r="EG3" s="230">
        <v>47393</v>
      </c>
      <c r="EH3" s="229">
        <v>4.5674000000000001</v>
      </c>
      <c r="EI3" s="229">
        <v>0.72150000000000003</v>
      </c>
      <c r="EJ3" s="231">
        <v>56235.54</v>
      </c>
      <c r="EK3" s="231">
        <v>34917.72</v>
      </c>
      <c r="EL3" s="231">
        <v>21768.02</v>
      </c>
      <c r="EM3" s="231">
        <v>3546</v>
      </c>
      <c r="EN3" s="231">
        <v>112921.28</v>
      </c>
      <c r="EO3" s="231">
        <v>76358.42</v>
      </c>
      <c r="EP3" s="231">
        <v>36562.86</v>
      </c>
      <c r="EQ3" s="229">
        <v>0.4788</v>
      </c>
      <c r="ER3" s="231">
        <v>50469</v>
      </c>
      <c r="ES3" s="231">
        <v>36676</v>
      </c>
      <c r="ET3" s="231">
        <v>128626</v>
      </c>
      <c r="EU3" s="231">
        <v>7946564</v>
      </c>
      <c r="EV3" s="231">
        <v>215770</v>
      </c>
      <c r="EW3" s="231">
        <v>211792</v>
      </c>
      <c r="EX3" s="231">
        <v>3978</v>
      </c>
      <c r="EY3" s="229">
        <v>1.8800000000000001E-2</v>
      </c>
      <c r="EZ3" s="229">
        <v>0.52459999999999996</v>
      </c>
      <c r="FA3" s="227" t="s">
        <v>567</v>
      </c>
      <c r="FB3" s="161">
        <f t="shared" ref="FB3:FB66" si="0">BX3-CB3</f>
        <v>308750</v>
      </c>
    </row>
    <row r="4" spans="1:158" ht="17.25" hidden="1" thickBot="1" x14ac:dyDescent="0.3">
      <c r="A4" s="226">
        <v>46009</v>
      </c>
      <c r="B4" s="227" t="s">
        <v>175</v>
      </c>
      <c r="C4" s="227" t="s">
        <v>544</v>
      </c>
      <c r="D4" s="228">
        <v>3100</v>
      </c>
      <c r="E4" s="228">
        <v>345.5</v>
      </c>
      <c r="F4" s="228">
        <v>347.7</v>
      </c>
      <c r="G4" s="228">
        <v>-2.2000000000000002</v>
      </c>
      <c r="H4" s="229">
        <v>-6.3E-3</v>
      </c>
      <c r="I4" s="228">
        <v>344.25</v>
      </c>
      <c r="J4" s="228">
        <v>346.8</v>
      </c>
      <c r="K4" s="228">
        <v>-2.5499999999999998</v>
      </c>
      <c r="L4" s="229">
        <v>-7.4000000000000003E-3</v>
      </c>
      <c r="M4" s="228">
        <v>345.5</v>
      </c>
      <c r="N4" s="228">
        <v>347.7</v>
      </c>
      <c r="O4" s="228">
        <v>-2.2000000000000002</v>
      </c>
      <c r="P4" s="229">
        <v>-6.3E-3</v>
      </c>
      <c r="Q4" s="228">
        <v>347.55</v>
      </c>
      <c r="R4" s="228">
        <v>349.7</v>
      </c>
      <c r="S4" s="228">
        <v>-2.15</v>
      </c>
      <c r="T4" s="229">
        <v>-6.1000000000000004E-3</v>
      </c>
      <c r="U4" s="228">
        <v>349.45</v>
      </c>
      <c r="V4" s="228">
        <v>351.55</v>
      </c>
      <c r="W4" s="228">
        <v>-2.1</v>
      </c>
      <c r="X4" s="229">
        <v>-6.0000000000000001E-3</v>
      </c>
      <c r="Y4" s="228">
        <v>1.25</v>
      </c>
      <c r="Z4" s="228">
        <v>0.9</v>
      </c>
      <c r="AA4" s="228">
        <v>0.35</v>
      </c>
      <c r="AB4" s="229">
        <v>3.5999999999999999E-3</v>
      </c>
      <c r="AC4" s="228">
        <v>1.25</v>
      </c>
      <c r="AD4" s="228">
        <v>0.9</v>
      </c>
      <c r="AE4" s="228">
        <v>0.35</v>
      </c>
      <c r="AF4" s="229">
        <v>3.5999999999999999E-3</v>
      </c>
      <c r="AG4" s="228">
        <v>3.3</v>
      </c>
      <c r="AH4" s="228">
        <v>2.9</v>
      </c>
      <c r="AI4" s="228">
        <v>0.4</v>
      </c>
      <c r="AJ4" s="229">
        <v>9.5999999999999992E-3</v>
      </c>
      <c r="AK4" s="228">
        <v>5.2</v>
      </c>
      <c r="AL4" s="228">
        <v>4.75</v>
      </c>
      <c r="AM4" s="228">
        <v>0.45</v>
      </c>
      <c r="AN4" s="229">
        <v>1.5100000000000001E-2</v>
      </c>
      <c r="AO4" s="228">
        <v>347.02</v>
      </c>
      <c r="AP4" s="228">
        <v>349.11</v>
      </c>
      <c r="AQ4" s="228">
        <v>0</v>
      </c>
      <c r="AR4" s="230">
        <v>7337700</v>
      </c>
      <c r="AS4" s="230">
        <v>8428900</v>
      </c>
      <c r="AT4" s="230">
        <v>-1091200</v>
      </c>
      <c r="AU4" s="229">
        <v>-0.1295</v>
      </c>
      <c r="AV4" s="230">
        <v>6289900</v>
      </c>
      <c r="AW4" s="230">
        <v>7502000</v>
      </c>
      <c r="AX4" s="230">
        <v>-1212100</v>
      </c>
      <c r="AY4" s="229">
        <v>-0.16159999999999999</v>
      </c>
      <c r="AZ4" s="230">
        <v>933100</v>
      </c>
      <c r="BA4" s="230">
        <v>827700</v>
      </c>
      <c r="BB4" s="230">
        <v>105400</v>
      </c>
      <c r="BC4" s="229">
        <v>0.1273</v>
      </c>
      <c r="BD4" s="230">
        <v>114700</v>
      </c>
      <c r="BE4" s="230">
        <v>99200</v>
      </c>
      <c r="BF4" s="230">
        <v>15500</v>
      </c>
      <c r="BG4" s="229">
        <v>0.15629999999999999</v>
      </c>
      <c r="BH4" s="230">
        <v>34053500</v>
      </c>
      <c r="BI4" s="230">
        <v>29815800</v>
      </c>
      <c r="BJ4" s="230">
        <v>4237700</v>
      </c>
      <c r="BK4" s="229">
        <v>0.1421</v>
      </c>
      <c r="BL4" s="230">
        <v>15320200</v>
      </c>
      <c r="BM4" s="230">
        <v>16392800</v>
      </c>
      <c r="BN4" s="230">
        <v>-1072600</v>
      </c>
      <c r="BO4" s="229">
        <v>-6.54E-2</v>
      </c>
      <c r="BP4" s="230">
        <v>56711400</v>
      </c>
      <c r="BQ4" s="230">
        <v>54637500</v>
      </c>
      <c r="BR4" s="230">
        <v>2073900</v>
      </c>
      <c r="BS4" s="229">
        <v>3.7999999999999999E-2</v>
      </c>
      <c r="BT4" s="230">
        <v>3441417</v>
      </c>
      <c r="BU4" s="230">
        <v>3471979</v>
      </c>
      <c r="BV4" s="230">
        <v>-30562</v>
      </c>
      <c r="BW4" s="229">
        <v>-8.8000000000000005E-3</v>
      </c>
      <c r="BX4" s="230">
        <v>75199800</v>
      </c>
      <c r="BY4" s="230">
        <v>75057200</v>
      </c>
      <c r="BZ4" s="230">
        <v>142600</v>
      </c>
      <c r="CA4" s="229">
        <v>1.9E-3</v>
      </c>
      <c r="CB4" s="230">
        <v>71901400</v>
      </c>
      <c r="CC4" s="230">
        <v>72009900</v>
      </c>
      <c r="CD4" s="230">
        <v>-108500</v>
      </c>
      <c r="CE4" s="229">
        <v>-1.5E-3</v>
      </c>
      <c r="CF4" s="230">
        <v>2817900</v>
      </c>
      <c r="CG4" s="230">
        <v>2610200</v>
      </c>
      <c r="CH4" s="230">
        <v>207700</v>
      </c>
      <c r="CI4" s="229">
        <v>7.9600000000000004E-2</v>
      </c>
      <c r="CJ4" s="230">
        <v>480500</v>
      </c>
      <c r="CK4" s="230">
        <v>437100</v>
      </c>
      <c r="CL4" s="230">
        <v>43400</v>
      </c>
      <c r="CM4" s="229">
        <v>9.9299999999999999E-2</v>
      </c>
      <c r="CN4" s="230">
        <v>27782200</v>
      </c>
      <c r="CO4" s="230">
        <v>27174600</v>
      </c>
      <c r="CP4" s="230">
        <v>607600</v>
      </c>
      <c r="CQ4" s="229">
        <v>2.24E-2</v>
      </c>
      <c r="CR4" s="230">
        <v>17198800</v>
      </c>
      <c r="CS4" s="230">
        <v>17772300</v>
      </c>
      <c r="CT4" s="230">
        <v>-573500</v>
      </c>
      <c r="CU4" s="229">
        <v>-3.2300000000000002E-2</v>
      </c>
      <c r="CV4" s="230">
        <v>120180800</v>
      </c>
      <c r="CW4" s="230">
        <v>120004100</v>
      </c>
      <c r="CX4" s="230">
        <v>176700</v>
      </c>
      <c r="CY4" s="229">
        <v>1.5E-3</v>
      </c>
      <c r="CZ4" s="228">
        <v>26.57</v>
      </c>
      <c r="DA4" s="228">
        <v>27.01</v>
      </c>
      <c r="DB4" s="228">
        <v>-0.44</v>
      </c>
      <c r="DC4" s="228">
        <v>-0.44</v>
      </c>
      <c r="DD4" s="228">
        <v>38.869999999999997</v>
      </c>
      <c r="DE4" s="228">
        <v>38.950000000000003</v>
      </c>
      <c r="DF4" s="228">
        <v>-12.3</v>
      </c>
      <c r="DG4" s="228">
        <v>-0.08</v>
      </c>
      <c r="DH4" s="228">
        <v>26.94</v>
      </c>
      <c r="DI4" s="228">
        <v>27.59</v>
      </c>
      <c r="DJ4" s="228">
        <v>-0.65</v>
      </c>
      <c r="DK4" s="228">
        <v>-0.65</v>
      </c>
      <c r="DL4" s="228">
        <v>25.74</v>
      </c>
      <c r="DM4" s="228">
        <v>25.97</v>
      </c>
      <c r="DN4" s="228">
        <v>-0.23</v>
      </c>
      <c r="DO4" s="228">
        <v>-0.23</v>
      </c>
      <c r="DP4" s="228">
        <v>0.62</v>
      </c>
      <c r="DQ4" s="228">
        <v>0.65</v>
      </c>
      <c r="DR4" s="228">
        <v>-0.03</v>
      </c>
      <c r="DS4" s="229">
        <v>-4.6199999999999998E-2</v>
      </c>
      <c r="DT4" s="228">
        <v>360</v>
      </c>
      <c r="DU4" s="228">
        <v>340</v>
      </c>
      <c r="DV4" s="228">
        <v>0.45</v>
      </c>
      <c r="DW4" s="228">
        <v>0.55000000000000004</v>
      </c>
      <c r="DX4" s="228">
        <v>-0.1</v>
      </c>
      <c r="DY4" s="229">
        <v>-0.18179999999999999</v>
      </c>
      <c r="DZ4" s="229">
        <v>4.3900000000000002E-2</v>
      </c>
      <c r="EA4" s="230">
        <v>3047300</v>
      </c>
      <c r="EB4" s="229">
        <v>5.8999999999999999E-3</v>
      </c>
      <c r="EC4" s="229">
        <v>4.3900000000000002E-2</v>
      </c>
      <c r="ED4" s="228">
        <v>2.09</v>
      </c>
      <c r="EE4" s="229">
        <v>6.0000000000000001E-3</v>
      </c>
      <c r="EF4" s="230">
        <v>1783837</v>
      </c>
      <c r="EG4" s="230">
        <v>1680944</v>
      </c>
      <c r="EH4" s="229">
        <v>6.1199999999999997E-2</v>
      </c>
      <c r="EI4" s="229">
        <v>0.51829999999999998</v>
      </c>
      <c r="EJ4" s="231">
        <v>123198.91</v>
      </c>
      <c r="EK4" s="231">
        <v>52931.42</v>
      </c>
      <c r="EL4" s="231">
        <v>25486.76</v>
      </c>
      <c r="EM4" s="231">
        <v>3528</v>
      </c>
      <c r="EN4" s="231">
        <v>201617.09</v>
      </c>
      <c r="EO4" s="231">
        <v>194971.47</v>
      </c>
      <c r="EP4" s="231">
        <v>6645.62</v>
      </c>
      <c r="EQ4" s="229">
        <v>3.4099999999999998E-2</v>
      </c>
      <c r="ER4" s="231">
        <v>100801</v>
      </c>
      <c r="ES4" s="231">
        <v>57708</v>
      </c>
      <c r="ET4" s="231">
        <v>259892</v>
      </c>
      <c r="EU4" s="231">
        <v>122316423</v>
      </c>
      <c r="EV4" s="231">
        <v>418401</v>
      </c>
      <c r="EW4" s="231">
        <v>419669</v>
      </c>
      <c r="EX4" s="231">
        <v>-1268</v>
      </c>
      <c r="EY4" s="229">
        <v>-3.0000000000000001E-3</v>
      </c>
      <c r="EZ4" s="229">
        <v>0.98250000000000004</v>
      </c>
      <c r="FA4" s="227" t="s">
        <v>567</v>
      </c>
      <c r="FB4" s="161">
        <f t="shared" si="0"/>
        <v>3298400</v>
      </c>
    </row>
    <row r="5" spans="1:158" ht="17.25" hidden="1" thickBot="1" x14ac:dyDescent="0.3">
      <c r="A5" s="226">
        <v>46009</v>
      </c>
      <c r="B5" s="227" t="s">
        <v>161</v>
      </c>
      <c r="C5" s="227" t="s">
        <v>579</v>
      </c>
      <c r="D5" s="228">
        <v>675</v>
      </c>
      <c r="E5" s="228">
        <v>977.65</v>
      </c>
      <c r="F5" s="228">
        <v>981.3</v>
      </c>
      <c r="G5" s="228">
        <v>-3.65</v>
      </c>
      <c r="H5" s="229">
        <v>-3.7000000000000002E-3</v>
      </c>
      <c r="I5" s="228">
        <v>976.3</v>
      </c>
      <c r="J5" s="228">
        <v>977.55</v>
      </c>
      <c r="K5" s="228">
        <v>-1.25</v>
      </c>
      <c r="L5" s="229">
        <v>-1.2999999999999999E-3</v>
      </c>
      <c r="M5" s="228">
        <v>977.65</v>
      </c>
      <c r="N5" s="228">
        <v>981.3</v>
      </c>
      <c r="O5" s="228">
        <v>-3.65</v>
      </c>
      <c r="P5" s="229">
        <v>-3.7000000000000002E-3</v>
      </c>
      <c r="Q5" s="228">
        <v>983.15</v>
      </c>
      <c r="R5" s="228">
        <v>986.9</v>
      </c>
      <c r="S5" s="228">
        <v>-3.75</v>
      </c>
      <c r="T5" s="229">
        <v>-3.8E-3</v>
      </c>
      <c r="U5" s="228">
        <v>994.7</v>
      </c>
      <c r="V5" s="228">
        <v>994.7</v>
      </c>
      <c r="W5" s="228">
        <v>0</v>
      </c>
      <c r="X5" s="229">
        <v>0</v>
      </c>
      <c r="Y5" s="228">
        <v>1.35</v>
      </c>
      <c r="Z5" s="228">
        <v>3.75</v>
      </c>
      <c r="AA5" s="228">
        <v>-2.4</v>
      </c>
      <c r="AB5" s="229">
        <v>1.4E-3</v>
      </c>
      <c r="AC5" s="228">
        <v>1.35</v>
      </c>
      <c r="AD5" s="228">
        <v>3.75</v>
      </c>
      <c r="AE5" s="228">
        <v>-2.4</v>
      </c>
      <c r="AF5" s="229">
        <v>1.4E-3</v>
      </c>
      <c r="AG5" s="228">
        <v>6.85</v>
      </c>
      <c r="AH5" s="228">
        <v>9.35</v>
      </c>
      <c r="AI5" s="228">
        <v>-2.5</v>
      </c>
      <c r="AJ5" s="229">
        <v>7.0000000000000001E-3</v>
      </c>
      <c r="AK5" s="228">
        <v>18.399999999999999</v>
      </c>
      <c r="AL5" s="228">
        <v>17.149999999999999</v>
      </c>
      <c r="AM5" s="228">
        <v>1.25</v>
      </c>
      <c r="AN5" s="229">
        <v>1.8800000000000001E-2</v>
      </c>
      <c r="AO5" s="228">
        <v>979.36</v>
      </c>
      <c r="AP5" s="228">
        <v>983.15</v>
      </c>
      <c r="AQ5" s="228">
        <v>0</v>
      </c>
      <c r="AR5" s="230">
        <v>941625</v>
      </c>
      <c r="AS5" s="230">
        <v>1294650</v>
      </c>
      <c r="AT5" s="230">
        <v>-353025</v>
      </c>
      <c r="AU5" s="229">
        <v>-0.2727</v>
      </c>
      <c r="AV5" s="230">
        <v>888975</v>
      </c>
      <c r="AW5" s="230">
        <v>1082700</v>
      </c>
      <c r="AX5" s="230">
        <v>-193725</v>
      </c>
      <c r="AY5" s="229">
        <v>-0.1789</v>
      </c>
      <c r="AZ5" s="230">
        <v>52650</v>
      </c>
      <c r="BA5" s="230">
        <v>209925</v>
      </c>
      <c r="BB5" s="230">
        <v>-157275</v>
      </c>
      <c r="BC5" s="229">
        <v>-0.74919999999999998</v>
      </c>
      <c r="BD5" s="228">
        <v>0</v>
      </c>
      <c r="BE5" s="230">
        <v>2025</v>
      </c>
      <c r="BF5" s="230">
        <v>-2025</v>
      </c>
      <c r="BG5" s="229">
        <v>-1</v>
      </c>
      <c r="BH5" s="230">
        <v>3478275</v>
      </c>
      <c r="BI5" s="230">
        <v>3787425</v>
      </c>
      <c r="BJ5" s="230">
        <v>-309150</v>
      </c>
      <c r="BK5" s="229">
        <v>-8.1600000000000006E-2</v>
      </c>
      <c r="BL5" s="230">
        <v>1203525</v>
      </c>
      <c r="BM5" s="230">
        <v>2280150</v>
      </c>
      <c r="BN5" s="230">
        <v>-1076625</v>
      </c>
      <c r="BO5" s="229">
        <v>-0.47220000000000001</v>
      </c>
      <c r="BP5" s="230">
        <v>5623425</v>
      </c>
      <c r="BQ5" s="230">
        <v>7362225</v>
      </c>
      <c r="BR5" s="230">
        <v>-1738800</v>
      </c>
      <c r="BS5" s="229">
        <v>-0.23619999999999999</v>
      </c>
      <c r="BT5" s="230">
        <v>785958</v>
      </c>
      <c r="BU5" s="230">
        <v>758614</v>
      </c>
      <c r="BV5" s="230">
        <v>27344</v>
      </c>
      <c r="BW5" s="229">
        <v>3.5999999999999997E-2</v>
      </c>
      <c r="BX5" s="230">
        <v>17960400</v>
      </c>
      <c r="BY5" s="230">
        <v>18060300</v>
      </c>
      <c r="BZ5" s="230">
        <v>-99900</v>
      </c>
      <c r="CA5" s="229">
        <v>-5.4999999999999997E-3</v>
      </c>
      <c r="CB5" s="230">
        <v>17556075</v>
      </c>
      <c r="CC5" s="230">
        <v>17652600</v>
      </c>
      <c r="CD5" s="230">
        <v>-96525</v>
      </c>
      <c r="CE5" s="229">
        <v>-5.4999999999999997E-3</v>
      </c>
      <c r="CF5" s="230">
        <v>331425</v>
      </c>
      <c r="CG5" s="230">
        <v>334800</v>
      </c>
      <c r="CH5" s="230">
        <v>-3375</v>
      </c>
      <c r="CI5" s="229">
        <v>-1.01E-2</v>
      </c>
      <c r="CJ5" s="230">
        <v>72900</v>
      </c>
      <c r="CK5" s="230">
        <v>72900</v>
      </c>
      <c r="CL5" s="228">
        <v>0</v>
      </c>
      <c r="CM5" s="229">
        <v>0</v>
      </c>
      <c r="CN5" s="230">
        <v>4177575</v>
      </c>
      <c r="CO5" s="230">
        <v>4056750</v>
      </c>
      <c r="CP5" s="230">
        <v>120825</v>
      </c>
      <c r="CQ5" s="229">
        <v>2.98E-2</v>
      </c>
      <c r="CR5" s="230">
        <v>2244375</v>
      </c>
      <c r="CS5" s="230">
        <v>2288250</v>
      </c>
      <c r="CT5" s="230">
        <v>-43875</v>
      </c>
      <c r="CU5" s="229">
        <v>-1.9199999999999998E-2</v>
      </c>
      <c r="CV5" s="230">
        <v>24382350</v>
      </c>
      <c r="CW5" s="230">
        <v>24405300</v>
      </c>
      <c r="CX5" s="230">
        <v>-22950</v>
      </c>
      <c r="CY5" s="229">
        <v>-8.9999999999999998E-4</v>
      </c>
      <c r="CZ5" s="228">
        <v>24.64</v>
      </c>
      <c r="DA5" s="228">
        <v>25.09</v>
      </c>
      <c r="DB5" s="228">
        <v>-0.45</v>
      </c>
      <c r="DC5" s="228">
        <v>-0.45</v>
      </c>
      <c r="DD5" s="228">
        <v>51.73</v>
      </c>
      <c r="DE5" s="228">
        <v>51.86</v>
      </c>
      <c r="DF5" s="228">
        <v>-27.09</v>
      </c>
      <c r="DG5" s="228">
        <v>-0.13</v>
      </c>
      <c r="DH5" s="228">
        <v>24.96</v>
      </c>
      <c r="DI5" s="228">
        <v>25.79</v>
      </c>
      <c r="DJ5" s="228">
        <v>-0.83</v>
      </c>
      <c r="DK5" s="228">
        <v>-0.83</v>
      </c>
      <c r="DL5" s="228">
        <v>23.73</v>
      </c>
      <c r="DM5" s="228">
        <v>23.93</v>
      </c>
      <c r="DN5" s="228">
        <v>-0.2</v>
      </c>
      <c r="DO5" s="228">
        <v>-0.2</v>
      </c>
      <c r="DP5" s="228">
        <v>0.54</v>
      </c>
      <c r="DQ5" s="228">
        <v>0.56000000000000005</v>
      </c>
      <c r="DR5" s="228">
        <v>-0.02</v>
      </c>
      <c r="DS5" s="229">
        <v>-3.5700000000000003E-2</v>
      </c>
      <c r="DT5" s="231">
        <v>1000</v>
      </c>
      <c r="DU5" s="228">
        <v>900</v>
      </c>
      <c r="DV5" s="228">
        <v>0.35</v>
      </c>
      <c r="DW5" s="228">
        <v>0.6</v>
      </c>
      <c r="DX5" s="228">
        <v>-0.25</v>
      </c>
      <c r="DY5" s="229">
        <v>-0.41670000000000001</v>
      </c>
      <c r="DZ5" s="229">
        <v>2.2499999999999999E-2</v>
      </c>
      <c r="EA5" s="230">
        <v>407700</v>
      </c>
      <c r="EB5" s="229">
        <v>5.5999999999999999E-3</v>
      </c>
      <c r="EC5" s="229">
        <v>2.2499999999999999E-2</v>
      </c>
      <c r="ED5" s="228">
        <v>3.79</v>
      </c>
      <c r="EE5" s="229">
        <v>3.8999999999999998E-3</v>
      </c>
      <c r="EF5" s="230">
        <v>431063</v>
      </c>
      <c r="EG5" s="230">
        <v>365757</v>
      </c>
      <c r="EH5" s="229">
        <v>0.17860000000000001</v>
      </c>
      <c r="EI5" s="229">
        <v>0.54849999999999999</v>
      </c>
      <c r="EJ5" s="231">
        <v>35508.89</v>
      </c>
      <c r="EK5" s="231">
        <v>11696.33</v>
      </c>
      <c r="EL5" s="231">
        <v>9223.8700000000008</v>
      </c>
      <c r="EM5" s="231">
        <v>2432</v>
      </c>
      <c r="EN5" s="231">
        <v>56429.09</v>
      </c>
      <c r="EO5" s="231">
        <v>74302.59</v>
      </c>
      <c r="EP5" s="231">
        <v>-17873.5</v>
      </c>
      <c r="EQ5" s="229">
        <v>-0.24060000000000001</v>
      </c>
      <c r="ER5" s="231">
        <v>43408</v>
      </c>
      <c r="ES5" s="231">
        <v>21227</v>
      </c>
      <c r="ET5" s="231">
        <v>175621</v>
      </c>
      <c r="EU5" s="231">
        <v>51907388</v>
      </c>
      <c r="EV5" s="231">
        <v>240255</v>
      </c>
      <c r="EW5" s="231">
        <v>241173</v>
      </c>
      <c r="EX5" s="228">
        <v>-918</v>
      </c>
      <c r="EY5" s="229">
        <v>-3.8E-3</v>
      </c>
      <c r="EZ5" s="229">
        <v>0.46970000000000001</v>
      </c>
      <c r="FA5" s="227" t="s">
        <v>568</v>
      </c>
      <c r="FB5" s="161">
        <f t="shared" si="0"/>
        <v>404325</v>
      </c>
    </row>
    <row r="6" spans="1:158" ht="17.25" hidden="1" thickBot="1" x14ac:dyDescent="0.3">
      <c r="A6" s="226">
        <v>46009</v>
      </c>
      <c r="B6" s="227" t="s">
        <v>215</v>
      </c>
      <c r="C6" s="227" t="s">
        <v>159</v>
      </c>
      <c r="D6" s="228">
        <v>309</v>
      </c>
      <c r="E6" s="231">
        <v>2236.5</v>
      </c>
      <c r="F6" s="231">
        <v>2241.8000000000002</v>
      </c>
      <c r="G6" s="228">
        <v>-5.3</v>
      </c>
      <c r="H6" s="229">
        <v>-2.3999999999999998E-3</v>
      </c>
      <c r="I6" s="231">
        <v>2229.3000000000002</v>
      </c>
      <c r="J6" s="231">
        <v>2232.5</v>
      </c>
      <c r="K6" s="228">
        <v>-3.2</v>
      </c>
      <c r="L6" s="229">
        <v>-1.4E-3</v>
      </c>
      <c r="M6" s="231">
        <v>2236.5</v>
      </c>
      <c r="N6" s="231">
        <v>2241.8000000000002</v>
      </c>
      <c r="O6" s="228">
        <v>-5.3</v>
      </c>
      <c r="P6" s="229">
        <v>-2.3999999999999998E-3</v>
      </c>
      <c r="Q6" s="231">
        <v>2246.1</v>
      </c>
      <c r="R6" s="231">
        <v>2250.9</v>
      </c>
      <c r="S6" s="228">
        <v>-4.8</v>
      </c>
      <c r="T6" s="229">
        <v>-2.0999999999999999E-3</v>
      </c>
      <c r="U6" s="231">
        <v>2250.6</v>
      </c>
      <c r="V6" s="231">
        <v>2258.1999999999998</v>
      </c>
      <c r="W6" s="228">
        <v>-7.6</v>
      </c>
      <c r="X6" s="229">
        <v>-3.3999999999999998E-3</v>
      </c>
      <c r="Y6" s="228">
        <v>7.2</v>
      </c>
      <c r="Z6" s="228">
        <v>9.3000000000000007</v>
      </c>
      <c r="AA6" s="228">
        <v>-2.1</v>
      </c>
      <c r="AB6" s="229">
        <v>3.2000000000000002E-3</v>
      </c>
      <c r="AC6" s="228">
        <v>7.2</v>
      </c>
      <c r="AD6" s="228">
        <v>9.3000000000000007</v>
      </c>
      <c r="AE6" s="228">
        <v>-2.1</v>
      </c>
      <c r="AF6" s="229">
        <v>3.2000000000000002E-3</v>
      </c>
      <c r="AG6" s="228">
        <v>16.8</v>
      </c>
      <c r="AH6" s="228">
        <v>18.399999999999999</v>
      </c>
      <c r="AI6" s="228">
        <v>-1.6</v>
      </c>
      <c r="AJ6" s="229">
        <v>7.4999999999999997E-3</v>
      </c>
      <c r="AK6" s="228">
        <v>21.3</v>
      </c>
      <c r="AL6" s="228">
        <v>25.7</v>
      </c>
      <c r="AM6" s="228">
        <v>-4.4000000000000004</v>
      </c>
      <c r="AN6" s="229">
        <v>9.5999999999999992E-3</v>
      </c>
      <c r="AO6" s="231">
        <v>2238.04</v>
      </c>
      <c r="AP6" s="231">
        <v>2246.85</v>
      </c>
      <c r="AQ6" s="228">
        <v>0</v>
      </c>
      <c r="AR6" s="230">
        <v>1827426</v>
      </c>
      <c r="AS6" s="230">
        <v>1887063</v>
      </c>
      <c r="AT6" s="230">
        <v>-59637</v>
      </c>
      <c r="AU6" s="229">
        <v>-3.1600000000000003E-2</v>
      </c>
      <c r="AV6" s="230">
        <v>1382775</v>
      </c>
      <c r="AW6" s="230">
        <v>1597839</v>
      </c>
      <c r="AX6" s="230">
        <v>-215064</v>
      </c>
      <c r="AY6" s="229">
        <v>-0.1346</v>
      </c>
      <c r="AZ6" s="230">
        <v>417768</v>
      </c>
      <c r="BA6" s="230">
        <v>231441</v>
      </c>
      <c r="BB6" s="230">
        <v>186327</v>
      </c>
      <c r="BC6" s="229">
        <v>0.80510000000000004</v>
      </c>
      <c r="BD6" s="230">
        <v>26883</v>
      </c>
      <c r="BE6" s="230">
        <v>57783</v>
      </c>
      <c r="BF6" s="230">
        <v>-30900</v>
      </c>
      <c r="BG6" s="229">
        <v>-0.53480000000000005</v>
      </c>
      <c r="BH6" s="230">
        <v>8208585</v>
      </c>
      <c r="BI6" s="230">
        <v>8317662</v>
      </c>
      <c r="BJ6" s="230">
        <v>-109077</v>
      </c>
      <c r="BK6" s="229">
        <v>-1.3100000000000001E-2</v>
      </c>
      <c r="BL6" s="230">
        <v>2719509</v>
      </c>
      <c r="BM6" s="230">
        <v>3893091</v>
      </c>
      <c r="BN6" s="230">
        <v>-1173582</v>
      </c>
      <c r="BO6" s="229">
        <v>-0.30149999999999999</v>
      </c>
      <c r="BP6" s="230">
        <v>12755520</v>
      </c>
      <c r="BQ6" s="230">
        <v>14097816</v>
      </c>
      <c r="BR6" s="230">
        <v>-1342296</v>
      </c>
      <c r="BS6" s="229">
        <v>-9.5200000000000007E-2</v>
      </c>
      <c r="BT6" s="230">
        <v>523988</v>
      </c>
      <c r="BU6" s="230">
        <v>675126</v>
      </c>
      <c r="BV6" s="230">
        <v>-151138</v>
      </c>
      <c r="BW6" s="229">
        <v>-0.22389999999999999</v>
      </c>
      <c r="BX6" s="230">
        <v>22764339</v>
      </c>
      <c r="BY6" s="230">
        <v>22617255</v>
      </c>
      <c r="BZ6" s="230">
        <v>147084</v>
      </c>
      <c r="CA6" s="229">
        <v>6.4999999999999997E-3</v>
      </c>
      <c r="CB6" s="230">
        <v>19951203</v>
      </c>
      <c r="CC6" s="230">
        <v>19980249</v>
      </c>
      <c r="CD6" s="230">
        <v>-29046</v>
      </c>
      <c r="CE6" s="229">
        <v>-1.5E-3</v>
      </c>
      <c r="CF6" s="230">
        <v>2373738</v>
      </c>
      <c r="CG6" s="230">
        <v>2207805</v>
      </c>
      <c r="CH6" s="230">
        <v>165933</v>
      </c>
      <c r="CI6" s="229">
        <v>7.5200000000000003E-2</v>
      </c>
      <c r="CJ6" s="230">
        <v>439398</v>
      </c>
      <c r="CK6" s="230">
        <v>429201</v>
      </c>
      <c r="CL6" s="230">
        <v>10197</v>
      </c>
      <c r="CM6" s="229">
        <v>2.3800000000000002E-2</v>
      </c>
      <c r="CN6" s="230">
        <v>14251698</v>
      </c>
      <c r="CO6" s="230">
        <v>14375298</v>
      </c>
      <c r="CP6" s="230">
        <v>-123600</v>
      </c>
      <c r="CQ6" s="229">
        <v>-8.6E-3</v>
      </c>
      <c r="CR6" s="230">
        <v>8785488</v>
      </c>
      <c r="CS6" s="230">
        <v>8757987</v>
      </c>
      <c r="CT6" s="230">
        <v>27501</v>
      </c>
      <c r="CU6" s="229">
        <v>3.0999999999999999E-3</v>
      </c>
      <c r="CV6" s="230">
        <v>45801525</v>
      </c>
      <c r="CW6" s="230">
        <v>45750540</v>
      </c>
      <c r="CX6" s="230">
        <v>50985</v>
      </c>
      <c r="CY6" s="229">
        <v>1.1000000000000001E-3</v>
      </c>
      <c r="CZ6" s="228">
        <v>27.53</v>
      </c>
      <c r="DA6" s="228">
        <v>27.89</v>
      </c>
      <c r="DB6" s="228">
        <v>-0.36</v>
      </c>
      <c r="DC6" s="228">
        <v>-0.36</v>
      </c>
      <c r="DD6" s="228">
        <v>46.57</v>
      </c>
      <c r="DE6" s="228">
        <v>46.68</v>
      </c>
      <c r="DF6" s="228">
        <v>-19.04</v>
      </c>
      <c r="DG6" s="228">
        <v>-0.11</v>
      </c>
      <c r="DH6" s="228">
        <v>27.49</v>
      </c>
      <c r="DI6" s="228">
        <v>28.21</v>
      </c>
      <c r="DJ6" s="228">
        <v>-0.72</v>
      </c>
      <c r="DK6" s="228">
        <v>-0.72</v>
      </c>
      <c r="DL6" s="228">
        <v>27.65</v>
      </c>
      <c r="DM6" s="228">
        <v>27.22</v>
      </c>
      <c r="DN6" s="228">
        <v>0.43</v>
      </c>
      <c r="DO6" s="228">
        <v>0.43</v>
      </c>
      <c r="DP6" s="228">
        <v>0.62</v>
      </c>
      <c r="DQ6" s="228">
        <v>0.61</v>
      </c>
      <c r="DR6" s="228">
        <v>0.01</v>
      </c>
      <c r="DS6" s="229">
        <v>1.6400000000000001E-2</v>
      </c>
      <c r="DT6" s="231">
        <v>2300</v>
      </c>
      <c r="DU6" s="231">
        <v>2300</v>
      </c>
      <c r="DV6" s="228">
        <v>0.33</v>
      </c>
      <c r="DW6" s="228">
        <v>0.47</v>
      </c>
      <c r="DX6" s="228">
        <v>-0.14000000000000001</v>
      </c>
      <c r="DY6" s="229">
        <v>-0.2979</v>
      </c>
      <c r="DZ6" s="229">
        <v>0.1236</v>
      </c>
      <c r="EA6" s="230">
        <v>2637006</v>
      </c>
      <c r="EB6" s="229">
        <v>4.3E-3</v>
      </c>
      <c r="EC6" s="229">
        <v>0.1236</v>
      </c>
      <c r="ED6" s="228">
        <v>8.81</v>
      </c>
      <c r="EE6" s="229">
        <v>3.8999999999999998E-3</v>
      </c>
      <c r="EF6" s="230">
        <v>93552</v>
      </c>
      <c r="EG6" s="230">
        <v>190283</v>
      </c>
      <c r="EH6" s="229">
        <v>-0.50839999999999996</v>
      </c>
      <c r="EI6" s="229">
        <v>0.17849999999999999</v>
      </c>
      <c r="EJ6" s="231">
        <v>192600.43</v>
      </c>
      <c r="EK6" s="231">
        <v>59963.82</v>
      </c>
      <c r="EL6" s="231">
        <v>40938.28</v>
      </c>
      <c r="EM6" s="231">
        <v>8592</v>
      </c>
      <c r="EN6" s="231">
        <v>293502.53000000003</v>
      </c>
      <c r="EO6" s="231">
        <v>325027.96000000002</v>
      </c>
      <c r="EP6" s="231">
        <v>-31525.43</v>
      </c>
      <c r="EQ6" s="229">
        <v>-9.7000000000000003E-2</v>
      </c>
      <c r="ER6" s="231">
        <v>338308</v>
      </c>
      <c r="ES6" s="231">
        <v>198953</v>
      </c>
      <c r="ET6" s="231">
        <v>509414</v>
      </c>
      <c r="EU6" s="231">
        <v>30942206</v>
      </c>
      <c r="EV6" s="231">
        <v>1046675</v>
      </c>
      <c r="EW6" s="231">
        <v>1047745</v>
      </c>
      <c r="EX6" s="231">
        <v>-1070</v>
      </c>
      <c r="EY6" s="229">
        <v>-1E-3</v>
      </c>
      <c r="EZ6" s="229">
        <v>1.4802</v>
      </c>
      <c r="FA6" s="227" t="s">
        <v>567</v>
      </c>
      <c r="FB6" s="161">
        <f t="shared" si="0"/>
        <v>2813136</v>
      </c>
    </row>
    <row r="7" spans="1:158" ht="17.25" hidden="1" thickBot="1" x14ac:dyDescent="0.3">
      <c r="A7" s="226">
        <v>46009</v>
      </c>
      <c r="B7" s="227" t="s">
        <v>161</v>
      </c>
      <c r="C7" s="227" t="s">
        <v>606</v>
      </c>
      <c r="D7" s="228">
        <v>600</v>
      </c>
      <c r="E7" s="231">
        <v>1013.9</v>
      </c>
      <c r="F7" s="231">
        <v>1023.6</v>
      </c>
      <c r="G7" s="228">
        <v>-9.6999999999999993</v>
      </c>
      <c r="H7" s="229">
        <v>-9.4999999999999998E-3</v>
      </c>
      <c r="I7" s="231">
        <v>1011</v>
      </c>
      <c r="J7" s="231">
        <v>1020.7</v>
      </c>
      <c r="K7" s="228">
        <v>-9.6999999999999993</v>
      </c>
      <c r="L7" s="229">
        <v>-9.4999999999999998E-3</v>
      </c>
      <c r="M7" s="231">
        <v>1013.9</v>
      </c>
      <c r="N7" s="231">
        <v>1023.6</v>
      </c>
      <c r="O7" s="228">
        <v>-9.6999999999999993</v>
      </c>
      <c r="P7" s="229">
        <v>-9.4999999999999998E-3</v>
      </c>
      <c r="Q7" s="231">
        <v>1020</v>
      </c>
      <c r="R7" s="231">
        <v>1029.9000000000001</v>
      </c>
      <c r="S7" s="228">
        <v>-9.9</v>
      </c>
      <c r="T7" s="229">
        <v>-9.5999999999999992E-3</v>
      </c>
      <c r="U7" s="231">
        <v>1025.5</v>
      </c>
      <c r="V7" s="231">
        <v>1036.5</v>
      </c>
      <c r="W7" s="228">
        <v>-11</v>
      </c>
      <c r="X7" s="229">
        <v>-1.06E-2</v>
      </c>
      <c r="Y7" s="228">
        <v>2.9</v>
      </c>
      <c r="Z7" s="228">
        <v>2.9</v>
      </c>
      <c r="AA7" s="228">
        <v>0</v>
      </c>
      <c r="AB7" s="229">
        <v>2.8999999999999998E-3</v>
      </c>
      <c r="AC7" s="228">
        <v>2.9</v>
      </c>
      <c r="AD7" s="228">
        <v>2.9</v>
      </c>
      <c r="AE7" s="228">
        <v>0</v>
      </c>
      <c r="AF7" s="229">
        <v>2.8999999999999998E-3</v>
      </c>
      <c r="AG7" s="228">
        <v>9</v>
      </c>
      <c r="AH7" s="228">
        <v>9.1999999999999993</v>
      </c>
      <c r="AI7" s="228">
        <v>-0.2</v>
      </c>
      <c r="AJ7" s="229">
        <v>8.8999999999999999E-3</v>
      </c>
      <c r="AK7" s="228">
        <v>14.5</v>
      </c>
      <c r="AL7" s="228">
        <v>15.8</v>
      </c>
      <c r="AM7" s="228">
        <v>-1.3</v>
      </c>
      <c r="AN7" s="229">
        <v>1.43E-2</v>
      </c>
      <c r="AO7" s="231">
        <v>1014.54</v>
      </c>
      <c r="AP7" s="231">
        <v>1022.14</v>
      </c>
      <c r="AQ7" s="228">
        <v>0</v>
      </c>
      <c r="AR7" s="230">
        <v>2699400</v>
      </c>
      <c r="AS7" s="230">
        <v>1897800</v>
      </c>
      <c r="AT7" s="230">
        <v>801600</v>
      </c>
      <c r="AU7" s="229">
        <v>0.4224</v>
      </c>
      <c r="AV7" s="230">
        <v>2387400</v>
      </c>
      <c r="AW7" s="230">
        <v>1674000</v>
      </c>
      <c r="AX7" s="230">
        <v>713400</v>
      </c>
      <c r="AY7" s="229">
        <v>0.42620000000000002</v>
      </c>
      <c r="AZ7" s="230">
        <v>293400</v>
      </c>
      <c r="BA7" s="230">
        <v>204000</v>
      </c>
      <c r="BB7" s="230">
        <v>89400</v>
      </c>
      <c r="BC7" s="229">
        <v>0.43819999999999998</v>
      </c>
      <c r="BD7" s="230">
        <v>18600</v>
      </c>
      <c r="BE7" s="230">
        <v>19800</v>
      </c>
      <c r="BF7" s="230">
        <v>-1200</v>
      </c>
      <c r="BG7" s="229">
        <v>-6.0600000000000001E-2</v>
      </c>
      <c r="BH7" s="230">
        <v>10790400</v>
      </c>
      <c r="BI7" s="230">
        <v>9652200</v>
      </c>
      <c r="BJ7" s="230">
        <v>1138200</v>
      </c>
      <c r="BK7" s="229">
        <v>0.1179</v>
      </c>
      <c r="BL7" s="230">
        <v>4884000</v>
      </c>
      <c r="BM7" s="230">
        <v>5108400</v>
      </c>
      <c r="BN7" s="230">
        <v>-224400</v>
      </c>
      <c r="BO7" s="229">
        <v>-4.3900000000000002E-2</v>
      </c>
      <c r="BP7" s="230">
        <v>18373800</v>
      </c>
      <c r="BQ7" s="230">
        <v>16658400</v>
      </c>
      <c r="BR7" s="230">
        <v>1715400</v>
      </c>
      <c r="BS7" s="229">
        <v>0.10299999999999999</v>
      </c>
      <c r="BT7" s="230">
        <v>1252569</v>
      </c>
      <c r="BU7" s="230">
        <v>1383030</v>
      </c>
      <c r="BV7" s="230">
        <v>-130461</v>
      </c>
      <c r="BW7" s="229">
        <v>-9.4299999999999995E-2</v>
      </c>
      <c r="BX7" s="230">
        <v>25506600</v>
      </c>
      <c r="BY7" s="230">
        <v>25622400</v>
      </c>
      <c r="BZ7" s="230">
        <v>-115800</v>
      </c>
      <c r="CA7" s="229">
        <v>-4.4999999999999997E-3</v>
      </c>
      <c r="CB7" s="230">
        <v>24111000</v>
      </c>
      <c r="CC7" s="230">
        <v>24331200</v>
      </c>
      <c r="CD7" s="230">
        <v>-220200</v>
      </c>
      <c r="CE7" s="229">
        <v>-9.1000000000000004E-3</v>
      </c>
      <c r="CF7" s="230">
        <v>1170000</v>
      </c>
      <c r="CG7" s="230">
        <v>1074600</v>
      </c>
      <c r="CH7" s="230">
        <v>95400</v>
      </c>
      <c r="CI7" s="229">
        <v>8.8800000000000004E-2</v>
      </c>
      <c r="CJ7" s="230">
        <v>225600</v>
      </c>
      <c r="CK7" s="230">
        <v>216600</v>
      </c>
      <c r="CL7" s="230">
        <v>9000</v>
      </c>
      <c r="CM7" s="229">
        <v>4.1599999999999998E-2</v>
      </c>
      <c r="CN7" s="230">
        <v>12261000</v>
      </c>
      <c r="CO7" s="230">
        <v>12699600</v>
      </c>
      <c r="CP7" s="230">
        <v>-438600</v>
      </c>
      <c r="CQ7" s="229">
        <v>-3.4500000000000003E-2</v>
      </c>
      <c r="CR7" s="230">
        <v>6606600</v>
      </c>
      <c r="CS7" s="230">
        <v>6808200</v>
      </c>
      <c r="CT7" s="230">
        <v>-201600</v>
      </c>
      <c r="CU7" s="229">
        <v>-2.9600000000000001E-2</v>
      </c>
      <c r="CV7" s="230">
        <v>44374200</v>
      </c>
      <c r="CW7" s="230">
        <v>45130200</v>
      </c>
      <c r="CX7" s="230">
        <v>-756000</v>
      </c>
      <c r="CY7" s="229">
        <v>-1.6799999999999999E-2</v>
      </c>
      <c r="CZ7" s="228">
        <v>29.25</v>
      </c>
      <c r="DA7" s="228">
        <v>29.61</v>
      </c>
      <c r="DB7" s="228">
        <v>-0.36</v>
      </c>
      <c r="DC7" s="228">
        <v>-0.36</v>
      </c>
      <c r="DD7" s="228">
        <v>55.63</v>
      </c>
      <c r="DE7" s="228">
        <v>55.76</v>
      </c>
      <c r="DF7" s="228">
        <v>-26.38</v>
      </c>
      <c r="DG7" s="228">
        <v>-0.13</v>
      </c>
      <c r="DH7" s="228">
        <v>29.98</v>
      </c>
      <c r="DI7" s="228">
        <v>30.45</v>
      </c>
      <c r="DJ7" s="228">
        <v>-0.47</v>
      </c>
      <c r="DK7" s="228">
        <v>-0.47</v>
      </c>
      <c r="DL7" s="228">
        <v>27.64</v>
      </c>
      <c r="DM7" s="228">
        <v>28.03</v>
      </c>
      <c r="DN7" s="228">
        <v>-0.39</v>
      </c>
      <c r="DO7" s="228">
        <v>-0.39</v>
      </c>
      <c r="DP7" s="228">
        <v>0.54</v>
      </c>
      <c r="DQ7" s="228">
        <v>0.54</v>
      </c>
      <c r="DR7" s="228">
        <v>0</v>
      </c>
      <c r="DS7" s="229">
        <v>0</v>
      </c>
      <c r="DT7" s="231">
        <v>1100</v>
      </c>
      <c r="DU7" s="231">
        <v>1000</v>
      </c>
      <c r="DV7" s="228">
        <v>0.45</v>
      </c>
      <c r="DW7" s="228">
        <v>0.53</v>
      </c>
      <c r="DX7" s="228">
        <v>-0.08</v>
      </c>
      <c r="DY7" s="229">
        <v>-0.15090000000000001</v>
      </c>
      <c r="DZ7" s="229">
        <v>5.4699999999999999E-2</v>
      </c>
      <c r="EA7" s="230">
        <v>1291200</v>
      </c>
      <c r="EB7" s="229">
        <v>6.0000000000000001E-3</v>
      </c>
      <c r="EC7" s="229">
        <v>5.4699999999999999E-2</v>
      </c>
      <c r="ED7" s="228">
        <v>7.6</v>
      </c>
      <c r="EE7" s="229">
        <v>7.4999999999999997E-3</v>
      </c>
      <c r="EF7" s="230">
        <v>456534</v>
      </c>
      <c r="EG7" s="230">
        <v>500496</v>
      </c>
      <c r="EH7" s="229">
        <v>-8.7800000000000003E-2</v>
      </c>
      <c r="EI7" s="229">
        <v>0.36449999999999999</v>
      </c>
      <c r="EJ7" s="231">
        <v>116098.31</v>
      </c>
      <c r="EK7" s="231">
        <v>48962.55</v>
      </c>
      <c r="EL7" s="231">
        <v>27411.24</v>
      </c>
      <c r="EM7" s="231">
        <v>7396</v>
      </c>
      <c r="EN7" s="231">
        <v>192472.1</v>
      </c>
      <c r="EO7" s="231">
        <v>176677.79</v>
      </c>
      <c r="EP7" s="231">
        <v>15794.31</v>
      </c>
      <c r="EQ7" s="229">
        <v>8.9399999999999993E-2</v>
      </c>
      <c r="ER7" s="231">
        <v>133891</v>
      </c>
      <c r="ES7" s="231">
        <v>66410</v>
      </c>
      <c r="ET7" s="231">
        <v>258709</v>
      </c>
      <c r="EU7" s="231">
        <v>61877951</v>
      </c>
      <c r="EV7" s="231">
        <v>459010</v>
      </c>
      <c r="EW7" s="231">
        <v>469771</v>
      </c>
      <c r="EX7" s="231">
        <v>-10761</v>
      </c>
      <c r="EY7" s="229">
        <v>-2.29E-2</v>
      </c>
      <c r="EZ7" s="229">
        <v>0.71709999999999996</v>
      </c>
      <c r="FA7" s="227" t="s">
        <v>568</v>
      </c>
      <c r="FB7" s="161">
        <f t="shared" si="0"/>
        <v>1395600</v>
      </c>
    </row>
    <row r="8" spans="1:158" ht="17.25" hidden="1" thickBot="1" x14ac:dyDescent="0.3">
      <c r="A8" s="226">
        <v>46009</v>
      </c>
      <c r="B8" s="227" t="s">
        <v>215</v>
      </c>
      <c r="C8" s="227" t="s">
        <v>160</v>
      </c>
      <c r="D8" s="228">
        <v>475</v>
      </c>
      <c r="E8" s="231">
        <v>1499.4</v>
      </c>
      <c r="F8" s="231">
        <v>1491.8</v>
      </c>
      <c r="G8" s="228">
        <v>7.6</v>
      </c>
      <c r="H8" s="229">
        <v>5.1000000000000004E-3</v>
      </c>
      <c r="I8" s="231">
        <v>1495.7</v>
      </c>
      <c r="J8" s="231">
        <v>1486.3</v>
      </c>
      <c r="K8" s="228">
        <v>9.4</v>
      </c>
      <c r="L8" s="229">
        <v>6.3E-3</v>
      </c>
      <c r="M8" s="231">
        <v>1499.4</v>
      </c>
      <c r="N8" s="231">
        <v>1491.8</v>
      </c>
      <c r="O8" s="228">
        <v>7.6</v>
      </c>
      <c r="P8" s="229">
        <v>5.1000000000000004E-3</v>
      </c>
      <c r="Q8" s="231">
        <v>1508.7</v>
      </c>
      <c r="R8" s="231">
        <v>1500.1</v>
      </c>
      <c r="S8" s="228">
        <v>8.6</v>
      </c>
      <c r="T8" s="229">
        <v>5.7000000000000002E-3</v>
      </c>
      <c r="U8" s="231">
        <v>1516.7</v>
      </c>
      <c r="V8" s="231">
        <v>1509.8</v>
      </c>
      <c r="W8" s="228">
        <v>6.9</v>
      </c>
      <c r="X8" s="229">
        <v>4.5999999999999999E-3</v>
      </c>
      <c r="Y8" s="228">
        <v>3.7</v>
      </c>
      <c r="Z8" s="228">
        <v>5.5</v>
      </c>
      <c r="AA8" s="228">
        <v>-1.8</v>
      </c>
      <c r="AB8" s="229">
        <v>2.5000000000000001E-3</v>
      </c>
      <c r="AC8" s="228">
        <v>3.7</v>
      </c>
      <c r="AD8" s="228">
        <v>5.5</v>
      </c>
      <c r="AE8" s="228">
        <v>-1.8</v>
      </c>
      <c r="AF8" s="229">
        <v>2.5000000000000001E-3</v>
      </c>
      <c r="AG8" s="228">
        <v>13</v>
      </c>
      <c r="AH8" s="228">
        <v>13.8</v>
      </c>
      <c r="AI8" s="228">
        <v>-0.8</v>
      </c>
      <c r="AJ8" s="229">
        <v>8.6999999999999994E-3</v>
      </c>
      <c r="AK8" s="228">
        <v>21</v>
      </c>
      <c r="AL8" s="228">
        <v>23.5</v>
      </c>
      <c r="AM8" s="228">
        <v>-2.5</v>
      </c>
      <c r="AN8" s="229">
        <v>1.4E-2</v>
      </c>
      <c r="AO8" s="231">
        <v>1493.09</v>
      </c>
      <c r="AP8" s="231">
        <v>1502.44</v>
      </c>
      <c r="AQ8" s="228">
        <v>0</v>
      </c>
      <c r="AR8" s="230">
        <v>2493275</v>
      </c>
      <c r="AS8" s="230">
        <v>1649200</v>
      </c>
      <c r="AT8" s="230">
        <v>844075</v>
      </c>
      <c r="AU8" s="229">
        <v>0.51180000000000003</v>
      </c>
      <c r="AV8" s="230">
        <v>1885750</v>
      </c>
      <c r="AW8" s="230">
        <v>1244025</v>
      </c>
      <c r="AX8" s="230">
        <v>641725</v>
      </c>
      <c r="AY8" s="229">
        <v>0.51580000000000004</v>
      </c>
      <c r="AZ8" s="230">
        <v>582350</v>
      </c>
      <c r="BA8" s="230">
        <v>378100</v>
      </c>
      <c r="BB8" s="230">
        <v>204250</v>
      </c>
      <c r="BC8" s="229">
        <v>0.54020000000000001</v>
      </c>
      <c r="BD8" s="230">
        <v>25175</v>
      </c>
      <c r="BE8" s="230">
        <v>27075</v>
      </c>
      <c r="BF8" s="230">
        <v>-1900</v>
      </c>
      <c r="BG8" s="229">
        <v>-7.0199999999999999E-2</v>
      </c>
      <c r="BH8" s="230">
        <v>7755325</v>
      </c>
      <c r="BI8" s="230">
        <v>7095550</v>
      </c>
      <c r="BJ8" s="230">
        <v>659775</v>
      </c>
      <c r="BK8" s="229">
        <v>9.2999999999999999E-2</v>
      </c>
      <c r="BL8" s="230">
        <v>2948325</v>
      </c>
      <c r="BM8" s="230">
        <v>3201975</v>
      </c>
      <c r="BN8" s="230">
        <v>-253650</v>
      </c>
      <c r="BO8" s="229">
        <v>-7.9200000000000007E-2</v>
      </c>
      <c r="BP8" s="230">
        <v>13196925</v>
      </c>
      <c r="BQ8" s="230">
        <v>11946725</v>
      </c>
      <c r="BR8" s="230">
        <v>1250200</v>
      </c>
      <c r="BS8" s="229">
        <v>0.1046</v>
      </c>
      <c r="BT8" s="230">
        <v>716887</v>
      </c>
      <c r="BU8" s="230">
        <v>1004997</v>
      </c>
      <c r="BV8" s="230">
        <v>-288110</v>
      </c>
      <c r="BW8" s="229">
        <v>-0.28670000000000001</v>
      </c>
      <c r="BX8" s="230">
        <v>24121450</v>
      </c>
      <c r="BY8" s="230">
        <v>23775650</v>
      </c>
      <c r="BZ8" s="230">
        <v>345800</v>
      </c>
      <c r="CA8" s="229">
        <v>1.4500000000000001E-2</v>
      </c>
      <c r="CB8" s="230">
        <v>21422025</v>
      </c>
      <c r="CC8" s="230">
        <v>21467625</v>
      </c>
      <c r="CD8" s="230">
        <v>-45600</v>
      </c>
      <c r="CE8" s="229">
        <v>-2.0999999999999999E-3</v>
      </c>
      <c r="CF8" s="230">
        <v>2429625</v>
      </c>
      <c r="CG8" s="230">
        <v>2043925</v>
      </c>
      <c r="CH8" s="230">
        <v>385700</v>
      </c>
      <c r="CI8" s="229">
        <v>0.18870000000000001</v>
      </c>
      <c r="CJ8" s="230">
        <v>269800</v>
      </c>
      <c r="CK8" s="230">
        <v>264100</v>
      </c>
      <c r="CL8" s="230">
        <v>5700</v>
      </c>
      <c r="CM8" s="229">
        <v>2.1600000000000001E-2</v>
      </c>
      <c r="CN8" s="230">
        <v>9401675</v>
      </c>
      <c r="CO8" s="230">
        <v>9410700</v>
      </c>
      <c r="CP8" s="230">
        <v>-9025</v>
      </c>
      <c r="CQ8" s="229">
        <v>-1E-3</v>
      </c>
      <c r="CR8" s="230">
        <v>4745725</v>
      </c>
      <c r="CS8" s="230">
        <v>4611300</v>
      </c>
      <c r="CT8" s="230">
        <v>134425</v>
      </c>
      <c r="CU8" s="229">
        <v>2.92E-2</v>
      </c>
      <c r="CV8" s="230">
        <v>38268850</v>
      </c>
      <c r="CW8" s="230">
        <v>37797650</v>
      </c>
      <c r="CX8" s="230">
        <v>471200</v>
      </c>
      <c r="CY8" s="229">
        <v>1.2500000000000001E-2</v>
      </c>
      <c r="CZ8" s="228">
        <v>20.32</v>
      </c>
      <c r="DA8" s="228">
        <v>20.86</v>
      </c>
      <c r="DB8" s="228">
        <v>-0.54</v>
      </c>
      <c r="DC8" s="228">
        <v>-0.54</v>
      </c>
      <c r="DD8" s="228">
        <v>36.020000000000003</v>
      </c>
      <c r="DE8" s="228">
        <v>36.1</v>
      </c>
      <c r="DF8" s="228">
        <v>-15.7</v>
      </c>
      <c r="DG8" s="228">
        <v>-0.08</v>
      </c>
      <c r="DH8" s="228">
        <v>20.32</v>
      </c>
      <c r="DI8" s="228">
        <v>21.32</v>
      </c>
      <c r="DJ8" s="228">
        <v>-1</v>
      </c>
      <c r="DK8" s="228">
        <v>-1</v>
      </c>
      <c r="DL8" s="228">
        <v>20.309999999999999</v>
      </c>
      <c r="DM8" s="228">
        <v>19.84</v>
      </c>
      <c r="DN8" s="228">
        <v>0.47</v>
      </c>
      <c r="DO8" s="228">
        <v>0.47</v>
      </c>
      <c r="DP8" s="228">
        <v>0.5</v>
      </c>
      <c r="DQ8" s="228">
        <v>0.49</v>
      </c>
      <c r="DR8" s="228">
        <v>0.01</v>
      </c>
      <c r="DS8" s="229">
        <v>2.0400000000000001E-2</v>
      </c>
      <c r="DT8" s="231">
        <v>1600</v>
      </c>
      <c r="DU8" s="231">
        <v>1500</v>
      </c>
      <c r="DV8" s="228">
        <v>0.38</v>
      </c>
      <c r="DW8" s="228">
        <v>0.45</v>
      </c>
      <c r="DX8" s="228">
        <v>-7.0000000000000007E-2</v>
      </c>
      <c r="DY8" s="229">
        <v>-0.15559999999999999</v>
      </c>
      <c r="DZ8" s="229">
        <v>0.1119</v>
      </c>
      <c r="EA8" s="230">
        <v>2308025</v>
      </c>
      <c r="EB8" s="229">
        <v>6.1999999999999998E-3</v>
      </c>
      <c r="EC8" s="229">
        <v>0.1119</v>
      </c>
      <c r="ED8" s="228">
        <v>9.35</v>
      </c>
      <c r="EE8" s="229">
        <v>6.3E-3</v>
      </c>
      <c r="EF8" s="230">
        <v>304655</v>
      </c>
      <c r="EG8" s="230">
        <v>560736</v>
      </c>
      <c r="EH8" s="229">
        <v>-0.45669999999999999</v>
      </c>
      <c r="EI8" s="229">
        <v>0.42499999999999999</v>
      </c>
      <c r="EJ8" s="231">
        <v>119573.48</v>
      </c>
      <c r="EK8" s="231">
        <v>43402.51</v>
      </c>
      <c r="EL8" s="231">
        <v>37285.379999999997</v>
      </c>
      <c r="EM8" s="231">
        <v>4246</v>
      </c>
      <c r="EN8" s="231">
        <v>200261.37</v>
      </c>
      <c r="EO8" s="231">
        <v>182538.98</v>
      </c>
      <c r="EP8" s="231">
        <v>17722.39</v>
      </c>
      <c r="EQ8" s="229">
        <v>9.7100000000000006E-2</v>
      </c>
      <c r="ER8" s="231">
        <v>146586</v>
      </c>
      <c r="ES8" s="231">
        <v>68848</v>
      </c>
      <c r="ET8" s="231">
        <v>361950</v>
      </c>
      <c r="EU8" s="231">
        <v>73799006</v>
      </c>
      <c r="EV8" s="231">
        <v>577383</v>
      </c>
      <c r="EW8" s="231">
        <v>568686</v>
      </c>
      <c r="EX8" s="231">
        <v>8697</v>
      </c>
      <c r="EY8" s="229">
        <v>1.5299999999999999E-2</v>
      </c>
      <c r="EZ8" s="229">
        <v>0.51859999999999995</v>
      </c>
      <c r="FA8" s="227" t="s">
        <v>555</v>
      </c>
      <c r="FB8" s="161">
        <f t="shared" si="0"/>
        <v>2699425</v>
      </c>
    </row>
    <row r="9" spans="1:158" ht="17.25" hidden="1" thickBot="1" x14ac:dyDescent="0.3">
      <c r="A9" s="226">
        <v>46009</v>
      </c>
      <c r="B9" s="227" t="s">
        <v>170</v>
      </c>
      <c r="C9" s="227" t="s">
        <v>497</v>
      </c>
      <c r="D9" s="228">
        <v>125</v>
      </c>
      <c r="E9" s="231">
        <v>5533</v>
      </c>
      <c r="F9" s="231">
        <v>5635.5</v>
      </c>
      <c r="G9" s="228">
        <v>-102.5</v>
      </c>
      <c r="H9" s="229">
        <v>-1.8200000000000001E-2</v>
      </c>
      <c r="I9" s="231">
        <v>5521</v>
      </c>
      <c r="J9" s="231">
        <v>5628.5</v>
      </c>
      <c r="K9" s="228">
        <v>-107.5</v>
      </c>
      <c r="L9" s="229">
        <v>-1.9099999999999999E-2</v>
      </c>
      <c r="M9" s="231">
        <v>5533</v>
      </c>
      <c r="N9" s="231">
        <v>5635.5</v>
      </c>
      <c r="O9" s="228">
        <v>-102.5</v>
      </c>
      <c r="P9" s="229">
        <v>-1.8200000000000001E-2</v>
      </c>
      <c r="Q9" s="231">
        <v>5573</v>
      </c>
      <c r="R9" s="231">
        <v>5666.5</v>
      </c>
      <c r="S9" s="228">
        <v>-93.5</v>
      </c>
      <c r="T9" s="229">
        <v>-1.6500000000000001E-2</v>
      </c>
      <c r="U9" s="231">
        <v>5652</v>
      </c>
      <c r="V9" s="231">
        <v>5657.5</v>
      </c>
      <c r="W9" s="228">
        <v>-5.5</v>
      </c>
      <c r="X9" s="229">
        <v>-1E-3</v>
      </c>
      <c r="Y9" s="228">
        <v>12</v>
      </c>
      <c r="Z9" s="228">
        <v>7</v>
      </c>
      <c r="AA9" s="228">
        <v>5</v>
      </c>
      <c r="AB9" s="229">
        <v>2.2000000000000001E-3</v>
      </c>
      <c r="AC9" s="228">
        <v>12</v>
      </c>
      <c r="AD9" s="228">
        <v>7</v>
      </c>
      <c r="AE9" s="228">
        <v>5</v>
      </c>
      <c r="AF9" s="229">
        <v>2.2000000000000001E-3</v>
      </c>
      <c r="AG9" s="228">
        <v>52</v>
      </c>
      <c r="AH9" s="228">
        <v>38</v>
      </c>
      <c r="AI9" s="228">
        <v>14</v>
      </c>
      <c r="AJ9" s="229">
        <v>9.4000000000000004E-3</v>
      </c>
      <c r="AK9" s="228">
        <v>131</v>
      </c>
      <c r="AL9" s="228">
        <v>29</v>
      </c>
      <c r="AM9" s="228">
        <v>102</v>
      </c>
      <c r="AN9" s="229">
        <v>2.3699999999999999E-2</v>
      </c>
      <c r="AO9" s="231">
        <v>5569.89</v>
      </c>
      <c r="AP9" s="231">
        <v>5609.51</v>
      </c>
      <c r="AQ9" s="228">
        <v>0</v>
      </c>
      <c r="AR9" s="230">
        <v>207375</v>
      </c>
      <c r="AS9" s="230">
        <v>225125</v>
      </c>
      <c r="AT9" s="230">
        <v>-17750</v>
      </c>
      <c r="AU9" s="229">
        <v>-7.8799999999999995E-2</v>
      </c>
      <c r="AV9" s="230">
        <v>171375</v>
      </c>
      <c r="AW9" s="230">
        <v>167375</v>
      </c>
      <c r="AX9" s="230">
        <v>4000</v>
      </c>
      <c r="AY9" s="229">
        <v>2.3900000000000001E-2</v>
      </c>
      <c r="AZ9" s="230">
        <v>35875</v>
      </c>
      <c r="BA9" s="230">
        <v>57750</v>
      </c>
      <c r="BB9" s="230">
        <v>-21875</v>
      </c>
      <c r="BC9" s="229">
        <v>-0.37880000000000003</v>
      </c>
      <c r="BD9" s="228">
        <v>125</v>
      </c>
      <c r="BE9" s="228">
        <v>0</v>
      </c>
      <c r="BF9" s="228">
        <v>125</v>
      </c>
      <c r="BG9" s="229">
        <v>0</v>
      </c>
      <c r="BH9" s="230">
        <v>241500</v>
      </c>
      <c r="BI9" s="230">
        <v>301625</v>
      </c>
      <c r="BJ9" s="230">
        <v>-60125</v>
      </c>
      <c r="BK9" s="229">
        <v>-0.1993</v>
      </c>
      <c r="BL9" s="230">
        <v>219250</v>
      </c>
      <c r="BM9" s="230">
        <v>125875</v>
      </c>
      <c r="BN9" s="230">
        <v>93375</v>
      </c>
      <c r="BO9" s="229">
        <v>0.74180000000000001</v>
      </c>
      <c r="BP9" s="230">
        <v>668125</v>
      </c>
      <c r="BQ9" s="230">
        <v>652625</v>
      </c>
      <c r="BR9" s="230">
        <v>15500</v>
      </c>
      <c r="BS9" s="229">
        <v>2.3800000000000002E-2</v>
      </c>
      <c r="BT9" s="230">
        <v>35179</v>
      </c>
      <c r="BU9" s="230">
        <v>36685</v>
      </c>
      <c r="BV9" s="230">
        <v>-1506</v>
      </c>
      <c r="BW9" s="229">
        <v>-4.1099999999999998E-2</v>
      </c>
      <c r="BX9" s="230">
        <v>1591125</v>
      </c>
      <c r="BY9" s="230">
        <v>1595375</v>
      </c>
      <c r="BZ9" s="230">
        <v>-4250</v>
      </c>
      <c r="CA9" s="229">
        <v>-2.7000000000000001E-3</v>
      </c>
      <c r="CB9" s="230">
        <v>1508250</v>
      </c>
      <c r="CC9" s="230">
        <v>1537250</v>
      </c>
      <c r="CD9" s="230">
        <v>-29000</v>
      </c>
      <c r="CE9" s="229">
        <v>-1.89E-2</v>
      </c>
      <c r="CF9" s="230">
        <v>81875</v>
      </c>
      <c r="CG9" s="230">
        <v>57250</v>
      </c>
      <c r="CH9" s="230">
        <v>24625</v>
      </c>
      <c r="CI9" s="229">
        <v>0.43009999999999998</v>
      </c>
      <c r="CJ9" s="230">
        <v>1000</v>
      </c>
      <c r="CK9" s="228">
        <v>875</v>
      </c>
      <c r="CL9" s="228">
        <v>125</v>
      </c>
      <c r="CM9" s="229">
        <v>0.1429</v>
      </c>
      <c r="CN9" s="230">
        <v>272500</v>
      </c>
      <c r="CO9" s="230">
        <v>252625</v>
      </c>
      <c r="CP9" s="230">
        <v>19875</v>
      </c>
      <c r="CQ9" s="229">
        <v>7.8700000000000006E-2</v>
      </c>
      <c r="CR9" s="230">
        <v>167250</v>
      </c>
      <c r="CS9" s="230">
        <v>163375</v>
      </c>
      <c r="CT9" s="230">
        <v>3875</v>
      </c>
      <c r="CU9" s="229">
        <v>2.3699999999999999E-2</v>
      </c>
      <c r="CV9" s="230">
        <v>2030875</v>
      </c>
      <c r="CW9" s="230">
        <v>2011375</v>
      </c>
      <c r="CX9" s="230">
        <v>19500</v>
      </c>
      <c r="CY9" s="229">
        <v>9.7000000000000003E-3</v>
      </c>
      <c r="CZ9" s="228">
        <v>18.079999999999998</v>
      </c>
      <c r="DA9" s="228">
        <v>17.5</v>
      </c>
      <c r="DB9" s="228">
        <v>0.57999999999999996</v>
      </c>
      <c r="DC9" s="228">
        <v>0.57999999999999996</v>
      </c>
      <c r="DD9" s="228">
        <v>26.08</v>
      </c>
      <c r="DE9" s="228">
        <v>26.03</v>
      </c>
      <c r="DF9" s="228">
        <v>-8</v>
      </c>
      <c r="DG9" s="228">
        <v>0.05</v>
      </c>
      <c r="DH9" s="228">
        <v>17.59</v>
      </c>
      <c r="DI9" s="228">
        <v>16.97</v>
      </c>
      <c r="DJ9" s="228">
        <v>0.62</v>
      </c>
      <c r="DK9" s="228">
        <v>0.62</v>
      </c>
      <c r="DL9" s="228">
        <v>18.61</v>
      </c>
      <c r="DM9" s="228">
        <v>18.78</v>
      </c>
      <c r="DN9" s="228">
        <v>-0.17</v>
      </c>
      <c r="DO9" s="228">
        <v>-0.17</v>
      </c>
      <c r="DP9" s="228">
        <v>0.61</v>
      </c>
      <c r="DQ9" s="228">
        <v>0.65</v>
      </c>
      <c r="DR9" s="228">
        <v>-0.04</v>
      </c>
      <c r="DS9" s="229">
        <v>-6.1499999999999999E-2</v>
      </c>
      <c r="DT9" s="231">
        <v>5800</v>
      </c>
      <c r="DU9" s="231">
        <v>5500</v>
      </c>
      <c r="DV9" s="228">
        <v>0.91</v>
      </c>
      <c r="DW9" s="228">
        <v>0.42</v>
      </c>
      <c r="DX9" s="228">
        <v>0.49</v>
      </c>
      <c r="DY9" s="229">
        <v>1.1667000000000001</v>
      </c>
      <c r="DZ9" s="229">
        <v>5.21E-2</v>
      </c>
      <c r="EA9" s="230">
        <v>58125</v>
      </c>
      <c r="EB9" s="229">
        <v>7.1999999999999998E-3</v>
      </c>
      <c r="EC9" s="229">
        <v>5.21E-2</v>
      </c>
      <c r="ED9" s="228">
        <v>39.619999999999997</v>
      </c>
      <c r="EE9" s="229">
        <v>7.1000000000000004E-3</v>
      </c>
      <c r="EF9" s="230">
        <v>13772</v>
      </c>
      <c r="EG9" s="230">
        <v>19318</v>
      </c>
      <c r="EH9" s="229">
        <v>-0.28710000000000002</v>
      </c>
      <c r="EI9" s="229">
        <v>0.39150000000000001</v>
      </c>
      <c r="EJ9" s="231">
        <v>13860.4</v>
      </c>
      <c r="EK9" s="231">
        <v>11988.44</v>
      </c>
      <c r="EL9" s="231">
        <v>11564.88</v>
      </c>
      <c r="EM9" s="228">
        <v>856</v>
      </c>
      <c r="EN9" s="231">
        <v>37413.72</v>
      </c>
      <c r="EO9" s="231">
        <v>37092.129999999997</v>
      </c>
      <c r="EP9" s="228">
        <v>321.58999999999997</v>
      </c>
      <c r="EQ9" s="229">
        <v>8.6999999999999994E-3</v>
      </c>
      <c r="ER9" s="231">
        <v>15831</v>
      </c>
      <c r="ES9" s="231">
        <v>9214</v>
      </c>
      <c r="ET9" s="231">
        <v>88071</v>
      </c>
      <c r="EU9" s="231">
        <v>6130387</v>
      </c>
      <c r="EV9" s="231">
        <v>113116</v>
      </c>
      <c r="EW9" s="231">
        <v>113657</v>
      </c>
      <c r="EX9" s="228">
        <v>-541</v>
      </c>
      <c r="EY9" s="229">
        <v>-4.7999999999999996E-3</v>
      </c>
      <c r="EZ9" s="229">
        <v>0.33129999999999998</v>
      </c>
      <c r="FA9" s="227" t="s">
        <v>568</v>
      </c>
      <c r="FB9" s="161">
        <f t="shared" si="0"/>
        <v>82875</v>
      </c>
    </row>
    <row r="10" spans="1:158" ht="17.25" hidden="1" thickBot="1" x14ac:dyDescent="0.3">
      <c r="A10" s="226">
        <v>46009</v>
      </c>
      <c r="B10" s="227" t="s">
        <v>184</v>
      </c>
      <c r="C10" s="227" t="s">
        <v>682</v>
      </c>
      <c r="D10" s="228">
        <v>100</v>
      </c>
      <c r="E10" s="231">
        <v>6595</v>
      </c>
      <c r="F10" s="231">
        <v>6600</v>
      </c>
      <c r="G10" s="228">
        <v>-5</v>
      </c>
      <c r="H10" s="229">
        <v>-8.0000000000000004E-4</v>
      </c>
      <c r="I10" s="231">
        <v>6585.5</v>
      </c>
      <c r="J10" s="231">
        <v>6580.5</v>
      </c>
      <c r="K10" s="228">
        <v>5</v>
      </c>
      <c r="L10" s="229">
        <v>8.0000000000000004E-4</v>
      </c>
      <c r="M10" s="231">
        <v>6595</v>
      </c>
      <c r="N10" s="231">
        <v>6600</v>
      </c>
      <c r="O10" s="228">
        <v>-5</v>
      </c>
      <c r="P10" s="229">
        <v>-8.0000000000000004E-4</v>
      </c>
      <c r="Q10" s="231">
        <v>6521.5</v>
      </c>
      <c r="R10" s="231">
        <v>6528.5</v>
      </c>
      <c r="S10" s="228">
        <v>-7</v>
      </c>
      <c r="T10" s="229">
        <v>-1.1000000000000001E-3</v>
      </c>
      <c r="U10" s="231">
        <v>6500</v>
      </c>
      <c r="V10" s="231">
        <v>6460.5</v>
      </c>
      <c r="W10" s="228">
        <v>39.5</v>
      </c>
      <c r="X10" s="229">
        <v>6.1000000000000004E-3</v>
      </c>
      <c r="Y10" s="228">
        <v>9.5</v>
      </c>
      <c r="Z10" s="228">
        <v>19.5</v>
      </c>
      <c r="AA10" s="228">
        <v>-10</v>
      </c>
      <c r="AB10" s="229">
        <v>1.4E-3</v>
      </c>
      <c r="AC10" s="228">
        <v>9.5</v>
      </c>
      <c r="AD10" s="228">
        <v>19.5</v>
      </c>
      <c r="AE10" s="228">
        <v>-10</v>
      </c>
      <c r="AF10" s="229">
        <v>1.4E-3</v>
      </c>
      <c r="AG10" s="228">
        <v>-64</v>
      </c>
      <c r="AH10" s="228">
        <v>-52</v>
      </c>
      <c r="AI10" s="228">
        <v>-12</v>
      </c>
      <c r="AJ10" s="229">
        <v>-9.7000000000000003E-3</v>
      </c>
      <c r="AK10" s="228">
        <v>-85.5</v>
      </c>
      <c r="AL10" s="228">
        <v>-120</v>
      </c>
      <c r="AM10" s="228">
        <v>34.5</v>
      </c>
      <c r="AN10" s="229">
        <v>-1.2999999999999999E-2</v>
      </c>
      <c r="AO10" s="231">
        <v>6586.28</v>
      </c>
      <c r="AP10" s="231">
        <v>6516.54</v>
      </c>
      <c r="AQ10" s="228">
        <v>0</v>
      </c>
      <c r="AR10" s="230">
        <v>194900</v>
      </c>
      <c r="AS10" s="230">
        <v>336100</v>
      </c>
      <c r="AT10" s="230">
        <v>-141200</v>
      </c>
      <c r="AU10" s="229">
        <v>-0.42009999999999997</v>
      </c>
      <c r="AV10" s="230">
        <v>154300</v>
      </c>
      <c r="AW10" s="230">
        <v>285000</v>
      </c>
      <c r="AX10" s="230">
        <v>-130700</v>
      </c>
      <c r="AY10" s="229">
        <v>-0.45860000000000001</v>
      </c>
      <c r="AZ10" s="230">
        <v>40200</v>
      </c>
      <c r="BA10" s="230">
        <v>49500</v>
      </c>
      <c r="BB10" s="230">
        <v>-9300</v>
      </c>
      <c r="BC10" s="229">
        <v>-0.18790000000000001</v>
      </c>
      <c r="BD10" s="228">
        <v>400</v>
      </c>
      <c r="BE10" s="230">
        <v>1600</v>
      </c>
      <c r="BF10" s="230">
        <v>-1200</v>
      </c>
      <c r="BG10" s="229">
        <v>-0.75</v>
      </c>
      <c r="BH10" s="230">
        <v>905300</v>
      </c>
      <c r="BI10" s="230">
        <v>1656800</v>
      </c>
      <c r="BJ10" s="230">
        <v>-751500</v>
      </c>
      <c r="BK10" s="229">
        <v>-0.4536</v>
      </c>
      <c r="BL10" s="230">
        <v>639700</v>
      </c>
      <c r="BM10" s="230">
        <v>1318000</v>
      </c>
      <c r="BN10" s="230">
        <v>-678300</v>
      </c>
      <c r="BO10" s="229">
        <v>-0.51459999999999995</v>
      </c>
      <c r="BP10" s="230">
        <v>1739900</v>
      </c>
      <c r="BQ10" s="230">
        <v>3310900</v>
      </c>
      <c r="BR10" s="230">
        <v>-1571000</v>
      </c>
      <c r="BS10" s="229">
        <v>-0.47449999999999998</v>
      </c>
      <c r="BT10" s="230">
        <v>151992</v>
      </c>
      <c r="BU10" s="230">
        <v>250852</v>
      </c>
      <c r="BV10" s="230">
        <v>-98860</v>
      </c>
      <c r="BW10" s="229">
        <v>-0.39410000000000001</v>
      </c>
      <c r="BX10" s="230">
        <v>1157500</v>
      </c>
      <c r="BY10" s="230">
        <v>1175700</v>
      </c>
      <c r="BZ10" s="230">
        <v>-18200</v>
      </c>
      <c r="CA10" s="229">
        <v>-1.55E-2</v>
      </c>
      <c r="CB10" s="230">
        <v>976200</v>
      </c>
      <c r="CC10" s="230">
        <v>1005400</v>
      </c>
      <c r="CD10" s="230">
        <v>-29200</v>
      </c>
      <c r="CE10" s="229">
        <v>-2.9000000000000001E-2</v>
      </c>
      <c r="CF10" s="230">
        <v>172000</v>
      </c>
      <c r="CG10" s="230">
        <v>161300</v>
      </c>
      <c r="CH10" s="230">
        <v>10700</v>
      </c>
      <c r="CI10" s="229">
        <v>6.6299999999999998E-2</v>
      </c>
      <c r="CJ10" s="230">
        <v>9300</v>
      </c>
      <c r="CK10" s="230">
        <v>9000</v>
      </c>
      <c r="CL10" s="228">
        <v>300</v>
      </c>
      <c r="CM10" s="229">
        <v>3.3300000000000003E-2</v>
      </c>
      <c r="CN10" s="230">
        <v>1169100</v>
      </c>
      <c r="CO10" s="230">
        <v>1178100</v>
      </c>
      <c r="CP10" s="230">
        <v>-9000</v>
      </c>
      <c r="CQ10" s="229">
        <v>-7.6E-3</v>
      </c>
      <c r="CR10" s="230">
        <v>801200</v>
      </c>
      <c r="CS10" s="230">
        <v>781500</v>
      </c>
      <c r="CT10" s="230">
        <v>19700</v>
      </c>
      <c r="CU10" s="229">
        <v>2.52E-2</v>
      </c>
      <c r="CV10" s="230">
        <v>3127800</v>
      </c>
      <c r="CW10" s="230">
        <v>3135300</v>
      </c>
      <c r="CX10" s="230">
        <v>-7500</v>
      </c>
      <c r="CY10" s="229">
        <v>-2.3999999999999998E-3</v>
      </c>
      <c r="CZ10" s="228">
        <v>31.33</v>
      </c>
      <c r="DA10" s="228">
        <v>31.64</v>
      </c>
      <c r="DB10" s="228">
        <v>-0.31</v>
      </c>
      <c r="DC10" s="228">
        <v>-0.31</v>
      </c>
      <c r="DD10" s="228">
        <v>52.68</v>
      </c>
      <c r="DE10" s="228">
        <v>52.81</v>
      </c>
      <c r="DF10" s="228">
        <v>-21.35</v>
      </c>
      <c r="DG10" s="228">
        <v>-0.13</v>
      </c>
      <c r="DH10" s="228">
        <v>30.66</v>
      </c>
      <c r="DI10" s="228">
        <v>31.59</v>
      </c>
      <c r="DJ10" s="228">
        <v>-0.93</v>
      </c>
      <c r="DK10" s="228">
        <v>-0.93</v>
      </c>
      <c r="DL10" s="228">
        <v>32.29</v>
      </c>
      <c r="DM10" s="228">
        <v>31.7</v>
      </c>
      <c r="DN10" s="228">
        <v>0.59</v>
      </c>
      <c r="DO10" s="228">
        <v>0.59</v>
      </c>
      <c r="DP10" s="228">
        <v>0.69</v>
      </c>
      <c r="DQ10" s="228">
        <v>0.66</v>
      </c>
      <c r="DR10" s="228">
        <v>0.03</v>
      </c>
      <c r="DS10" s="229">
        <v>4.5499999999999999E-2</v>
      </c>
      <c r="DT10" s="231">
        <v>7000</v>
      </c>
      <c r="DU10" s="231">
        <v>6000</v>
      </c>
      <c r="DV10" s="228">
        <v>0.71</v>
      </c>
      <c r="DW10" s="228">
        <v>0.8</v>
      </c>
      <c r="DX10" s="228">
        <v>-0.09</v>
      </c>
      <c r="DY10" s="229">
        <v>-0.1125</v>
      </c>
      <c r="DZ10" s="229">
        <v>0.15659999999999999</v>
      </c>
      <c r="EA10" s="230">
        <v>170300</v>
      </c>
      <c r="EB10" s="229">
        <v>-1.11E-2</v>
      </c>
      <c r="EC10" s="229">
        <v>0.15659999999999999</v>
      </c>
      <c r="ED10" s="228">
        <v>-69.739999999999995</v>
      </c>
      <c r="EE10" s="229">
        <v>-1.06E-2</v>
      </c>
      <c r="EF10" s="230">
        <v>46477</v>
      </c>
      <c r="EG10" s="230">
        <v>91019</v>
      </c>
      <c r="EH10" s="229">
        <v>-0.4894</v>
      </c>
      <c r="EI10" s="229">
        <v>0.30580000000000002</v>
      </c>
      <c r="EJ10" s="231">
        <v>63585.2</v>
      </c>
      <c r="EK10" s="231">
        <v>40780.81</v>
      </c>
      <c r="EL10" s="231">
        <v>12808.21</v>
      </c>
      <c r="EM10" s="231">
        <v>3524</v>
      </c>
      <c r="EN10" s="231">
        <v>117174.22</v>
      </c>
      <c r="EO10" s="231">
        <v>225045.94</v>
      </c>
      <c r="EP10" s="231">
        <v>-107871.72</v>
      </c>
      <c r="EQ10" s="229">
        <v>-0.4793</v>
      </c>
      <c r="ER10" s="231">
        <v>82375</v>
      </c>
      <c r="ES10" s="231">
        <v>51820</v>
      </c>
      <c r="ET10" s="231">
        <v>76202</v>
      </c>
      <c r="EU10" s="231">
        <v>3067454</v>
      </c>
      <c r="EV10" s="231">
        <v>210397</v>
      </c>
      <c r="EW10" s="231">
        <v>211216</v>
      </c>
      <c r="EX10" s="228">
        <v>-819</v>
      </c>
      <c r="EY10" s="229">
        <v>-3.8999999999999998E-3</v>
      </c>
      <c r="EZ10" s="229">
        <v>1.0197000000000001</v>
      </c>
      <c r="FA10" s="227" t="s">
        <v>568</v>
      </c>
      <c r="FB10" s="161">
        <f t="shared" si="0"/>
        <v>181300</v>
      </c>
    </row>
    <row r="11" spans="1:158" ht="17.25" hidden="1" thickBot="1" x14ac:dyDescent="0.3">
      <c r="A11" s="226">
        <v>46009</v>
      </c>
      <c r="B11" s="227" t="s">
        <v>157</v>
      </c>
      <c r="C11" s="227" t="s">
        <v>164</v>
      </c>
      <c r="D11" s="228">
        <v>1050</v>
      </c>
      <c r="E11" s="228">
        <v>537.45000000000005</v>
      </c>
      <c r="F11" s="228">
        <v>541.9</v>
      </c>
      <c r="G11" s="228">
        <v>-4.45</v>
      </c>
      <c r="H11" s="229">
        <v>-8.2000000000000007E-3</v>
      </c>
      <c r="I11" s="228">
        <v>535.79999999999995</v>
      </c>
      <c r="J11" s="228">
        <v>541.29999999999995</v>
      </c>
      <c r="K11" s="228">
        <v>-5.5</v>
      </c>
      <c r="L11" s="229">
        <v>-1.0200000000000001E-2</v>
      </c>
      <c r="M11" s="228">
        <v>537.45000000000005</v>
      </c>
      <c r="N11" s="228">
        <v>541.9</v>
      </c>
      <c r="O11" s="228">
        <v>-4.45</v>
      </c>
      <c r="P11" s="229">
        <v>-8.2000000000000007E-3</v>
      </c>
      <c r="Q11" s="228">
        <v>540.85</v>
      </c>
      <c r="R11" s="228">
        <v>544.85</v>
      </c>
      <c r="S11" s="228">
        <v>-4</v>
      </c>
      <c r="T11" s="229">
        <v>-7.3000000000000001E-3</v>
      </c>
      <c r="U11" s="228">
        <v>543.25</v>
      </c>
      <c r="V11" s="228">
        <v>548</v>
      </c>
      <c r="W11" s="228">
        <v>-4.75</v>
      </c>
      <c r="X11" s="229">
        <v>-8.6999999999999994E-3</v>
      </c>
      <c r="Y11" s="228">
        <v>1.65</v>
      </c>
      <c r="Z11" s="228">
        <v>0.6</v>
      </c>
      <c r="AA11" s="228">
        <v>1.05</v>
      </c>
      <c r="AB11" s="229">
        <v>3.0999999999999999E-3</v>
      </c>
      <c r="AC11" s="228">
        <v>1.65</v>
      </c>
      <c r="AD11" s="228">
        <v>0.6</v>
      </c>
      <c r="AE11" s="228">
        <v>1.05</v>
      </c>
      <c r="AF11" s="229">
        <v>3.0999999999999999E-3</v>
      </c>
      <c r="AG11" s="228">
        <v>5.05</v>
      </c>
      <c r="AH11" s="228">
        <v>3.55</v>
      </c>
      <c r="AI11" s="228">
        <v>1.5</v>
      </c>
      <c r="AJ11" s="229">
        <v>9.4000000000000004E-3</v>
      </c>
      <c r="AK11" s="228">
        <v>7.45</v>
      </c>
      <c r="AL11" s="228">
        <v>6.7</v>
      </c>
      <c r="AM11" s="228">
        <v>0.75</v>
      </c>
      <c r="AN11" s="229">
        <v>1.3899999999999999E-2</v>
      </c>
      <c r="AO11" s="228">
        <v>539.38</v>
      </c>
      <c r="AP11" s="228">
        <v>543.12</v>
      </c>
      <c r="AQ11" s="228">
        <v>0</v>
      </c>
      <c r="AR11" s="230">
        <v>3781050</v>
      </c>
      <c r="AS11" s="230">
        <v>2325750</v>
      </c>
      <c r="AT11" s="230">
        <v>1455300</v>
      </c>
      <c r="AU11" s="229">
        <v>0.62570000000000003</v>
      </c>
      <c r="AV11" s="230">
        <v>2973600</v>
      </c>
      <c r="AW11" s="230">
        <v>1925700</v>
      </c>
      <c r="AX11" s="230">
        <v>1047900</v>
      </c>
      <c r="AY11" s="229">
        <v>0.54420000000000002</v>
      </c>
      <c r="AZ11" s="230">
        <v>791700</v>
      </c>
      <c r="BA11" s="230">
        <v>384300</v>
      </c>
      <c r="BB11" s="230">
        <v>407400</v>
      </c>
      <c r="BC11" s="229">
        <v>1.0601</v>
      </c>
      <c r="BD11" s="230">
        <v>15750</v>
      </c>
      <c r="BE11" s="230">
        <v>15750</v>
      </c>
      <c r="BF11" s="228">
        <v>0</v>
      </c>
      <c r="BG11" s="229">
        <v>0</v>
      </c>
      <c r="BH11" s="230">
        <v>7129500</v>
      </c>
      <c r="BI11" s="230">
        <v>5387550</v>
      </c>
      <c r="BJ11" s="230">
        <v>1741950</v>
      </c>
      <c r="BK11" s="229">
        <v>0.32329999999999998</v>
      </c>
      <c r="BL11" s="230">
        <v>2969400</v>
      </c>
      <c r="BM11" s="230">
        <v>2415000</v>
      </c>
      <c r="BN11" s="230">
        <v>554400</v>
      </c>
      <c r="BO11" s="229">
        <v>0.2296</v>
      </c>
      <c r="BP11" s="230">
        <v>13879950</v>
      </c>
      <c r="BQ11" s="230">
        <v>10128300</v>
      </c>
      <c r="BR11" s="230">
        <v>3751650</v>
      </c>
      <c r="BS11" s="229">
        <v>0.37040000000000001</v>
      </c>
      <c r="BT11" s="230">
        <v>852055</v>
      </c>
      <c r="BU11" s="230">
        <v>534919</v>
      </c>
      <c r="BV11" s="230">
        <v>317136</v>
      </c>
      <c r="BW11" s="229">
        <v>0.59289999999999998</v>
      </c>
      <c r="BX11" s="230">
        <v>48437550</v>
      </c>
      <c r="BY11" s="230">
        <v>48043800</v>
      </c>
      <c r="BZ11" s="230">
        <v>393750</v>
      </c>
      <c r="CA11" s="229">
        <v>8.2000000000000007E-3</v>
      </c>
      <c r="CB11" s="230">
        <v>46232550</v>
      </c>
      <c r="CC11" s="230">
        <v>46327050</v>
      </c>
      <c r="CD11" s="230">
        <v>-94500</v>
      </c>
      <c r="CE11" s="229">
        <v>-2E-3</v>
      </c>
      <c r="CF11" s="230">
        <v>2010750</v>
      </c>
      <c r="CG11" s="230">
        <v>1524600</v>
      </c>
      <c r="CH11" s="230">
        <v>486150</v>
      </c>
      <c r="CI11" s="229">
        <v>0.31890000000000002</v>
      </c>
      <c r="CJ11" s="230">
        <v>194250</v>
      </c>
      <c r="CK11" s="230">
        <v>192150</v>
      </c>
      <c r="CL11" s="230">
        <v>2100</v>
      </c>
      <c r="CM11" s="229">
        <v>1.09E-2</v>
      </c>
      <c r="CN11" s="230">
        <v>12600000</v>
      </c>
      <c r="CO11" s="230">
        <v>11865000</v>
      </c>
      <c r="CP11" s="230">
        <v>735000</v>
      </c>
      <c r="CQ11" s="229">
        <v>6.1899999999999997E-2</v>
      </c>
      <c r="CR11" s="230">
        <v>9578100</v>
      </c>
      <c r="CS11" s="230">
        <v>9641100</v>
      </c>
      <c r="CT11" s="230">
        <v>-63000</v>
      </c>
      <c r="CU11" s="229">
        <v>-6.4999999999999997E-3</v>
      </c>
      <c r="CV11" s="230">
        <v>70615650</v>
      </c>
      <c r="CW11" s="230">
        <v>69549900</v>
      </c>
      <c r="CX11" s="230">
        <v>1065750</v>
      </c>
      <c r="CY11" s="229">
        <v>1.5299999999999999E-2</v>
      </c>
      <c r="CZ11" s="228">
        <v>19.57</v>
      </c>
      <c r="DA11" s="228">
        <v>19.47</v>
      </c>
      <c r="DB11" s="228">
        <v>0.1</v>
      </c>
      <c r="DC11" s="228">
        <v>0.1</v>
      </c>
      <c r="DD11" s="228">
        <v>31.7</v>
      </c>
      <c r="DE11" s="228">
        <v>31.76</v>
      </c>
      <c r="DF11" s="228">
        <v>-12.13</v>
      </c>
      <c r="DG11" s="228">
        <v>-0.06</v>
      </c>
      <c r="DH11" s="228">
        <v>19.93</v>
      </c>
      <c r="DI11" s="228">
        <v>19.66</v>
      </c>
      <c r="DJ11" s="228">
        <v>0.27</v>
      </c>
      <c r="DK11" s="228">
        <v>0.27</v>
      </c>
      <c r="DL11" s="228">
        <v>18.71</v>
      </c>
      <c r="DM11" s="228">
        <v>19.04</v>
      </c>
      <c r="DN11" s="228">
        <v>-0.33</v>
      </c>
      <c r="DO11" s="228">
        <v>-0.33</v>
      </c>
      <c r="DP11" s="228">
        <v>0.76</v>
      </c>
      <c r="DQ11" s="228">
        <v>0.81</v>
      </c>
      <c r="DR11" s="228">
        <v>-0.05</v>
      </c>
      <c r="DS11" s="229">
        <v>-6.1699999999999998E-2</v>
      </c>
      <c r="DT11" s="228">
        <v>550</v>
      </c>
      <c r="DU11" s="228">
        <v>550</v>
      </c>
      <c r="DV11" s="228">
        <v>0.42</v>
      </c>
      <c r="DW11" s="228">
        <v>0.45</v>
      </c>
      <c r="DX11" s="228">
        <v>-0.03</v>
      </c>
      <c r="DY11" s="229">
        <v>-6.6699999999999995E-2</v>
      </c>
      <c r="DZ11" s="229">
        <v>4.5499999999999999E-2</v>
      </c>
      <c r="EA11" s="230">
        <v>1716750</v>
      </c>
      <c r="EB11" s="229">
        <v>6.3E-3</v>
      </c>
      <c r="EC11" s="229">
        <v>4.5499999999999999E-2</v>
      </c>
      <c r="ED11" s="228">
        <v>3.74</v>
      </c>
      <c r="EE11" s="229">
        <v>6.8999999999999999E-3</v>
      </c>
      <c r="EF11" s="230">
        <v>505861</v>
      </c>
      <c r="EG11" s="230">
        <v>259502</v>
      </c>
      <c r="EH11" s="229">
        <v>0.94940000000000002</v>
      </c>
      <c r="EI11" s="229">
        <v>0.59370000000000001</v>
      </c>
      <c r="EJ11" s="231">
        <v>39699.4</v>
      </c>
      <c r="EK11" s="231">
        <v>15920.22</v>
      </c>
      <c r="EL11" s="231">
        <v>20424.849999999999</v>
      </c>
      <c r="EM11" s="231">
        <v>4277</v>
      </c>
      <c r="EN11" s="231">
        <v>76044.47</v>
      </c>
      <c r="EO11" s="231">
        <v>56054.42</v>
      </c>
      <c r="EP11" s="231">
        <v>19990.05</v>
      </c>
      <c r="EQ11" s="229">
        <v>0.35659999999999997</v>
      </c>
      <c r="ER11" s="231">
        <v>71311</v>
      </c>
      <c r="ES11" s="231">
        <v>53093</v>
      </c>
      <c r="ET11" s="231">
        <v>260407</v>
      </c>
      <c r="EU11" s="231">
        <v>119762774</v>
      </c>
      <c r="EV11" s="231">
        <v>384811</v>
      </c>
      <c r="EW11" s="231">
        <v>381173</v>
      </c>
      <c r="EX11" s="231">
        <v>3638</v>
      </c>
      <c r="EY11" s="229">
        <v>9.4999999999999998E-3</v>
      </c>
      <c r="EZ11" s="229">
        <v>0.58960000000000001</v>
      </c>
      <c r="FA11" s="227" t="s">
        <v>567</v>
      </c>
      <c r="FB11" s="161">
        <f t="shared" si="0"/>
        <v>2205000</v>
      </c>
    </row>
    <row r="12" spans="1:158" ht="17.25" hidden="1" thickBot="1" x14ac:dyDescent="0.3">
      <c r="A12" s="226">
        <v>46009</v>
      </c>
      <c r="B12" s="227" t="s">
        <v>175</v>
      </c>
      <c r="C12" s="227" t="s">
        <v>609</v>
      </c>
      <c r="D12" s="228">
        <v>250</v>
      </c>
      <c r="E12" s="231">
        <v>2476.8000000000002</v>
      </c>
      <c r="F12" s="231">
        <v>2478.9</v>
      </c>
      <c r="G12" s="228">
        <v>-2.1</v>
      </c>
      <c r="H12" s="229">
        <v>-8.0000000000000004E-4</v>
      </c>
      <c r="I12" s="231">
        <v>2479.1</v>
      </c>
      <c r="J12" s="231">
        <v>2504.6</v>
      </c>
      <c r="K12" s="228">
        <v>-25.5</v>
      </c>
      <c r="L12" s="229">
        <v>-1.0200000000000001E-2</v>
      </c>
      <c r="M12" s="231">
        <v>2476.8000000000002</v>
      </c>
      <c r="N12" s="231">
        <v>2478.9</v>
      </c>
      <c r="O12" s="228">
        <v>-2.1</v>
      </c>
      <c r="P12" s="229">
        <v>-8.0000000000000004E-4</v>
      </c>
      <c r="Q12" s="231">
        <v>2434.1999999999998</v>
      </c>
      <c r="R12" s="231">
        <v>2437.8000000000002</v>
      </c>
      <c r="S12" s="228">
        <v>-3.6</v>
      </c>
      <c r="T12" s="229">
        <v>-1.5E-3</v>
      </c>
      <c r="U12" s="231">
        <v>2428.4</v>
      </c>
      <c r="V12" s="231">
        <v>2428</v>
      </c>
      <c r="W12" s="228">
        <v>0.4</v>
      </c>
      <c r="X12" s="229">
        <v>2.0000000000000001E-4</v>
      </c>
      <c r="Y12" s="228">
        <v>-2.2999999999999998</v>
      </c>
      <c r="Z12" s="228">
        <v>-25.7</v>
      </c>
      <c r="AA12" s="228">
        <v>23.4</v>
      </c>
      <c r="AB12" s="229">
        <v>-8.9999999999999998E-4</v>
      </c>
      <c r="AC12" s="228">
        <v>-2.2999999999999998</v>
      </c>
      <c r="AD12" s="228">
        <v>-25.7</v>
      </c>
      <c r="AE12" s="228">
        <v>23.4</v>
      </c>
      <c r="AF12" s="229">
        <v>-8.9999999999999998E-4</v>
      </c>
      <c r="AG12" s="228">
        <v>-44.9</v>
      </c>
      <c r="AH12" s="228">
        <v>-66.8</v>
      </c>
      <c r="AI12" s="228">
        <v>21.9</v>
      </c>
      <c r="AJ12" s="229">
        <v>-1.8100000000000002E-2</v>
      </c>
      <c r="AK12" s="228">
        <v>-50.7</v>
      </c>
      <c r="AL12" s="228">
        <v>-76.599999999999994</v>
      </c>
      <c r="AM12" s="228">
        <v>25.9</v>
      </c>
      <c r="AN12" s="229">
        <v>-2.0500000000000001E-2</v>
      </c>
      <c r="AO12" s="231">
        <v>2496.58</v>
      </c>
      <c r="AP12" s="231">
        <v>2454</v>
      </c>
      <c r="AQ12" s="228">
        <v>0</v>
      </c>
      <c r="AR12" s="230">
        <v>1126000</v>
      </c>
      <c r="AS12" s="230">
        <v>931500</v>
      </c>
      <c r="AT12" s="230">
        <v>194500</v>
      </c>
      <c r="AU12" s="229">
        <v>0.20880000000000001</v>
      </c>
      <c r="AV12" s="230">
        <v>881500</v>
      </c>
      <c r="AW12" s="230">
        <v>649000</v>
      </c>
      <c r="AX12" s="230">
        <v>232500</v>
      </c>
      <c r="AY12" s="229">
        <v>0.35820000000000002</v>
      </c>
      <c r="AZ12" s="230">
        <v>229500</v>
      </c>
      <c r="BA12" s="230">
        <v>271750</v>
      </c>
      <c r="BB12" s="230">
        <v>-42250</v>
      </c>
      <c r="BC12" s="229">
        <v>-0.1555</v>
      </c>
      <c r="BD12" s="230">
        <v>15000</v>
      </c>
      <c r="BE12" s="230">
        <v>10750</v>
      </c>
      <c r="BF12" s="230">
        <v>4250</v>
      </c>
      <c r="BG12" s="229">
        <v>0.39529999999999998</v>
      </c>
      <c r="BH12" s="230">
        <v>6894500</v>
      </c>
      <c r="BI12" s="230">
        <v>3892250</v>
      </c>
      <c r="BJ12" s="230">
        <v>3002250</v>
      </c>
      <c r="BK12" s="229">
        <v>0.77129999999999999</v>
      </c>
      <c r="BL12" s="230">
        <v>2374000</v>
      </c>
      <c r="BM12" s="230">
        <v>1567750</v>
      </c>
      <c r="BN12" s="230">
        <v>806250</v>
      </c>
      <c r="BO12" s="229">
        <v>0.51429999999999998</v>
      </c>
      <c r="BP12" s="230">
        <v>10394500</v>
      </c>
      <c r="BQ12" s="230">
        <v>6391500</v>
      </c>
      <c r="BR12" s="230">
        <v>4003000</v>
      </c>
      <c r="BS12" s="229">
        <v>0.62629999999999997</v>
      </c>
      <c r="BT12" s="230">
        <v>713225</v>
      </c>
      <c r="BU12" s="230">
        <v>319925</v>
      </c>
      <c r="BV12" s="230">
        <v>393300</v>
      </c>
      <c r="BW12" s="229">
        <v>1.2294</v>
      </c>
      <c r="BX12" s="230">
        <v>4278250</v>
      </c>
      <c r="BY12" s="230">
        <v>4211250</v>
      </c>
      <c r="BZ12" s="230">
        <v>67000</v>
      </c>
      <c r="CA12" s="229">
        <v>1.5900000000000001E-2</v>
      </c>
      <c r="CB12" s="230">
        <v>3635000</v>
      </c>
      <c r="CC12" s="230">
        <v>3634500</v>
      </c>
      <c r="CD12" s="228">
        <v>500</v>
      </c>
      <c r="CE12" s="229">
        <v>1E-4</v>
      </c>
      <c r="CF12" s="230">
        <v>592000</v>
      </c>
      <c r="CG12" s="230">
        <v>534000</v>
      </c>
      <c r="CH12" s="230">
        <v>58000</v>
      </c>
      <c r="CI12" s="229">
        <v>0.1086</v>
      </c>
      <c r="CJ12" s="230">
        <v>51250</v>
      </c>
      <c r="CK12" s="230">
        <v>42750</v>
      </c>
      <c r="CL12" s="230">
        <v>8500</v>
      </c>
      <c r="CM12" s="229">
        <v>0.1988</v>
      </c>
      <c r="CN12" s="230">
        <v>5492500</v>
      </c>
      <c r="CO12" s="230">
        <v>5140000</v>
      </c>
      <c r="CP12" s="230">
        <v>352500</v>
      </c>
      <c r="CQ12" s="229">
        <v>6.8599999999999994E-2</v>
      </c>
      <c r="CR12" s="230">
        <v>2156000</v>
      </c>
      <c r="CS12" s="230">
        <v>2095500</v>
      </c>
      <c r="CT12" s="230">
        <v>60500</v>
      </c>
      <c r="CU12" s="229">
        <v>2.8899999999999999E-2</v>
      </c>
      <c r="CV12" s="230">
        <v>11926750</v>
      </c>
      <c r="CW12" s="230">
        <v>11446750</v>
      </c>
      <c r="CX12" s="230">
        <v>480000</v>
      </c>
      <c r="CY12" s="229">
        <v>4.19E-2</v>
      </c>
      <c r="CZ12" s="228">
        <v>35.020000000000003</v>
      </c>
      <c r="DA12" s="228">
        <v>37.11</v>
      </c>
      <c r="DB12" s="228">
        <v>-2.09</v>
      </c>
      <c r="DC12" s="228">
        <v>-2.09</v>
      </c>
      <c r="DD12" s="228">
        <v>52.76</v>
      </c>
      <c r="DE12" s="228">
        <v>52.89</v>
      </c>
      <c r="DF12" s="228">
        <v>-17.739999999999998</v>
      </c>
      <c r="DG12" s="228">
        <v>-0.13</v>
      </c>
      <c r="DH12" s="228">
        <v>35.549999999999997</v>
      </c>
      <c r="DI12" s="228">
        <v>37.869999999999997</v>
      </c>
      <c r="DJ12" s="228">
        <v>-2.3199999999999998</v>
      </c>
      <c r="DK12" s="228">
        <v>-2.3199999999999998</v>
      </c>
      <c r="DL12" s="228">
        <v>33.47</v>
      </c>
      <c r="DM12" s="228">
        <v>35.229999999999997</v>
      </c>
      <c r="DN12" s="228">
        <v>-1.76</v>
      </c>
      <c r="DO12" s="228">
        <v>-1.76</v>
      </c>
      <c r="DP12" s="228">
        <v>0.39</v>
      </c>
      <c r="DQ12" s="228">
        <v>0.41</v>
      </c>
      <c r="DR12" s="228">
        <v>-0.02</v>
      </c>
      <c r="DS12" s="229">
        <v>-4.8800000000000003E-2</v>
      </c>
      <c r="DT12" s="231">
        <v>2800</v>
      </c>
      <c r="DU12" s="231">
        <v>2500</v>
      </c>
      <c r="DV12" s="228">
        <v>0.34</v>
      </c>
      <c r="DW12" s="228">
        <v>0.4</v>
      </c>
      <c r="DX12" s="228">
        <v>-0.06</v>
      </c>
      <c r="DY12" s="229">
        <v>-0.15</v>
      </c>
      <c r="DZ12" s="229">
        <v>0.15040000000000001</v>
      </c>
      <c r="EA12" s="230">
        <v>576750</v>
      </c>
      <c r="EB12" s="229">
        <v>-1.72E-2</v>
      </c>
      <c r="EC12" s="229">
        <v>0.15040000000000001</v>
      </c>
      <c r="ED12" s="228">
        <v>-42.58</v>
      </c>
      <c r="EE12" s="229">
        <v>-1.7100000000000001E-2</v>
      </c>
      <c r="EF12" s="230">
        <v>199005</v>
      </c>
      <c r="EG12" s="230">
        <v>60137</v>
      </c>
      <c r="EH12" s="229">
        <v>2.3092000000000001</v>
      </c>
      <c r="EI12" s="229">
        <v>0.27900000000000003</v>
      </c>
      <c r="EJ12" s="231">
        <v>184001.59</v>
      </c>
      <c r="EK12" s="231">
        <v>58791.7</v>
      </c>
      <c r="EL12" s="231">
        <v>28004.59</v>
      </c>
      <c r="EM12" s="231">
        <v>3733</v>
      </c>
      <c r="EN12" s="231">
        <v>270797.88</v>
      </c>
      <c r="EO12" s="231">
        <v>167234.88</v>
      </c>
      <c r="EP12" s="231">
        <v>103563</v>
      </c>
      <c r="EQ12" s="229">
        <v>0.61929999999999996</v>
      </c>
      <c r="ER12" s="231">
        <v>151090</v>
      </c>
      <c r="ES12" s="231">
        <v>53687</v>
      </c>
      <c r="ET12" s="231">
        <v>105687</v>
      </c>
      <c r="EU12" s="231">
        <v>9647634</v>
      </c>
      <c r="EV12" s="231">
        <v>310464</v>
      </c>
      <c r="EW12" s="231">
        <v>298389</v>
      </c>
      <c r="EX12" s="231">
        <v>12075</v>
      </c>
      <c r="EY12" s="229">
        <v>4.0500000000000001E-2</v>
      </c>
      <c r="EZ12" s="229">
        <v>1.2362</v>
      </c>
      <c r="FA12" s="227" t="s">
        <v>567</v>
      </c>
      <c r="FB12" s="161">
        <f t="shared" si="0"/>
        <v>643250</v>
      </c>
    </row>
    <row r="13" spans="1:158" ht="17.25" hidden="1" thickBot="1" x14ac:dyDescent="0.3">
      <c r="A13" s="226">
        <v>46009</v>
      </c>
      <c r="B13" s="227" t="s">
        <v>227</v>
      </c>
      <c r="C13" s="227" t="s">
        <v>598</v>
      </c>
      <c r="D13" s="228">
        <v>350</v>
      </c>
      <c r="E13" s="231">
        <v>1800.8</v>
      </c>
      <c r="F13" s="231">
        <v>1769.5</v>
      </c>
      <c r="G13" s="228">
        <v>31.3</v>
      </c>
      <c r="H13" s="229">
        <v>1.77E-2</v>
      </c>
      <c r="I13" s="231">
        <v>1795.7</v>
      </c>
      <c r="J13" s="231">
        <v>1764.5</v>
      </c>
      <c r="K13" s="228">
        <v>31.2</v>
      </c>
      <c r="L13" s="229">
        <v>1.77E-2</v>
      </c>
      <c r="M13" s="231">
        <v>1800.8</v>
      </c>
      <c r="N13" s="231">
        <v>1769.5</v>
      </c>
      <c r="O13" s="228">
        <v>31.3</v>
      </c>
      <c r="P13" s="229">
        <v>1.77E-2</v>
      </c>
      <c r="Q13" s="231">
        <v>1811.8</v>
      </c>
      <c r="R13" s="231">
        <v>1778.5</v>
      </c>
      <c r="S13" s="228">
        <v>33.299999999999997</v>
      </c>
      <c r="T13" s="229">
        <v>1.8700000000000001E-2</v>
      </c>
      <c r="U13" s="231">
        <v>1821.9</v>
      </c>
      <c r="V13" s="231">
        <v>1791</v>
      </c>
      <c r="W13" s="228">
        <v>30.9</v>
      </c>
      <c r="X13" s="229">
        <v>1.7299999999999999E-2</v>
      </c>
      <c r="Y13" s="228">
        <v>5.0999999999999996</v>
      </c>
      <c r="Z13" s="228">
        <v>5</v>
      </c>
      <c r="AA13" s="228">
        <v>0.1</v>
      </c>
      <c r="AB13" s="229">
        <v>2.8E-3</v>
      </c>
      <c r="AC13" s="228">
        <v>5.0999999999999996</v>
      </c>
      <c r="AD13" s="228">
        <v>5</v>
      </c>
      <c r="AE13" s="228">
        <v>0.1</v>
      </c>
      <c r="AF13" s="229">
        <v>2.8E-3</v>
      </c>
      <c r="AG13" s="228">
        <v>16.100000000000001</v>
      </c>
      <c r="AH13" s="228">
        <v>14</v>
      </c>
      <c r="AI13" s="228">
        <v>2.1</v>
      </c>
      <c r="AJ13" s="229">
        <v>8.9999999999999993E-3</v>
      </c>
      <c r="AK13" s="228">
        <v>26.2</v>
      </c>
      <c r="AL13" s="228">
        <v>26.5</v>
      </c>
      <c r="AM13" s="228">
        <v>-0.3</v>
      </c>
      <c r="AN13" s="229">
        <v>1.46E-2</v>
      </c>
      <c r="AO13" s="231">
        <v>1789.99</v>
      </c>
      <c r="AP13" s="231">
        <v>1804.08</v>
      </c>
      <c r="AQ13" s="228">
        <v>0</v>
      </c>
      <c r="AR13" s="230">
        <v>1291850</v>
      </c>
      <c r="AS13" s="230">
        <v>1292550</v>
      </c>
      <c r="AT13" s="228">
        <v>-700</v>
      </c>
      <c r="AU13" s="229">
        <v>-5.0000000000000001E-4</v>
      </c>
      <c r="AV13" s="230">
        <v>1086050</v>
      </c>
      <c r="AW13" s="230">
        <v>1087800</v>
      </c>
      <c r="AX13" s="230">
        <v>-1750</v>
      </c>
      <c r="AY13" s="229">
        <v>-1.6000000000000001E-3</v>
      </c>
      <c r="AZ13" s="230">
        <v>198800</v>
      </c>
      <c r="BA13" s="230">
        <v>200900</v>
      </c>
      <c r="BB13" s="230">
        <v>-2100</v>
      </c>
      <c r="BC13" s="229">
        <v>-1.0500000000000001E-2</v>
      </c>
      <c r="BD13" s="230">
        <v>7000</v>
      </c>
      <c r="BE13" s="230">
        <v>3850</v>
      </c>
      <c r="BF13" s="230">
        <v>3150</v>
      </c>
      <c r="BG13" s="229">
        <v>0.81820000000000004</v>
      </c>
      <c r="BH13" s="230">
        <v>3740100</v>
      </c>
      <c r="BI13" s="230">
        <v>5972400</v>
      </c>
      <c r="BJ13" s="230">
        <v>-2232300</v>
      </c>
      <c r="BK13" s="229">
        <v>-0.37380000000000002</v>
      </c>
      <c r="BL13" s="230">
        <v>1457400</v>
      </c>
      <c r="BM13" s="230">
        <v>1913800</v>
      </c>
      <c r="BN13" s="230">
        <v>-456400</v>
      </c>
      <c r="BO13" s="229">
        <v>-0.23849999999999999</v>
      </c>
      <c r="BP13" s="230">
        <v>6489350</v>
      </c>
      <c r="BQ13" s="230">
        <v>9178750</v>
      </c>
      <c r="BR13" s="230">
        <v>-2689400</v>
      </c>
      <c r="BS13" s="229">
        <v>-0.29299999999999998</v>
      </c>
      <c r="BT13" s="230">
        <v>591813</v>
      </c>
      <c r="BU13" s="230">
        <v>768856</v>
      </c>
      <c r="BV13" s="230">
        <v>-177043</v>
      </c>
      <c r="BW13" s="229">
        <v>-0.2303</v>
      </c>
      <c r="BX13" s="230">
        <v>7788550</v>
      </c>
      <c r="BY13" s="230">
        <v>7853300</v>
      </c>
      <c r="BZ13" s="230">
        <v>-64750</v>
      </c>
      <c r="CA13" s="229">
        <v>-8.2000000000000007E-3</v>
      </c>
      <c r="CB13" s="230">
        <v>7415450</v>
      </c>
      <c r="CC13" s="230">
        <v>7556150</v>
      </c>
      <c r="CD13" s="230">
        <v>-140700</v>
      </c>
      <c r="CE13" s="229">
        <v>-1.8599999999999998E-2</v>
      </c>
      <c r="CF13" s="230">
        <v>332500</v>
      </c>
      <c r="CG13" s="230">
        <v>255150</v>
      </c>
      <c r="CH13" s="230">
        <v>77350</v>
      </c>
      <c r="CI13" s="229">
        <v>0.30320000000000003</v>
      </c>
      <c r="CJ13" s="230">
        <v>40600</v>
      </c>
      <c r="CK13" s="230">
        <v>42000</v>
      </c>
      <c r="CL13" s="230">
        <v>-1400</v>
      </c>
      <c r="CM13" s="229">
        <v>-3.3300000000000003E-2</v>
      </c>
      <c r="CN13" s="230">
        <v>1015350</v>
      </c>
      <c r="CO13" s="230">
        <v>1142750</v>
      </c>
      <c r="CP13" s="230">
        <v>-127400</v>
      </c>
      <c r="CQ13" s="229">
        <v>-0.1115</v>
      </c>
      <c r="CR13" s="230">
        <v>849800</v>
      </c>
      <c r="CS13" s="230">
        <v>862050</v>
      </c>
      <c r="CT13" s="230">
        <v>-12250</v>
      </c>
      <c r="CU13" s="229">
        <v>-1.4200000000000001E-2</v>
      </c>
      <c r="CV13" s="230">
        <v>9653700</v>
      </c>
      <c r="CW13" s="230">
        <v>9858100</v>
      </c>
      <c r="CX13" s="230">
        <v>-204400</v>
      </c>
      <c r="CY13" s="229">
        <v>-2.07E-2</v>
      </c>
      <c r="CZ13" s="228">
        <v>18.38</v>
      </c>
      <c r="DA13" s="228">
        <v>19.13</v>
      </c>
      <c r="DB13" s="228">
        <v>-0.75</v>
      </c>
      <c r="DC13" s="228">
        <v>-0.75</v>
      </c>
      <c r="DD13" s="228">
        <v>32.26</v>
      </c>
      <c r="DE13" s="228">
        <v>32.25</v>
      </c>
      <c r="DF13" s="228">
        <v>-13.88</v>
      </c>
      <c r="DG13" s="228">
        <v>0.01</v>
      </c>
      <c r="DH13" s="228">
        <v>17.920000000000002</v>
      </c>
      <c r="DI13" s="228">
        <v>19.07</v>
      </c>
      <c r="DJ13" s="228">
        <v>-1.1499999999999999</v>
      </c>
      <c r="DK13" s="228">
        <v>-1.1499999999999999</v>
      </c>
      <c r="DL13" s="228">
        <v>19.57</v>
      </c>
      <c r="DM13" s="228">
        <v>19.34</v>
      </c>
      <c r="DN13" s="228">
        <v>0.23</v>
      </c>
      <c r="DO13" s="228">
        <v>0.23</v>
      </c>
      <c r="DP13" s="228">
        <v>0.84</v>
      </c>
      <c r="DQ13" s="228">
        <v>0.75</v>
      </c>
      <c r="DR13" s="228">
        <v>0.09</v>
      </c>
      <c r="DS13" s="229">
        <v>0.12</v>
      </c>
      <c r="DT13" s="231">
        <v>1800</v>
      </c>
      <c r="DU13" s="231">
        <v>1760</v>
      </c>
      <c r="DV13" s="228">
        <v>0.39</v>
      </c>
      <c r="DW13" s="228">
        <v>0.32</v>
      </c>
      <c r="DX13" s="228">
        <v>7.0000000000000007E-2</v>
      </c>
      <c r="DY13" s="229">
        <v>0.21879999999999999</v>
      </c>
      <c r="DZ13" s="229">
        <v>4.7899999999999998E-2</v>
      </c>
      <c r="EA13" s="230">
        <v>297150</v>
      </c>
      <c r="EB13" s="229">
        <v>6.1000000000000004E-3</v>
      </c>
      <c r="EC13" s="229">
        <v>4.7899999999999998E-2</v>
      </c>
      <c r="ED13" s="228">
        <v>14.09</v>
      </c>
      <c r="EE13" s="229">
        <v>7.9000000000000008E-3</v>
      </c>
      <c r="EF13" s="230">
        <v>317189</v>
      </c>
      <c r="EG13" s="230">
        <v>407045</v>
      </c>
      <c r="EH13" s="229">
        <v>-0.2208</v>
      </c>
      <c r="EI13" s="229">
        <v>0.53600000000000003</v>
      </c>
      <c r="EJ13" s="231">
        <v>68117.75</v>
      </c>
      <c r="EK13" s="231">
        <v>25521.99</v>
      </c>
      <c r="EL13" s="231">
        <v>23153.69</v>
      </c>
      <c r="EM13" s="231">
        <v>2188</v>
      </c>
      <c r="EN13" s="231">
        <v>116793.43</v>
      </c>
      <c r="EO13" s="231">
        <v>164058.23999999999</v>
      </c>
      <c r="EP13" s="231">
        <v>-47264.81</v>
      </c>
      <c r="EQ13" s="229">
        <v>-0.28810000000000002</v>
      </c>
      <c r="ER13" s="231">
        <v>18413</v>
      </c>
      <c r="ES13" s="231">
        <v>14628</v>
      </c>
      <c r="ET13" s="231">
        <v>140301</v>
      </c>
      <c r="EU13" s="231">
        <v>27232196</v>
      </c>
      <c r="EV13" s="231">
        <v>173343</v>
      </c>
      <c r="EW13" s="231">
        <v>174272</v>
      </c>
      <c r="EX13" s="228">
        <v>-929</v>
      </c>
      <c r="EY13" s="229">
        <v>-5.3E-3</v>
      </c>
      <c r="EZ13" s="229">
        <v>0.35449999999999998</v>
      </c>
      <c r="FA13" s="227" t="s">
        <v>556</v>
      </c>
      <c r="FB13" s="161">
        <f t="shared" si="0"/>
        <v>373100</v>
      </c>
    </row>
    <row r="14" spans="1:158" ht="17.25" hidden="1" thickBot="1" x14ac:dyDescent="0.3">
      <c r="A14" s="226">
        <v>46009</v>
      </c>
      <c r="B14" s="227" t="s">
        <v>170</v>
      </c>
      <c r="C14" s="227" t="s">
        <v>165</v>
      </c>
      <c r="D14" s="228">
        <v>125</v>
      </c>
      <c r="E14" s="231">
        <v>6933.5</v>
      </c>
      <c r="F14" s="231">
        <v>6927.5</v>
      </c>
      <c r="G14" s="228">
        <v>6</v>
      </c>
      <c r="H14" s="229">
        <v>8.9999999999999998E-4</v>
      </c>
      <c r="I14" s="231">
        <v>6918.5</v>
      </c>
      <c r="J14" s="231">
        <v>6921.5</v>
      </c>
      <c r="K14" s="228">
        <v>-3</v>
      </c>
      <c r="L14" s="229">
        <v>-4.0000000000000002E-4</v>
      </c>
      <c r="M14" s="231">
        <v>6933.5</v>
      </c>
      <c r="N14" s="231">
        <v>6927.5</v>
      </c>
      <c r="O14" s="228">
        <v>6</v>
      </c>
      <c r="P14" s="229">
        <v>8.9999999999999998E-4</v>
      </c>
      <c r="Q14" s="231">
        <v>6978</v>
      </c>
      <c r="R14" s="231">
        <v>6971</v>
      </c>
      <c r="S14" s="228">
        <v>7</v>
      </c>
      <c r="T14" s="229">
        <v>1E-3</v>
      </c>
      <c r="U14" s="231">
        <v>7007</v>
      </c>
      <c r="V14" s="231">
        <v>7003.5</v>
      </c>
      <c r="W14" s="228">
        <v>3.5</v>
      </c>
      <c r="X14" s="229">
        <v>5.0000000000000001E-4</v>
      </c>
      <c r="Y14" s="228">
        <v>15</v>
      </c>
      <c r="Z14" s="228">
        <v>6</v>
      </c>
      <c r="AA14" s="228">
        <v>9</v>
      </c>
      <c r="AB14" s="229">
        <v>2.2000000000000001E-3</v>
      </c>
      <c r="AC14" s="228">
        <v>15</v>
      </c>
      <c r="AD14" s="228">
        <v>6</v>
      </c>
      <c r="AE14" s="228">
        <v>9</v>
      </c>
      <c r="AF14" s="229">
        <v>2.2000000000000001E-3</v>
      </c>
      <c r="AG14" s="228">
        <v>59.5</v>
      </c>
      <c r="AH14" s="228">
        <v>49.5</v>
      </c>
      <c r="AI14" s="228">
        <v>10</v>
      </c>
      <c r="AJ14" s="229">
        <v>8.6E-3</v>
      </c>
      <c r="AK14" s="228">
        <v>88.5</v>
      </c>
      <c r="AL14" s="228">
        <v>82</v>
      </c>
      <c r="AM14" s="228">
        <v>6.5</v>
      </c>
      <c r="AN14" s="229">
        <v>1.2800000000000001E-2</v>
      </c>
      <c r="AO14" s="231">
        <v>6933.58</v>
      </c>
      <c r="AP14" s="231">
        <v>6981.31</v>
      </c>
      <c r="AQ14" s="228">
        <v>0</v>
      </c>
      <c r="AR14" s="230">
        <v>704750</v>
      </c>
      <c r="AS14" s="230">
        <v>527625</v>
      </c>
      <c r="AT14" s="230">
        <v>177125</v>
      </c>
      <c r="AU14" s="229">
        <v>0.3357</v>
      </c>
      <c r="AV14" s="230">
        <v>447125</v>
      </c>
      <c r="AW14" s="230">
        <v>432375</v>
      </c>
      <c r="AX14" s="230">
        <v>14750</v>
      </c>
      <c r="AY14" s="229">
        <v>3.4099999999999998E-2</v>
      </c>
      <c r="AZ14" s="230">
        <v>253625</v>
      </c>
      <c r="BA14" s="230">
        <v>88375</v>
      </c>
      <c r="BB14" s="230">
        <v>165250</v>
      </c>
      <c r="BC14" s="229">
        <v>1.8698999999999999</v>
      </c>
      <c r="BD14" s="230">
        <v>4000</v>
      </c>
      <c r="BE14" s="230">
        <v>6875</v>
      </c>
      <c r="BF14" s="230">
        <v>-2875</v>
      </c>
      <c r="BG14" s="229">
        <v>-0.41820000000000002</v>
      </c>
      <c r="BH14" s="230">
        <v>2550125</v>
      </c>
      <c r="BI14" s="230">
        <v>2951375</v>
      </c>
      <c r="BJ14" s="230">
        <v>-401250</v>
      </c>
      <c r="BK14" s="229">
        <v>-0.13600000000000001</v>
      </c>
      <c r="BL14" s="230">
        <v>1041375</v>
      </c>
      <c r="BM14" s="230">
        <v>1598125</v>
      </c>
      <c r="BN14" s="230">
        <v>-556750</v>
      </c>
      <c r="BO14" s="229">
        <v>-0.34839999999999999</v>
      </c>
      <c r="BP14" s="230">
        <v>4296250</v>
      </c>
      <c r="BQ14" s="230">
        <v>5077125</v>
      </c>
      <c r="BR14" s="230">
        <v>-780875</v>
      </c>
      <c r="BS14" s="229">
        <v>-0.15379999999999999</v>
      </c>
      <c r="BT14" s="230">
        <v>389019</v>
      </c>
      <c r="BU14" s="230">
        <v>362937</v>
      </c>
      <c r="BV14" s="230">
        <v>26082</v>
      </c>
      <c r="BW14" s="229">
        <v>7.1900000000000006E-2</v>
      </c>
      <c r="BX14" s="230">
        <v>3426375</v>
      </c>
      <c r="BY14" s="230">
        <v>3415500</v>
      </c>
      <c r="BZ14" s="230">
        <v>10875</v>
      </c>
      <c r="CA14" s="229">
        <v>3.2000000000000002E-3</v>
      </c>
      <c r="CB14" s="230">
        <v>2970875</v>
      </c>
      <c r="CC14" s="230">
        <v>3169500</v>
      </c>
      <c r="CD14" s="230">
        <v>-198625</v>
      </c>
      <c r="CE14" s="229">
        <v>-6.2700000000000006E-2</v>
      </c>
      <c r="CF14" s="230">
        <v>437500</v>
      </c>
      <c r="CG14" s="230">
        <v>229375</v>
      </c>
      <c r="CH14" s="230">
        <v>208125</v>
      </c>
      <c r="CI14" s="229">
        <v>0.90739999999999998</v>
      </c>
      <c r="CJ14" s="230">
        <v>18000</v>
      </c>
      <c r="CK14" s="230">
        <v>16625</v>
      </c>
      <c r="CL14" s="230">
        <v>1375</v>
      </c>
      <c r="CM14" s="229">
        <v>8.2699999999999996E-2</v>
      </c>
      <c r="CN14" s="230">
        <v>2403000</v>
      </c>
      <c r="CO14" s="230">
        <v>2414750</v>
      </c>
      <c r="CP14" s="230">
        <v>-11750</v>
      </c>
      <c r="CQ14" s="229">
        <v>-4.8999999999999998E-3</v>
      </c>
      <c r="CR14" s="230">
        <v>1152750</v>
      </c>
      <c r="CS14" s="230">
        <v>1132125</v>
      </c>
      <c r="CT14" s="230">
        <v>20625</v>
      </c>
      <c r="CU14" s="229">
        <v>1.8200000000000001E-2</v>
      </c>
      <c r="CV14" s="230">
        <v>6982125</v>
      </c>
      <c r="CW14" s="230">
        <v>6962375</v>
      </c>
      <c r="CX14" s="230">
        <v>19750</v>
      </c>
      <c r="CY14" s="229">
        <v>2.8E-3</v>
      </c>
      <c r="CZ14" s="228">
        <v>17.5</v>
      </c>
      <c r="DA14" s="228">
        <v>18.34</v>
      </c>
      <c r="DB14" s="228">
        <v>-0.84</v>
      </c>
      <c r="DC14" s="228">
        <v>-0.84</v>
      </c>
      <c r="DD14" s="228">
        <v>24.9</v>
      </c>
      <c r="DE14" s="228">
        <v>24.97</v>
      </c>
      <c r="DF14" s="228">
        <v>-7.4</v>
      </c>
      <c r="DG14" s="228">
        <v>-7.0000000000000007E-2</v>
      </c>
      <c r="DH14" s="228">
        <v>17.8</v>
      </c>
      <c r="DI14" s="228">
        <v>19.23</v>
      </c>
      <c r="DJ14" s="228">
        <v>-1.43</v>
      </c>
      <c r="DK14" s="228">
        <v>-1.43</v>
      </c>
      <c r="DL14" s="228">
        <v>16.760000000000002</v>
      </c>
      <c r="DM14" s="228">
        <v>16.68</v>
      </c>
      <c r="DN14" s="228">
        <v>0.08</v>
      </c>
      <c r="DO14" s="228">
        <v>0.08</v>
      </c>
      <c r="DP14" s="228">
        <v>0.48</v>
      </c>
      <c r="DQ14" s="228">
        <v>0.47</v>
      </c>
      <c r="DR14" s="228">
        <v>0.01</v>
      </c>
      <c r="DS14" s="229">
        <v>2.1299999999999999E-2</v>
      </c>
      <c r="DT14" s="231">
        <v>7500</v>
      </c>
      <c r="DU14" s="231">
        <v>7000</v>
      </c>
      <c r="DV14" s="228">
        <v>0.41</v>
      </c>
      <c r="DW14" s="228">
        <v>0.54</v>
      </c>
      <c r="DX14" s="228">
        <v>-0.13</v>
      </c>
      <c r="DY14" s="229">
        <v>-0.2407</v>
      </c>
      <c r="DZ14" s="229">
        <v>0.13289999999999999</v>
      </c>
      <c r="EA14" s="230">
        <v>246000</v>
      </c>
      <c r="EB14" s="229">
        <v>6.4000000000000003E-3</v>
      </c>
      <c r="EC14" s="229">
        <v>0.13289999999999999</v>
      </c>
      <c r="ED14" s="228">
        <v>47.73</v>
      </c>
      <c r="EE14" s="229">
        <v>6.8999999999999999E-3</v>
      </c>
      <c r="EF14" s="230">
        <v>263945</v>
      </c>
      <c r="EG14" s="230">
        <v>245066</v>
      </c>
      <c r="EH14" s="229">
        <v>7.6999999999999999E-2</v>
      </c>
      <c r="EI14" s="229">
        <v>0.67849999999999999</v>
      </c>
      <c r="EJ14" s="231">
        <v>183124.58</v>
      </c>
      <c r="EK14" s="231">
        <v>71648.960000000006</v>
      </c>
      <c r="EL14" s="231">
        <v>48988.25</v>
      </c>
      <c r="EM14" s="231">
        <v>3266</v>
      </c>
      <c r="EN14" s="231">
        <v>303761.78999999998</v>
      </c>
      <c r="EO14" s="231">
        <v>362548.32</v>
      </c>
      <c r="EP14" s="231">
        <v>-58786.53</v>
      </c>
      <c r="EQ14" s="229">
        <v>-0.16209999999999999</v>
      </c>
      <c r="ER14" s="231">
        <v>177658</v>
      </c>
      <c r="ES14" s="231">
        <v>81138</v>
      </c>
      <c r="ET14" s="231">
        <v>237776</v>
      </c>
      <c r="EU14" s="231">
        <v>15240043</v>
      </c>
      <c r="EV14" s="231">
        <v>496572</v>
      </c>
      <c r="EW14" s="231">
        <v>495464</v>
      </c>
      <c r="EX14" s="231">
        <v>1108</v>
      </c>
      <c r="EY14" s="229">
        <v>2.2000000000000001E-3</v>
      </c>
      <c r="EZ14" s="229">
        <v>0.45810000000000001</v>
      </c>
      <c r="FA14" s="227" t="s">
        <v>555</v>
      </c>
      <c r="FB14" s="161">
        <f t="shared" si="0"/>
        <v>455500</v>
      </c>
    </row>
    <row r="15" spans="1:158" ht="17.25" hidden="1" thickBot="1" x14ac:dyDescent="0.3">
      <c r="A15" s="226">
        <v>46009</v>
      </c>
      <c r="B15" s="227" t="s">
        <v>162</v>
      </c>
      <c r="C15" s="227" t="s">
        <v>167</v>
      </c>
      <c r="D15" s="228">
        <v>5000</v>
      </c>
      <c r="E15" s="228">
        <v>170.12</v>
      </c>
      <c r="F15" s="228">
        <v>166.15</v>
      </c>
      <c r="G15" s="228">
        <v>3.97</v>
      </c>
      <c r="H15" s="229">
        <v>2.3900000000000001E-2</v>
      </c>
      <c r="I15" s="228">
        <v>171.57</v>
      </c>
      <c r="J15" s="228">
        <v>166.14</v>
      </c>
      <c r="K15" s="228">
        <v>5.43</v>
      </c>
      <c r="L15" s="229">
        <v>3.27E-2</v>
      </c>
      <c r="M15" s="228">
        <v>170.12</v>
      </c>
      <c r="N15" s="228">
        <v>166.15</v>
      </c>
      <c r="O15" s="228">
        <v>3.97</v>
      </c>
      <c r="P15" s="229">
        <v>2.3900000000000001E-2</v>
      </c>
      <c r="Q15" s="228">
        <v>169.01</v>
      </c>
      <c r="R15" s="228">
        <v>165.16</v>
      </c>
      <c r="S15" s="228">
        <v>3.85</v>
      </c>
      <c r="T15" s="229">
        <v>2.3300000000000001E-2</v>
      </c>
      <c r="U15" s="228">
        <v>167.5</v>
      </c>
      <c r="V15" s="228">
        <v>164.3</v>
      </c>
      <c r="W15" s="228">
        <v>3.2</v>
      </c>
      <c r="X15" s="229">
        <v>1.95E-2</v>
      </c>
      <c r="Y15" s="228">
        <v>-1.45</v>
      </c>
      <c r="Z15" s="228">
        <v>0.01</v>
      </c>
      <c r="AA15" s="228">
        <v>-1.46</v>
      </c>
      <c r="AB15" s="229">
        <v>-8.5000000000000006E-3</v>
      </c>
      <c r="AC15" s="228">
        <v>-1.45</v>
      </c>
      <c r="AD15" s="228">
        <v>0.01</v>
      </c>
      <c r="AE15" s="228">
        <v>-1.46</v>
      </c>
      <c r="AF15" s="229">
        <v>-8.5000000000000006E-3</v>
      </c>
      <c r="AG15" s="228">
        <v>-2.56</v>
      </c>
      <c r="AH15" s="228">
        <v>-0.98</v>
      </c>
      <c r="AI15" s="228">
        <v>-1.58</v>
      </c>
      <c r="AJ15" s="229">
        <v>-1.49E-2</v>
      </c>
      <c r="AK15" s="228">
        <v>-4.07</v>
      </c>
      <c r="AL15" s="228">
        <v>-1.84</v>
      </c>
      <c r="AM15" s="228">
        <v>-2.23</v>
      </c>
      <c r="AN15" s="229">
        <v>-2.3699999999999999E-2</v>
      </c>
      <c r="AO15" s="228">
        <v>168.61</v>
      </c>
      <c r="AP15" s="228">
        <v>166.89</v>
      </c>
      <c r="AQ15" s="228">
        <v>0</v>
      </c>
      <c r="AR15" s="230">
        <v>48005000</v>
      </c>
      <c r="AS15" s="230">
        <v>22080000</v>
      </c>
      <c r="AT15" s="230">
        <v>25925000</v>
      </c>
      <c r="AU15" s="229">
        <v>1.1740999999999999</v>
      </c>
      <c r="AV15" s="230">
        <v>37000000</v>
      </c>
      <c r="AW15" s="230">
        <v>16930000</v>
      </c>
      <c r="AX15" s="230">
        <v>20070000</v>
      </c>
      <c r="AY15" s="229">
        <v>1.1855</v>
      </c>
      <c r="AZ15" s="230">
        <v>10300000</v>
      </c>
      <c r="BA15" s="230">
        <v>5050000</v>
      </c>
      <c r="BB15" s="230">
        <v>5250000</v>
      </c>
      <c r="BC15" s="229">
        <v>1.0396000000000001</v>
      </c>
      <c r="BD15" s="230">
        <v>705000</v>
      </c>
      <c r="BE15" s="230">
        <v>100000</v>
      </c>
      <c r="BF15" s="230">
        <v>605000</v>
      </c>
      <c r="BG15" s="229">
        <v>6.05</v>
      </c>
      <c r="BH15" s="230">
        <v>239345000</v>
      </c>
      <c r="BI15" s="230">
        <v>61195000</v>
      </c>
      <c r="BJ15" s="230">
        <v>178150000</v>
      </c>
      <c r="BK15" s="229">
        <v>2.9112</v>
      </c>
      <c r="BL15" s="230">
        <v>115855000</v>
      </c>
      <c r="BM15" s="230">
        <v>40515000</v>
      </c>
      <c r="BN15" s="230">
        <v>75340000</v>
      </c>
      <c r="BO15" s="229">
        <v>1.8595999999999999</v>
      </c>
      <c r="BP15" s="230">
        <v>403205000</v>
      </c>
      <c r="BQ15" s="230">
        <v>123790000</v>
      </c>
      <c r="BR15" s="230">
        <v>279415000</v>
      </c>
      <c r="BS15" s="229">
        <v>2.2572000000000001</v>
      </c>
      <c r="BT15" s="230">
        <v>22218784</v>
      </c>
      <c r="BU15" s="230">
        <v>8504503</v>
      </c>
      <c r="BV15" s="230">
        <v>13714281</v>
      </c>
      <c r="BW15" s="229">
        <v>1.6126</v>
      </c>
      <c r="BX15" s="230">
        <v>170450000</v>
      </c>
      <c r="BY15" s="230">
        <v>159850000</v>
      </c>
      <c r="BZ15" s="230">
        <v>10600000</v>
      </c>
      <c r="CA15" s="229">
        <v>6.6299999999999998E-2</v>
      </c>
      <c r="CB15" s="230">
        <v>146040000</v>
      </c>
      <c r="CC15" s="230">
        <v>140925000</v>
      </c>
      <c r="CD15" s="230">
        <v>5115000</v>
      </c>
      <c r="CE15" s="229">
        <v>3.6299999999999999E-2</v>
      </c>
      <c r="CF15" s="230">
        <v>23515000</v>
      </c>
      <c r="CG15" s="230">
        <v>18185000</v>
      </c>
      <c r="CH15" s="230">
        <v>5330000</v>
      </c>
      <c r="CI15" s="229">
        <v>0.29310000000000003</v>
      </c>
      <c r="CJ15" s="230">
        <v>895000</v>
      </c>
      <c r="CK15" s="230">
        <v>740000</v>
      </c>
      <c r="CL15" s="230">
        <v>155000</v>
      </c>
      <c r="CM15" s="229">
        <v>0.20949999999999999</v>
      </c>
      <c r="CN15" s="230">
        <v>73490000</v>
      </c>
      <c r="CO15" s="230">
        <v>67825000</v>
      </c>
      <c r="CP15" s="230">
        <v>5665000</v>
      </c>
      <c r="CQ15" s="229">
        <v>8.3500000000000005E-2</v>
      </c>
      <c r="CR15" s="230">
        <v>73420000</v>
      </c>
      <c r="CS15" s="230">
        <v>66175000</v>
      </c>
      <c r="CT15" s="230">
        <v>7245000</v>
      </c>
      <c r="CU15" s="229">
        <v>0.1095</v>
      </c>
      <c r="CV15" s="230">
        <v>317360000</v>
      </c>
      <c r="CW15" s="230">
        <v>293850000</v>
      </c>
      <c r="CX15" s="230">
        <v>23510000</v>
      </c>
      <c r="CY15" s="229">
        <v>0.08</v>
      </c>
      <c r="CZ15" s="228">
        <v>23.53</v>
      </c>
      <c r="DA15" s="228">
        <v>22.84</v>
      </c>
      <c r="DB15" s="228">
        <v>0.69</v>
      </c>
      <c r="DC15" s="228">
        <v>0.69</v>
      </c>
      <c r="DD15" s="228">
        <v>35.28</v>
      </c>
      <c r="DE15" s="228">
        <v>35.1</v>
      </c>
      <c r="DF15" s="228">
        <v>-11.75</v>
      </c>
      <c r="DG15" s="228">
        <v>0.18</v>
      </c>
      <c r="DH15" s="228">
        <v>22.77</v>
      </c>
      <c r="DI15" s="228">
        <v>22.22</v>
      </c>
      <c r="DJ15" s="228">
        <v>0.55000000000000004</v>
      </c>
      <c r="DK15" s="228">
        <v>0.55000000000000004</v>
      </c>
      <c r="DL15" s="228">
        <v>25.09</v>
      </c>
      <c r="DM15" s="228">
        <v>23.78</v>
      </c>
      <c r="DN15" s="228">
        <v>1.31</v>
      </c>
      <c r="DO15" s="228">
        <v>1.31</v>
      </c>
      <c r="DP15" s="228">
        <v>1</v>
      </c>
      <c r="DQ15" s="228">
        <v>0.98</v>
      </c>
      <c r="DR15" s="228">
        <v>0.02</v>
      </c>
      <c r="DS15" s="229">
        <v>2.0400000000000001E-2</v>
      </c>
      <c r="DT15" s="228">
        <v>175</v>
      </c>
      <c r="DU15" s="228">
        <v>160</v>
      </c>
      <c r="DV15" s="228">
        <v>0.48</v>
      </c>
      <c r="DW15" s="228">
        <v>0.66</v>
      </c>
      <c r="DX15" s="228">
        <v>-0.18</v>
      </c>
      <c r="DY15" s="229">
        <v>-0.2727</v>
      </c>
      <c r="DZ15" s="229">
        <v>0.14319999999999999</v>
      </c>
      <c r="EA15" s="230">
        <v>18925000</v>
      </c>
      <c r="EB15" s="229">
        <v>-6.4999999999999997E-3</v>
      </c>
      <c r="EC15" s="229">
        <v>0.14319999999999999</v>
      </c>
      <c r="ED15" s="228">
        <v>-1.72</v>
      </c>
      <c r="EE15" s="229">
        <v>-1.0200000000000001E-2</v>
      </c>
      <c r="EF15" s="230">
        <v>11448249</v>
      </c>
      <c r="EG15" s="230">
        <v>4710344</v>
      </c>
      <c r="EH15" s="229">
        <v>1.4303999999999999</v>
      </c>
      <c r="EI15" s="229">
        <v>0.51529999999999998</v>
      </c>
      <c r="EJ15" s="231">
        <v>415894.73</v>
      </c>
      <c r="EK15" s="231">
        <v>189886.85</v>
      </c>
      <c r="EL15" s="231">
        <v>80744.539999999994</v>
      </c>
      <c r="EM15" s="231">
        <v>5234</v>
      </c>
      <c r="EN15" s="231">
        <v>686526.12</v>
      </c>
      <c r="EO15" s="231">
        <v>206655.08</v>
      </c>
      <c r="EP15" s="231">
        <v>479871.04</v>
      </c>
      <c r="EQ15" s="229">
        <v>2.3220999999999998</v>
      </c>
      <c r="ER15" s="231">
        <v>122708</v>
      </c>
      <c r="ES15" s="231">
        <v>114452</v>
      </c>
      <c r="ET15" s="231">
        <v>289685</v>
      </c>
      <c r="EU15" s="231">
        <v>409181558</v>
      </c>
      <c r="EV15" s="231">
        <v>526846</v>
      </c>
      <c r="EW15" s="231">
        <v>478736</v>
      </c>
      <c r="EX15" s="231">
        <v>48110</v>
      </c>
      <c r="EY15" s="229">
        <v>0.10050000000000001</v>
      </c>
      <c r="EZ15" s="229">
        <v>0.77559999999999996</v>
      </c>
      <c r="FA15" s="227" t="s">
        <v>555</v>
      </c>
      <c r="FB15" s="161">
        <f t="shared" si="0"/>
        <v>24410000</v>
      </c>
    </row>
    <row r="16" spans="1:158" ht="17.25" hidden="1" thickBot="1" x14ac:dyDescent="0.3">
      <c r="A16" s="226">
        <v>46009</v>
      </c>
      <c r="B16" s="227" t="s">
        <v>168</v>
      </c>
      <c r="C16" s="227" t="s">
        <v>169</v>
      </c>
      <c r="D16" s="228">
        <v>250</v>
      </c>
      <c r="E16" s="231">
        <v>2764.1</v>
      </c>
      <c r="F16" s="231">
        <v>2785.6</v>
      </c>
      <c r="G16" s="228">
        <v>-21.5</v>
      </c>
      <c r="H16" s="229">
        <v>-7.7000000000000002E-3</v>
      </c>
      <c r="I16" s="231">
        <v>2759.7</v>
      </c>
      <c r="J16" s="231">
        <v>2785.7</v>
      </c>
      <c r="K16" s="228">
        <v>-26</v>
      </c>
      <c r="L16" s="229">
        <v>-9.2999999999999992E-3</v>
      </c>
      <c r="M16" s="231">
        <v>2764.1</v>
      </c>
      <c r="N16" s="231">
        <v>2785.6</v>
      </c>
      <c r="O16" s="228">
        <v>-21.5</v>
      </c>
      <c r="P16" s="229">
        <v>-7.7000000000000002E-3</v>
      </c>
      <c r="Q16" s="231">
        <v>2782.8</v>
      </c>
      <c r="R16" s="231">
        <v>2803.3</v>
      </c>
      <c r="S16" s="228">
        <v>-20.5</v>
      </c>
      <c r="T16" s="229">
        <v>-7.3000000000000001E-3</v>
      </c>
      <c r="U16" s="231">
        <v>2800</v>
      </c>
      <c r="V16" s="231">
        <v>2818.2</v>
      </c>
      <c r="W16" s="228">
        <v>-18.2</v>
      </c>
      <c r="X16" s="229">
        <v>-6.4999999999999997E-3</v>
      </c>
      <c r="Y16" s="228">
        <v>4.4000000000000004</v>
      </c>
      <c r="Z16" s="228">
        <v>-0.1</v>
      </c>
      <c r="AA16" s="228">
        <v>4.5</v>
      </c>
      <c r="AB16" s="229">
        <v>1.6000000000000001E-3</v>
      </c>
      <c r="AC16" s="228">
        <v>4.4000000000000004</v>
      </c>
      <c r="AD16" s="228">
        <v>-0.1</v>
      </c>
      <c r="AE16" s="228">
        <v>4.5</v>
      </c>
      <c r="AF16" s="229">
        <v>1.6000000000000001E-3</v>
      </c>
      <c r="AG16" s="228">
        <v>23.1</v>
      </c>
      <c r="AH16" s="228">
        <v>17.600000000000001</v>
      </c>
      <c r="AI16" s="228">
        <v>5.5</v>
      </c>
      <c r="AJ16" s="229">
        <v>8.3999999999999995E-3</v>
      </c>
      <c r="AK16" s="228">
        <v>40.299999999999997</v>
      </c>
      <c r="AL16" s="228">
        <v>32.5</v>
      </c>
      <c r="AM16" s="228">
        <v>7.8</v>
      </c>
      <c r="AN16" s="229">
        <v>1.46E-2</v>
      </c>
      <c r="AO16" s="231">
        <v>2770.24</v>
      </c>
      <c r="AP16" s="231">
        <v>2788.43</v>
      </c>
      <c r="AQ16" s="228">
        <v>0</v>
      </c>
      <c r="AR16" s="230">
        <v>965000</v>
      </c>
      <c r="AS16" s="230">
        <v>1192750</v>
      </c>
      <c r="AT16" s="230">
        <v>-227750</v>
      </c>
      <c r="AU16" s="229">
        <v>-0.19089999999999999</v>
      </c>
      <c r="AV16" s="230">
        <v>774000</v>
      </c>
      <c r="AW16" s="230">
        <v>947500</v>
      </c>
      <c r="AX16" s="230">
        <v>-173500</v>
      </c>
      <c r="AY16" s="229">
        <v>-0.18310000000000001</v>
      </c>
      <c r="AZ16" s="230">
        <v>183000</v>
      </c>
      <c r="BA16" s="230">
        <v>238500</v>
      </c>
      <c r="BB16" s="230">
        <v>-55500</v>
      </c>
      <c r="BC16" s="229">
        <v>-0.23269999999999999</v>
      </c>
      <c r="BD16" s="230">
        <v>8000</v>
      </c>
      <c r="BE16" s="230">
        <v>6750</v>
      </c>
      <c r="BF16" s="230">
        <v>1250</v>
      </c>
      <c r="BG16" s="229">
        <v>0.1852</v>
      </c>
      <c r="BH16" s="230">
        <v>7020000</v>
      </c>
      <c r="BI16" s="230">
        <v>6514250</v>
      </c>
      <c r="BJ16" s="230">
        <v>505750</v>
      </c>
      <c r="BK16" s="229">
        <v>7.7600000000000002E-2</v>
      </c>
      <c r="BL16" s="230">
        <v>2880250</v>
      </c>
      <c r="BM16" s="230">
        <v>2485750</v>
      </c>
      <c r="BN16" s="230">
        <v>394500</v>
      </c>
      <c r="BO16" s="229">
        <v>0.15870000000000001</v>
      </c>
      <c r="BP16" s="230">
        <v>10865250</v>
      </c>
      <c r="BQ16" s="230">
        <v>10192750</v>
      </c>
      <c r="BR16" s="230">
        <v>672500</v>
      </c>
      <c r="BS16" s="229">
        <v>6.6000000000000003E-2</v>
      </c>
      <c r="BT16" s="230">
        <v>424876</v>
      </c>
      <c r="BU16" s="230">
        <v>658830</v>
      </c>
      <c r="BV16" s="230">
        <v>-233954</v>
      </c>
      <c r="BW16" s="229">
        <v>-0.35510000000000003</v>
      </c>
      <c r="BX16" s="230">
        <v>12255500</v>
      </c>
      <c r="BY16" s="230">
        <v>12209750</v>
      </c>
      <c r="BZ16" s="230">
        <v>45750</v>
      </c>
      <c r="CA16" s="229">
        <v>3.7000000000000002E-3</v>
      </c>
      <c r="CB16" s="230">
        <v>11543250</v>
      </c>
      <c r="CC16" s="230">
        <v>11622000</v>
      </c>
      <c r="CD16" s="230">
        <v>-78750</v>
      </c>
      <c r="CE16" s="229">
        <v>-6.7999999999999996E-3</v>
      </c>
      <c r="CF16" s="230">
        <v>641500</v>
      </c>
      <c r="CG16" s="230">
        <v>521000</v>
      </c>
      <c r="CH16" s="230">
        <v>120500</v>
      </c>
      <c r="CI16" s="229">
        <v>0.23130000000000001</v>
      </c>
      <c r="CJ16" s="230">
        <v>70750</v>
      </c>
      <c r="CK16" s="230">
        <v>66750</v>
      </c>
      <c r="CL16" s="230">
        <v>4000</v>
      </c>
      <c r="CM16" s="229">
        <v>5.9900000000000002E-2</v>
      </c>
      <c r="CN16" s="230">
        <v>9059250</v>
      </c>
      <c r="CO16" s="230">
        <v>8883250</v>
      </c>
      <c r="CP16" s="230">
        <v>176000</v>
      </c>
      <c r="CQ16" s="229">
        <v>1.9800000000000002E-2</v>
      </c>
      <c r="CR16" s="230">
        <v>4471500</v>
      </c>
      <c r="CS16" s="230">
        <v>4535250</v>
      </c>
      <c r="CT16" s="230">
        <v>-63750</v>
      </c>
      <c r="CU16" s="229">
        <v>-1.41E-2</v>
      </c>
      <c r="CV16" s="230">
        <v>25786250</v>
      </c>
      <c r="CW16" s="230">
        <v>25628250</v>
      </c>
      <c r="CX16" s="230">
        <v>158000</v>
      </c>
      <c r="CY16" s="229">
        <v>6.1999999999999998E-3</v>
      </c>
      <c r="CZ16" s="228">
        <v>18.86</v>
      </c>
      <c r="DA16" s="228">
        <v>18.27</v>
      </c>
      <c r="DB16" s="228">
        <v>0.59</v>
      </c>
      <c r="DC16" s="228">
        <v>0.59</v>
      </c>
      <c r="DD16" s="228">
        <v>25.16</v>
      </c>
      <c r="DE16" s="228">
        <v>25.19</v>
      </c>
      <c r="DF16" s="228">
        <v>-6.3</v>
      </c>
      <c r="DG16" s="228">
        <v>-0.03</v>
      </c>
      <c r="DH16" s="228">
        <v>19.43</v>
      </c>
      <c r="DI16" s="228">
        <v>18.38</v>
      </c>
      <c r="DJ16" s="228">
        <v>1.05</v>
      </c>
      <c r="DK16" s="228">
        <v>1.05</v>
      </c>
      <c r="DL16" s="228">
        <v>17.45</v>
      </c>
      <c r="DM16" s="228">
        <v>17.97</v>
      </c>
      <c r="DN16" s="228">
        <v>-0.52</v>
      </c>
      <c r="DO16" s="228">
        <v>-0.52</v>
      </c>
      <c r="DP16" s="228">
        <v>0.49</v>
      </c>
      <c r="DQ16" s="228">
        <v>0.51</v>
      </c>
      <c r="DR16" s="228">
        <v>-0.02</v>
      </c>
      <c r="DS16" s="229">
        <v>-3.9199999999999999E-2</v>
      </c>
      <c r="DT16" s="231">
        <v>3000</v>
      </c>
      <c r="DU16" s="231">
        <v>2600</v>
      </c>
      <c r="DV16" s="228">
        <v>0.41</v>
      </c>
      <c r="DW16" s="228">
        <v>0.38</v>
      </c>
      <c r="DX16" s="228">
        <v>0.03</v>
      </c>
      <c r="DY16" s="229">
        <v>7.8899999999999998E-2</v>
      </c>
      <c r="DZ16" s="229">
        <v>5.8099999999999999E-2</v>
      </c>
      <c r="EA16" s="230">
        <v>587750</v>
      </c>
      <c r="EB16" s="229">
        <v>6.7999999999999996E-3</v>
      </c>
      <c r="EC16" s="229">
        <v>5.8099999999999999E-2</v>
      </c>
      <c r="ED16" s="228">
        <v>18.190000000000001</v>
      </c>
      <c r="EE16" s="229">
        <v>6.6E-3</v>
      </c>
      <c r="EF16" s="230">
        <v>211667</v>
      </c>
      <c r="EG16" s="230">
        <v>426649</v>
      </c>
      <c r="EH16" s="229">
        <v>-0.50390000000000001</v>
      </c>
      <c r="EI16" s="229">
        <v>0.49819999999999998</v>
      </c>
      <c r="EJ16" s="231">
        <v>202428.05</v>
      </c>
      <c r="EK16" s="231">
        <v>79507.08</v>
      </c>
      <c r="EL16" s="231">
        <v>26768.97</v>
      </c>
      <c r="EM16" s="231">
        <v>6013</v>
      </c>
      <c r="EN16" s="231">
        <v>308704.09999999998</v>
      </c>
      <c r="EO16" s="231">
        <v>289744.44</v>
      </c>
      <c r="EP16" s="231">
        <v>18959.66</v>
      </c>
      <c r="EQ16" s="229">
        <v>6.54E-2</v>
      </c>
      <c r="ER16" s="231">
        <v>266384</v>
      </c>
      <c r="ES16" s="231">
        <v>122460</v>
      </c>
      <c r="ET16" s="231">
        <v>338900</v>
      </c>
      <c r="EU16" s="231">
        <v>52357280</v>
      </c>
      <c r="EV16" s="231">
        <v>727744</v>
      </c>
      <c r="EW16" s="231">
        <v>726185</v>
      </c>
      <c r="EX16" s="231">
        <v>1559</v>
      </c>
      <c r="EY16" s="229">
        <v>2.0999999999999999E-3</v>
      </c>
      <c r="EZ16" s="229">
        <v>0.49249999999999999</v>
      </c>
      <c r="FA16" s="227" t="s">
        <v>567</v>
      </c>
      <c r="FB16" s="161">
        <f t="shared" si="0"/>
        <v>712250</v>
      </c>
    </row>
    <row r="17" spans="1:158" ht="17.25" hidden="1" thickBot="1" x14ac:dyDescent="0.3">
      <c r="A17" s="226">
        <v>46009</v>
      </c>
      <c r="B17" s="227" t="s">
        <v>184</v>
      </c>
      <c r="C17" s="227" t="s">
        <v>503</v>
      </c>
      <c r="D17" s="228">
        <v>425</v>
      </c>
      <c r="E17" s="231">
        <v>1414</v>
      </c>
      <c r="F17" s="231">
        <v>1430.9</v>
      </c>
      <c r="G17" s="228">
        <v>-16.899999999999999</v>
      </c>
      <c r="H17" s="229">
        <v>-1.18E-2</v>
      </c>
      <c r="I17" s="231">
        <v>1407.9</v>
      </c>
      <c r="J17" s="231">
        <v>1428.9</v>
      </c>
      <c r="K17" s="228">
        <v>-21</v>
      </c>
      <c r="L17" s="229">
        <v>-1.47E-2</v>
      </c>
      <c r="M17" s="231">
        <v>1414</v>
      </c>
      <c r="N17" s="231">
        <v>1430.9</v>
      </c>
      <c r="O17" s="228">
        <v>-16.899999999999999</v>
      </c>
      <c r="P17" s="229">
        <v>-1.18E-2</v>
      </c>
      <c r="Q17" s="231">
        <v>1418.3</v>
      </c>
      <c r="R17" s="231">
        <v>1433.6</v>
      </c>
      <c r="S17" s="228">
        <v>-15.3</v>
      </c>
      <c r="T17" s="229">
        <v>-1.0699999999999999E-2</v>
      </c>
      <c r="U17" s="231">
        <v>1416.7</v>
      </c>
      <c r="V17" s="231">
        <v>1436.3</v>
      </c>
      <c r="W17" s="228">
        <v>-19.600000000000001</v>
      </c>
      <c r="X17" s="229">
        <v>-1.3599999999999999E-2</v>
      </c>
      <c r="Y17" s="228">
        <v>6.1</v>
      </c>
      <c r="Z17" s="228">
        <v>2</v>
      </c>
      <c r="AA17" s="228">
        <v>4.0999999999999996</v>
      </c>
      <c r="AB17" s="229">
        <v>4.3E-3</v>
      </c>
      <c r="AC17" s="228">
        <v>6.1</v>
      </c>
      <c r="AD17" s="228">
        <v>2</v>
      </c>
      <c r="AE17" s="228">
        <v>4.0999999999999996</v>
      </c>
      <c r="AF17" s="229">
        <v>4.3E-3</v>
      </c>
      <c r="AG17" s="228">
        <v>10.4</v>
      </c>
      <c r="AH17" s="228">
        <v>4.7</v>
      </c>
      <c r="AI17" s="228">
        <v>5.7</v>
      </c>
      <c r="AJ17" s="229">
        <v>7.4000000000000003E-3</v>
      </c>
      <c r="AK17" s="228">
        <v>8.8000000000000007</v>
      </c>
      <c r="AL17" s="228">
        <v>7.4</v>
      </c>
      <c r="AM17" s="228">
        <v>1.4</v>
      </c>
      <c r="AN17" s="229">
        <v>6.3E-3</v>
      </c>
      <c r="AO17" s="231">
        <v>1419.05</v>
      </c>
      <c r="AP17" s="231">
        <v>1422.3</v>
      </c>
      <c r="AQ17" s="228">
        <v>0</v>
      </c>
      <c r="AR17" s="230">
        <v>998750</v>
      </c>
      <c r="AS17" s="230">
        <v>1251200</v>
      </c>
      <c r="AT17" s="230">
        <v>-252450</v>
      </c>
      <c r="AU17" s="229">
        <v>-0.20180000000000001</v>
      </c>
      <c r="AV17" s="230">
        <v>833000</v>
      </c>
      <c r="AW17" s="230">
        <v>1068875</v>
      </c>
      <c r="AX17" s="230">
        <v>-235875</v>
      </c>
      <c r="AY17" s="229">
        <v>-0.22070000000000001</v>
      </c>
      <c r="AZ17" s="230">
        <v>161500</v>
      </c>
      <c r="BA17" s="230">
        <v>172550</v>
      </c>
      <c r="BB17" s="230">
        <v>-11050</v>
      </c>
      <c r="BC17" s="229">
        <v>-6.4000000000000001E-2</v>
      </c>
      <c r="BD17" s="230">
        <v>4250</v>
      </c>
      <c r="BE17" s="230">
        <v>9775</v>
      </c>
      <c r="BF17" s="230">
        <v>-5525</v>
      </c>
      <c r="BG17" s="229">
        <v>-0.56520000000000004</v>
      </c>
      <c r="BH17" s="230">
        <v>2448850</v>
      </c>
      <c r="BI17" s="230">
        <v>4308225</v>
      </c>
      <c r="BJ17" s="230">
        <v>-1859375</v>
      </c>
      <c r="BK17" s="229">
        <v>-0.43159999999999998</v>
      </c>
      <c r="BL17" s="230">
        <v>1718275</v>
      </c>
      <c r="BM17" s="230">
        <v>3085500</v>
      </c>
      <c r="BN17" s="230">
        <v>-1367225</v>
      </c>
      <c r="BO17" s="229">
        <v>-0.44309999999999999</v>
      </c>
      <c r="BP17" s="230">
        <v>5165875</v>
      </c>
      <c r="BQ17" s="230">
        <v>8644925</v>
      </c>
      <c r="BR17" s="230">
        <v>-3479050</v>
      </c>
      <c r="BS17" s="229">
        <v>-0.40239999999999998</v>
      </c>
      <c r="BT17" s="230">
        <v>456286</v>
      </c>
      <c r="BU17" s="230">
        <v>377870</v>
      </c>
      <c r="BV17" s="230">
        <v>78416</v>
      </c>
      <c r="BW17" s="229">
        <v>0.20749999999999999</v>
      </c>
      <c r="BX17" s="230">
        <v>7770275</v>
      </c>
      <c r="BY17" s="230">
        <v>7620675</v>
      </c>
      <c r="BZ17" s="230">
        <v>149600</v>
      </c>
      <c r="CA17" s="229">
        <v>1.9599999999999999E-2</v>
      </c>
      <c r="CB17" s="230">
        <v>7008675</v>
      </c>
      <c r="CC17" s="230">
        <v>6908375</v>
      </c>
      <c r="CD17" s="230">
        <v>100300</v>
      </c>
      <c r="CE17" s="229">
        <v>1.4500000000000001E-2</v>
      </c>
      <c r="CF17" s="230">
        <v>709325</v>
      </c>
      <c r="CG17" s="230">
        <v>661725</v>
      </c>
      <c r="CH17" s="230">
        <v>47600</v>
      </c>
      <c r="CI17" s="229">
        <v>7.1900000000000006E-2</v>
      </c>
      <c r="CJ17" s="230">
        <v>52275</v>
      </c>
      <c r="CK17" s="230">
        <v>50575</v>
      </c>
      <c r="CL17" s="230">
        <v>1700</v>
      </c>
      <c r="CM17" s="229">
        <v>3.3599999999999998E-2</v>
      </c>
      <c r="CN17" s="230">
        <v>3734900</v>
      </c>
      <c r="CO17" s="230">
        <v>3717900</v>
      </c>
      <c r="CP17" s="230">
        <v>17000</v>
      </c>
      <c r="CQ17" s="229">
        <v>4.5999999999999999E-3</v>
      </c>
      <c r="CR17" s="230">
        <v>1973700</v>
      </c>
      <c r="CS17" s="230">
        <v>1879350</v>
      </c>
      <c r="CT17" s="230">
        <v>94350</v>
      </c>
      <c r="CU17" s="229">
        <v>5.0200000000000002E-2</v>
      </c>
      <c r="CV17" s="230">
        <v>13478875</v>
      </c>
      <c r="CW17" s="230">
        <v>13217925</v>
      </c>
      <c r="CX17" s="230">
        <v>260950</v>
      </c>
      <c r="CY17" s="229">
        <v>1.9699999999999999E-2</v>
      </c>
      <c r="CZ17" s="228">
        <v>23.33</v>
      </c>
      <c r="DA17" s="228">
        <v>24.27</v>
      </c>
      <c r="DB17" s="228">
        <v>-0.94</v>
      </c>
      <c r="DC17" s="228">
        <v>-0.94</v>
      </c>
      <c r="DD17" s="228">
        <v>33.69</v>
      </c>
      <c r="DE17" s="228">
        <v>33.74</v>
      </c>
      <c r="DF17" s="228">
        <v>-10.36</v>
      </c>
      <c r="DG17" s="228">
        <v>-0.05</v>
      </c>
      <c r="DH17" s="228">
        <v>24.01</v>
      </c>
      <c r="DI17" s="228">
        <v>24.67</v>
      </c>
      <c r="DJ17" s="228">
        <v>-0.66</v>
      </c>
      <c r="DK17" s="228">
        <v>-0.66</v>
      </c>
      <c r="DL17" s="228">
        <v>22.35</v>
      </c>
      <c r="DM17" s="228">
        <v>23.72</v>
      </c>
      <c r="DN17" s="228">
        <v>-1.37</v>
      </c>
      <c r="DO17" s="228">
        <v>-1.37</v>
      </c>
      <c r="DP17" s="228">
        <v>0.53</v>
      </c>
      <c r="DQ17" s="228">
        <v>0.51</v>
      </c>
      <c r="DR17" s="228">
        <v>0.02</v>
      </c>
      <c r="DS17" s="229">
        <v>3.9199999999999999E-2</v>
      </c>
      <c r="DT17" s="231">
        <v>1500</v>
      </c>
      <c r="DU17" s="231">
        <v>1400</v>
      </c>
      <c r="DV17" s="228">
        <v>0.7</v>
      </c>
      <c r="DW17" s="228">
        <v>0.72</v>
      </c>
      <c r="DX17" s="228">
        <v>-0.02</v>
      </c>
      <c r="DY17" s="229">
        <v>-2.7799999999999998E-2</v>
      </c>
      <c r="DZ17" s="229">
        <v>9.8000000000000004E-2</v>
      </c>
      <c r="EA17" s="230">
        <v>712300</v>
      </c>
      <c r="EB17" s="229">
        <v>3.0000000000000001E-3</v>
      </c>
      <c r="EC17" s="229">
        <v>9.8000000000000004E-2</v>
      </c>
      <c r="ED17" s="228">
        <v>3.25</v>
      </c>
      <c r="EE17" s="229">
        <v>2.3E-3</v>
      </c>
      <c r="EF17" s="230">
        <v>241374</v>
      </c>
      <c r="EG17" s="230">
        <v>130901</v>
      </c>
      <c r="EH17" s="229">
        <v>0.84389999999999998</v>
      </c>
      <c r="EI17" s="229">
        <v>0.52900000000000003</v>
      </c>
      <c r="EJ17" s="231">
        <v>36559.800000000003</v>
      </c>
      <c r="EK17" s="231">
        <v>24270.55</v>
      </c>
      <c r="EL17" s="231">
        <v>14178.25</v>
      </c>
      <c r="EM17" s="231">
        <v>3532</v>
      </c>
      <c r="EN17" s="231">
        <v>75008.600000000006</v>
      </c>
      <c r="EO17" s="231">
        <v>127030.78</v>
      </c>
      <c r="EP17" s="231">
        <v>-52022.18</v>
      </c>
      <c r="EQ17" s="229">
        <v>-0.40949999999999998</v>
      </c>
      <c r="ER17" s="231">
        <v>56903</v>
      </c>
      <c r="ES17" s="231">
        <v>27762</v>
      </c>
      <c r="ET17" s="231">
        <v>109904</v>
      </c>
      <c r="EU17" s="231">
        <v>18495534</v>
      </c>
      <c r="EV17" s="231">
        <v>194569</v>
      </c>
      <c r="EW17" s="231">
        <v>192311</v>
      </c>
      <c r="EX17" s="231">
        <v>2258</v>
      </c>
      <c r="EY17" s="229">
        <v>1.17E-2</v>
      </c>
      <c r="EZ17" s="229">
        <v>0.7288</v>
      </c>
      <c r="FA17" s="227" t="s">
        <v>567</v>
      </c>
      <c r="FB17" s="161">
        <f t="shared" si="0"/>
        <v>761600</v>
      </c>
    </row>
    <row r="18" spans="1:158" ht="17.25" hidden="1" thickBot="1" x14ac:dyDescent="0.3">
      <c r="A18" s="226">
        <v>46009</v>
      </c>
      <c r="B18" s="227" t="s">
        <v>172</v>
      </c>
      <c r="C18" s="227" t="s">
        <v>495</v>
      </c>
      <c r="D18" s="228">
        <v>1000</v>
      </c>
      <c r="E18" s="228">
        <v>987.4</v>
      </c>
      <c r="F18" s="228">
        <v>988.7</v>
      </c>
      <c r="G18" s="228">
        <v>-1.3</v>
      </c>
      <c r="H18" s="229">
        <v>-1.2999999999999999E-3</v>
      </c>
      <c r="I18" s="228">
        <v>987.65</v>
      </c>
      <c r="J18" s="228">
        <v>990.3</v>
      </c>
      <c r="K18" s="228">
        <v>-2.65</v>
      </c>
      <c r="L18" s="229">
        <v>-2.7000000000000001E-3</v>
      </c>
      <c r="M18" s="228">
        <v>987.4</v>
      </c>
      <c r="N18" s="228">
        <v>988.7</v>
      </c>
      <c r="O18" s="228">
        <v>-1.3</v>
      </c>
      <c r="P18" s="229">
        <v>-1.2999999999999999E-3</v>
      </c>
      <c r="Q18" s="228">
        <v>990.25</v>
      </c>
      <c r="R18" s="228">
        <v>991.95</v>
      </c>
      <c r="S18" s="228">
        <v>-1.7</v>
      </c>
      <c r="T18" s="229">
        <v>-1.6999999999999999E-3</v>
      </c>
      <c r="U18" s="228">
        <v>993</v>
      </c>
      <c r="V18" s="228">
        <v>994.85</v>
      </c>
      <c r="W18" s="228">
        <v>-1.85</v>
      </c>
      <c r="X18" s="229">
        <v>-1.9E-3</v>
      </c>
      <c r="Y18" s="228">
        <v>-0.25</v>
      </c>
      <c r="Z18" s="228">
        <v>-1.6</v>
      </c>
      <c r="AA18" s="228">
        <v>1.35</v>
      </c>
      <c r="AB18" s="229">
        <v>-2.9999999999999997E-4</v>
      </c>
      <c r="AC18" s="228">
        <v>-0.25</v>
      </c>
      <c r="AD18" s="228">
        <v>-1.6</v>
      </c>
      <c r="AE18" s="228">
        <v>1.35</v>
      </c>
      <c r="AF18" s="229">
        <v>-2.9999999999999997E-4</v>
      </c>
      <c r="AG18" s="228">
        <v>2.6</v>
      </c>
      <c r="AH18" s="228">
        <v>1.65</v>
      </c>
      <c r="AI18" s="228">
        <v>0.95</v>
      </c>
      <c r="AJ18" s="229">
        <v>2.5999999999999999E-3</v>
      </c>
      <c r="AK18" s="228">
        <v>5.35</v>
      </c>
      <c r="AL18" s="228">
        <v>4.55</v>
      </c>
      <c r="AM18" s="228">
        <v>0.8</v>
      </c>
      <c r="AN18" s="229">
        <v>5.4000000000000003E-3</v>
      </c>
      <c r="AO18" s="228">
        <v>986.49</v>
      </c>
      <c r="AP18" s="228">
        <v>988.58</v>
      </c>
      <c r="AQ18" s="228">
        <v>0</v>
      </c>
      <c r="AR18" s="230">
        <v>4698000</v>
      </c>
      <c r="AS18" s="230">
        <v>6378000</v>
      </c>
      <c r="AT18" s="230">
        <v>-1680000</v>
      </c>
      <c r="AU18" s="229">
        <v>-0.26340000000000002</v>
      </c>
      <c r="AV18" s="230">
        <v>3126000</v>
      </c>
      <c r="AW18" s="230">
        <v>4843000</v>
      </c>
      <c r="AX18" s="230">
        <v>-1717000</v>
      </c>
      <c r="AY18" s="229">
        <v>-0.35449999999999998</v>
      </c>
      <c r="AZ18" s="230">
        <v>1555000</v>
      </c>
      <c r="BA18" s="230">
        <v>1473000</v>
      </c>
      <c r="BB18" s="230">
        <v>82000</v>
      </c>
      <c r="BC18" s="229">
        <v>5.57E-2</v>
      </c>
      <c r="BD18" s="230">
        <v>17000</v>
      </c>
      <c r="BE18" s="230">
        <v>62000</v>
      </c>
      <c r="BF18" s="230">
        <v>-45000</v>
      </c>
      <c r="BG18" s="229">
        <v>-0.7258</v>
      </c>
      <c r="BH18" s="230">
        <v>6297000</v>
      </c>
      <c r="BI18" s="230">
        <v>19138000</v>
      </c>
      <c r="BJ18" s="230">
        <v>-12841000</v>
      </c>
      <c r="BK18" s="229">
        <v>-0.67100000000000004</v>
      </c>
      <c r="BL18" s="230">
        <v>4152000</v>
      </c>
      <c r="BM18" s="230">
        <v>7813000</v>
      </c>
      <c r="BN18" s="230">
        <v>-3661000</v>
      </c>
      <c r="BO18" s="229">
        <v>-0.46860000000000002</v>
      </c>
      <c r="BP18" s="230">
        <v>15147000</v>
      </c>
      <c r="BQ18" s="230">
        <v>33329000</v>
      </c>
      <c r="BR18" s="230">
        <v>-18182000</v>
      </c>
      <c r="BS18" s="229">
        <v>-0.54549999999999998</v>
      </c>
      <c r="BT18" s="230">
        <v>1570224</v>
      </c>
      <c r="BU18" s="230">
        <v>3675195</v>
      </c>
      <c r="BV18" s="230">
        <v>-2104971</v>
      </c>
      <c r="BW18" s="229">
        <v>-0.57279999999999998</v>
      </c>
      <c r="BX18" s="230">
        <v>22427000</v>
      </c>
      <c r="BY18" s="230">
        <v>21323000</v>
      </c>
      <c r="BZ18" s="230">
        <v>1104000</v>
      </c>
      <c r="CA18" s="229">
        <v>5.1799999999999999E-2</v>
      </c>
      <c r="CB18" s="230">
        <v>18817000</v>
      </c>
      <c r="CC18" s="230">
        <v>18649000</v>
      </c>
      <c r="CD18" s="230">
        <v>168000</v>
      </c>
      <c r="CE18" s="229">
        <v>8.9999999999999993E-3</v>
      </c>
      <c r="CF18" s="230">
        <v>3393000</v>
      </c>
      <c r="CG18" s="230">
        <v>2464000</v>
      </c>
      <c r="CH18" s="230">
        <v>929000</v>
      </c>
      <c r="CI18" s="229">
        <v>0.377</v>
      </c>
      <c r="CJ18" s="230">
        <v>217000</v>
      </c>
      <c r="CK18" s="230">
        <v>210000</v>
      </c>
      <c r="CL18" s="230">
        <v>7000</v>
      </c>
      <c r="CM18" s="229">
        <v>3.3300000000000003E-2</v>
      </c>
      <c r="CN18" s="230">
        <v>8455000</v>
      </c>
      <c r="CO18" s="230">
        <v>8661000</v>
      </c>
      <c r="CP18" s="230">
        <v>-206000</v>
      </c>
      <c r="CQ18" s="229">
        <v>-2.3800000000000002E-2</v>
      </c>
      <c r="CR18" s="230">
        <v>7002000</v>
      </c>
      <c r="CS18" s="230">
        <v>7025000</v>
      </c>
      <c r="CT18" s="230">
        <v>-23000</v>
      </c>
      <c r="CU18" s="229">
        <v>-3.3E-3</v>
      </c>
      <c r="CV18" s="230">
        <v>37884000</v>
      </c>
      <c r="CW18" s="230">
        <v>37009000</v>
      </c>
      <c r="CX18" s="230">
        <v>875000</v>
      </c>
      <c r="CY18" s="229">
        <v>2.3599999999999999E-2</v>
      </c>
      <c r="CZ18" s="228">
        <v>21.49</v>
      </c>
      <c r="DA18" s="228">
        <v>22.57</v>
      </c>
      <c r="DB18" s="228">
        <v>-1.08</v>
      </c>
      <c r="DC18" s="228">
        <v>-1.08</v>
      </c>
      <c r="DD18" s="228">
        <v>35.61</v>
      </c>
      <c r="DE18" s="228">
        <v>35.700000000000003</v>
      </c>
      <c r="DF18" s="228">
        <v>-14.12</v>
      </c>
      <c r="DG18" s="228">
        <v>-0.09</v>
      </c>
      <c r="DH18" s="228">
        <v>20.94</v>
      </c>
      <c r="DI18" s="228">
        <v>22.44</v>
      </c>
      <c r="DJ18" s="228">
        <v>-1.5</v>
      </c>
      <c r="DK18" s="228">
        <v>-1.5</v>
      </c>
      <c r="DL18" s="228">
        <v>22.32</v>
      </c>
      <c r="DM18" s="228">
        <v>22.9</v>
      </c>
      <c r="DN18" s="228">
        <v>-0.57999999999999996</v>
      </c>
      <c r="DO18" s="228">
        <v>-0.57999999999999996</v>
      </c>
      <c r="DP18" s="228">
        <v>0.83</v>
      </c>
      <c r="DQ18" s="228">
        <v>0.81</v>
      </c>
      <c r="DR18" s="228">
        <v>0.02</v>
      </c>
      <c r="DS18" s="229">
        <v>2.47E-2</v>
      </c>
      <c r="DT18" s="231">
        <v>1000</v>
      </c>
      <c r="DU18" s="228">
        <v>950</v>
      </c>
      <c r="DV18" s="228">
        <v>0.66</v>
      </c>
      <c r="DW18" s="228">
        <v>0.41</v>
      </c>
      <c r="DX18" s="228">
        <v>0.25</v>
      </c>
      <c r="DY18" s="229">
        <v>0.60980000000000001</v>
      </c>
      <c r="DZ18" s="229">
        <v>0.161</v>
      </c>
      <c r="EA18" s="230">
        <v>2674000</v>
      </c>
      <c r="EB18" s="229">
        <v>2.8999999999999998E-3</v>
      </c>
      <c r="EC18" s="229">
        <v>0.161</v>
      </c>
      <c r="ED18" s="228">
        <v>2.09</v>
      </c>
      <c r="EE18" s="229">
        <v>2.0999999999999999E-3</v>
      </c>
      <c r="EF18" s="230">
        <v>975764</v>
      </c>
      <c r="EG18" s="230">
        <v>2388736</v>
      </c>
      <c r="EH18" s="229">
        <v>-0.59150000000000003</v>
      </c>
      <c r="EI18" s="229">
        <v>0.62139999999999995</v>
      </c>
      <c r="EJ18" s="231">
        <v>63893.77</v>
      </c>
      <c r="EK18" s="231">
        <v>40472.129999999997</v>
      </c>
      <c r="EL18" s="231">
        <v>46378.52</v>
      </c>
      <c r="EM18" s="231">
        <v>4649</v>
      </c>
      <c r="EN18" s="231">
        <v>150744.42000000001</v>
      </c>
      <c r="EO18" s="231">
        <v>334769.44</v>
      </c>
      <c r="EP18" s="231">
        <v>-184025.02</v>
      </c>
      <c r="EQ18" s="229">
        <v>-0.54969999999999997</v>
      </c>
      <c r="ER18" s="231">
        <v>84097</v>
      </c>
      <c r="ES18" s="231">
        <v>65058</v>
      </c>
      <c r="ET18" s="231">
        <v>221553</v>
      </c>
      <c r="EU18" s="231">
        <v>86234186</v>
      </c>
      <c r="EV18" s="231">
        <v>370708</v>
      </c>
      <c r="EW18" s="231">
        <v>362239</v>
      </c>
      <c r="EX18" s="231">
        <v>8469</v>
      </c>
      <c r="EY18" s="229">
        <v>2.3400000000000001E-2</v>
      </c>
      <c r="EZ18" s="229">
        <v>0.43930000000000002</v>
      </c>
      <c r="FA18" s="227" t="s">
        <v>567</v>
      </c>
      <c r="FB18" s="161">
        <f t="shared" si="0"/>
        <v>3610000</v>
      </c>
    </row>
    <row r="19" spans="1:158" ht="17.25" hidden="1" thickBot="1" x14ac:dyDescent="0.3">
      <c r="A19" s="226">
        <v>46009</v>
      </c>
      <c r="B19" s="227" t="s">
        <v>170</v>
      </c>
      <c r="C19" s="227" t="s">
        <v>171</v>
      </c>
      <c r="D19" s="228">
        <v>550</v>
      </c>
      <c r="E19" s="231">
        <v>1210</v>
      </c>
      <c r="F19" s="231">
        <v>1195.3</v>
      </c>
      <c r="G19" s="228">
        <v>14.7</v>
      </c>
      <c r="H19" s="229">
        <v>1.23E-2</v>
      </c>
      <c r="I19" s="231">
        <v>1209.3</v>
      </c>
      <c r="J19" s="231">
        <v>1193</v>
      </c>
      <c r="K19" s="228">
        <v>16.3</v>
      </c>
      <c r="L19" s="229">
        <v>1.37E-2</v>
      </c>
      <c r="M19" s="231">
        <v>1210</v>
      </c>
      <c r="N19" s="231">
        <v>1195.3</v>
      </c>
      <c r="O19" s="228">
        <v>14.7</v>
      </c>
      <c r="P19" s="229">
        <v>1.23E-2</v>
      </c>
      <c r="Q19" s="231">
        <v>1217.7</v>
      </c>
      <c r="R19" s="231">
        <v>1202.2</v>
      </c>
      <c r="S19" s="228">
        <v>15.5</v>
      </c>
      <c r="T19" s="229">
        <v>1.29E-2</v>
      </c>
      <c r="U19" s="231">
        <v>1225.5</v>
      </c>
      <c r="V19" s="231">
        <v>1209.5</v>
      </c>
      <c r="W19" s="228">
        <v>16</v>
      </c>
      <c r="X19" s="229">
        <v>1.32E-2</v>
      </c>
      <c r="Y19" s="228">
        <v>0.7</v>
      </c>
      <c r="Z19" s="228">
        <v>2.2999999999999998</v>
      </c>
      <c r="AA19" s="228">
        <v>-1.6</v>
      </c>
      <c r="AB19" s="229">
        <v>5.9999999999999995E-4</v>
      </c>
      <c r="AC19" s="228">
        <v>0.7</v>
      </c>
      <c r="AD19" s="228">
        <v>2.2999999999999998</v>
      </c>
      <c r="AE19" s="228">
        <v>-1.6</v>
      </c>
      <c r="AF19" s="229">
        <v>5.9999999999999995E-4</v>
      </c>
      <c r="AG19" s="228">
        <v>8.4</v>
      </c>
      <c r="AH19" s="228">
        <v>9.1999999999999993</v>
      </c>
      <c r="AI19" s="228">
        <v>-0.8</v>
      </c>
      <c r="AJ19" s="229">
        <v>6.8999999999999999E-3</v>
      </c>
      <c r="AK19" s="228">
        <v>16.2</v>
      </c>
      <c r="AL19" s="228">
        <v>16.5</v>
      </c>
      <c r="AM19" s="228">
        <v>-0.3</v>
      </c>
      <c r="AN19" s="229">
        <v>1.34E-2</v>
      </c>
      <c r="AO19" s="231">
        <v>1204.8399999999999</v>
      </c>
      <c r="AP19" s="231">
        <v>1211.3</v>
      </c>
      <c r="AQ19" s="228">
        <v>0</v>
      </c>
      <c r="AR19" s="230">
        <v>2848450</v>
      </c>
      <c r="AS19" s="230">
        <v>1632400</v>
      </c>
      <c r="AT19" s="230">
        <v>1216050</v>
      </c>
      <c r="AU19" s="229">
        <v>0.74490000000000001</v>
      </c>
      <c r="AV19" s="230">
        <v>2367750</v>
      </c>
      <c r="AW19" s="230">
        <v>1369500</v>
      </c>
      <c r="AX19" s="230">
        <v>998250</v>
      </c>
      <c r="AY19" s="229">
        <v>0.72889999999999999</v>
      </c>
      <c r="AZ19" s="230">
        <v>475200</v>
      </c>
      <c r="BA19" s="230">
        <v>259050</v>
      </c>
      <c r="BB19" s="230">
        <v>216150</v>
      </c>
      <c r="BC19" s="229">
        <v>0.83440000000000003</v>
      </c>
      <c r="BD19" s="230">
        <v>5500</v>
      </c>
      <c r="BE19" s="230">
        <v>3850</v>
      </c>
      <c r="BF19" s="230">
        <v>1650</v>
      </c>
      <c r="BG19" s="229">
        <v>0.42859999999999998</v>
      </c>
      <c r="BH19" s="230">
        <v>5965850</v>
      </c>
      <c r="BI19" s="230">
        <v>3166900</v>
      </c>
      <c r="BJ19" s="230">
        <v>2798950</v>
      </c>
      <c r="BK19" s="229">
        <v>0.88380000000000003</v>
      </c>
      <c r="BL19" s="230">
        <v>3533750</v>
      </c>
      <c r="BM19" s="230">
        <v>1132450</v>
      </c>
      <c r="BN19" s="230">
        <v>2401300</v>
      </c>
      <c r="BO19" s="229">
        <v>2.1204000000000001</v>
      </c>
      <c r="BP19" s="230">
        <v>12348050</v>
      </c>
      <c r="BQ19" s="230">
        <v>5931750</v>
      </c>
      <c r="BR19" s="230">
        <v>6416300</v>
      </c>
      <c r="BS19" s="229">
        <v>1.0817000000000001</v>
      </c>
      <c r="BT19" s="230">
        <v>1190235</v>
      </c>
      <c r="BU19" s="230">
        <v>749968</v>
      </c>
      <c r="BV19" s="230">
        <v>440267</v>
      </c>
      <c r="BW19" s="229">
        <v>0.58699999999999997</v>
      </c>
      <c r="BX19" s="230">
        <v>22369050</v>
      </c>
      <c r="BY19" s="230">
        <v>22402600</v>
      </c>
      <c r="BZ19" s="230">
        <v>-33550</v>
      </c>
      <c r="CA19" s="229">
        <v>-1.5E-3</v>
      </c>
      <c r="CB19" s="230">
        <v>21423600</v>
      </c>
      <c r="CC19" s="230">
        <v>21665050</v>
      </c>
      <c r="CD19" s="230">
        <v>-241450</v>
      </c>
      <c r="CE19" s="229">
        <v>-1.11E-2</v>
      </c>
      <c r="CF19" s="230">
        <v>921800</v>
      </c>
      <c r="CG19" s="230">
        <v>715000</v>
      </c>
      <c r="CH19" s="230">
        <v>206800</v>
      </c>
      <c r="CI19" s="229">
        <v>0.28920000000000001</v>
      </c>
      <c r="CJ19" s="230">
        <v>23650</v>
      </c>
      <c r="CK19" s="230">
        <v>22550</v>
      </c>
      <c r="CL19" s="230">
        <v>1100</v>
      </c>
      <c r="CM19" s="229">
        <v>4.8800000000000003E-2</v>
      </c>
      <c r="CN19" s="230">
        <v>5818450</v>
      </c>
      <c r="CO19" s="230">
        <v>5979600</v>
      </c>
      <c r="CP19" s="230">
        <v>-161150</v>
      </c>
      <c r="CQ19" s="229">
        <v>-2.69E-2</v>
      </c>
      <c r="CR19" s="230">
        <v>2840200</v>
      </c>
      <c r="CS19" s="230">
        <v>2663650</v>
      </c>
      <c r="CT19" s="230">
        <v>176550</v>
      </c>
      <c r="CU19" s="229">
        <v>6.6299999999999998E-2</v>
      </c>
      <c r="CV19" s="230">
        <v>31027700</v>
      </c>
      <c r="CW19" s="230">
        <v>31045850</v>
      </c>
      <c r="CX19" s="230">
        <v>-18150</v>
      </c>
      <c r="CY19" s="229">
        <v>-5.9999999999999995E-4</v>
      </c>
      <c r="CZ19" s="228">
        <v>24.91</v>
      </c>
      <c r="DA19" s="228">
        <v>24.26</v>
      </c>
      <c r="DB19" s="228">
        <v>0.65</v>
      </c>
      <c r="DC19" s="228">
        <v>0.65</v>
      </c>
      <c r="DD19" s="228">
        <v>33.1</v>
      </c>
      <c r="DE19" s="228">
        <v>33.14</v>
      </c>
      <c r="DF19" s="228">
        <v>-8.19</v>
      </c>
      <c r="DG19" s="228">
        <v>-0.04</v>
      </c>
      <c r="DH19" s="228">
        <v>24.92</v>
      </c>
      <c r="DI19" s="228">
        <v>24.32</v>
      </c>
      <c r="DJ19" s="228">
        <v>0.6</v>
      </c>
      <c r="DK19" s="228">
        <v>0.6</v>
      </c>
      <c r="DL19" s="228">
        <v>24.9</v>
      </c>
      <c r="DM19" s="228">
        <v>24.08</v>
      </c>
      <c r="DN19" s="228">
        <v>0.82</v>
      </c>
      <c r="DO19" s="228">
        <v>0.82</v>
      </c>
      <c r="DP19" s="228">
        <v>0.49</v>
      </c>
      <c r="DQ19" s="228">
        <v>0.45</v>
      </c>
      <c r="DR19" s="228">
        <v>0.04</v>
      </c>
      <c r="DS19" s="229">
        <v>8.8900000000000007E-2</v>
      </c>
      <c r="DT19" s="231">
        <v>1240</v>
      </c>
      <c r="DU19" s="231">
        <v>1200</v>
      </c>
      <c r="DV19" s="228">
        <v>0.59</v>
      </c>
      <c r="DW19" s="228">
        <v>0.36</v>
      </c>
      <c r="DX19" s="228">
        <v>0.23</v>
      </c>
      <c r="DY19" s="229">
        <v>0.63890000000000002</v>
      </c>
      <c r="DZ19" s="229">
        <v>4.2299999999999997E-2</v>
      </c>
      <c r="EA19" s="230">
        <v>737550</v>
      </c>
      <c r="EB19" s="229">
        <v>6.4000000000000003E-3</v>
      </c>
      <c r="EC19" s="229">
        <v>4.2299999999999997E-2</v>
      </c>
      <c r="ED19" s="228">
        <v>6.46</v>
      </c>
      <c r="EE19" s="229">
        <v>5.4000000000000003E-3</v>
      </c>
      <c r="EF19" s="230">
        <v>621192</v>
      </c>
      <c r="EG19" s="230">
        <v>333251</v>
      </c>
      <c r="EH19" s="229">
        <v>0.86399999999999999</v>
      </c>
      <c r="EI19" s="229">
        <v>0.52190000000000003</v>
      </c>
      <c r="EJ19" s="231">
        <v>74232.77</v>
      </c>
      <c r="EK19" s="231">
        <v>41577.07</v>
      </c>
      <c r="EL19" s="231">
        <v>34350.89</v>
      </c>
      <c r="EM19" s="231">
        <v>3091</v>
      </c>
      <c r="EN19" s="231">
        <v>150160.73000000001</v>
      </c>
      <c r="EO19" s="231">
        <v>71518.14</v>
      </c>
      <c r="EP19" s="231">
        <v>78642.59</v>
      </c>
      <c r="EQ19" s="229">
        <v>1.0995999999999999</v>
      </c>
      <c r="ER19" s="231">
        <v>73479</v>
      </c>
      <c r="ES19" s="231">
        <v>33205</v>
      </c>
      <c r="ET19" s="231">
        <v>270740</v>
      </c>
      <c r="EU19" s="231">
        <v>41977935</v>
      </c>
      <c r="EV19" s="231">
        <v>377424</v>
      </c>
      <c r="EW19" s="231">
        <v>374078</v>
      </c>
      <c r="EX19" s="231">
        <v>3346</v>
      </c>
      <c r="EY19" s="229">
        <v>8.8999999999999999E-3</v>
      </c>
      <c r="EZ19" s="229">
        <v>0.73909999999999998</v>
      </c>
      <c r="FA19" s="227" t="s">
        <v>556</v>
      </c>
      <c r="FB19" s="161">
        <f t="shared" si="0"/>
        <v>945450</v>
      </c>
    </row>
    <row r="20" spans="1:158" ht="17.25" hidden="1" thickBot="1" x14ac:dyDescent="0.3">
      <c r="A20" s="226">
        <v>46009</v>
      </c>
      <c r="B20" s="227" t="s">
        <v>172</v>
      </c>
      <c r="C20" s="227" t="s">
        <v>173</v>
      </c>
      <c r="D20" s="228">
        <v>625</v>
      </c>
      <c r="E20" s="231">
        <v>1233</v>
      </c>
      <c r="F20" s="231">
        <v>1228.5999999999999</v>
      </c>
      <c r="G20" s="228">
        <v>4.4000000000000004</v>
      </c>
      <c r="H20" s="229">
        <v>3.5999999999999999E-3</v>
      </c>
      <c r="I20" s="231">
        <v>1229.8</v>
      </c>
      <c r="J20" s="231">
        <v>1224.7</v>
      </c>
      <c r="K20" s="228">
        <v>5.0999999999999996</v>
      </c>
      <c r="L20" s="229">
        <v>4.1999999999999997E-3</v>
      </c>
      <c r="M20" s="231">
        <v>1233</v>
      </c>
      <c r="N20" s="231">
        <v>1228.5999999999999</v>
      </c>
      <c r="O20" s="228">
        <v>4.4000000000000004</v>
      </c>
      <c r="P20" s="229">
        <v>3.5999999999999999E-3</v>
      </c>
      <c r="Q20" s="231">
        <v>1240.9000000000001</v>
      </c>
      <c r="R20" s="231">
        <v>1236.0999999999999</v>
      </c>
      <c r="S20" s="228">
        <v>4.8</v>
      </c>
      <c r="T20" s="229">
        <v>3.8999999999999998E-3</v>
      </c>
      <c r="U20" s="231">
        <v>1248.4000000000001</v>
      </c>
      <c r="V20" s="231">
        <v>1242.5999999999999</v>
      </c>
      <c r="W20" s="228">
        <v>5.8</v>
      </c>
      <c r="X20" s="229">
        <v>4.7000000000000002E-3</v>
      </c>
      <c r="Y20" s="228">
        <v>3.2</v>
      </c>
      <c r="Z20" s="228">
        <v>3.9</v>
      </c>
      <c r="AA20" s="228">
        <v>-0.7</v>
      </c>
      <c r="AB20" s="229">
        <v>2.5999999999999999E-3</v>
      </c>
      <c r="AC20" s="228">
        <v>3.2</v>
      </c>
      <c r="AD20" s="228">
        <v>3.9</v>
      </c>
      <c r="AE20" s="228">
        <v>-0.7</v>
      </c>
      <c r="AF20" s="229">
        <v>2.5999999999999999E-3</v>
      </c>
      <c r="AG20" s="228">
        <v>11.1</v>
      </c>
      <c r="AH20" s="228">
        <v>11.4</v>
      </c>
      <c r="AI20" s="228">
        <v>-0.3</v>
      </c>
      <c r="AJ20" s="229">
        <v>8.9999999999999993E-3</v>
      </c>
      <c r="AK20" s="228">
        <v>18.600000000000001</v>
      </c>
      <c r="AL20" s="228">
        <v>17.899999999999999</v>
      </c>
      <c r="AM20" s="228">
        <v>0.7</v>
      </c>
      <c r="AN20" s="229">
        <v>1.5100000000000001E-2</v>
      </c>
      <c r="AO20" s="231">
        <v>1234.43</v>
      </c>
      <c r="AP20" s="231">
        <v>1242.21</v>
      </c>
      <c r="AQ20" s="228">
        <v>0</v>
      </c>
      <c r="AR20" s="230">
        <v>9660000</v>
      </c>
      <c r="AS20" s="230">
        <v>9078125</v>
      </c>
      <c r="AT20" s="230">
        <v>581875</v>
      </c>
      <c r="AU20" s="229">
        <v>6.4100000000000004E-2</v>
      </c>
      <c r="AV20" s="230">
        <v>6359375</v>
      </c>
      <c r="AW20" s="230">
        <v>7115625</v>
      </c>
      <c r="AX20" s="230">
        <v>-756250</v>
      </c>
      <c r="AY20" s="229">
        <v>-0.10630000000000001</v>
      </c>
      <c r="AZ20" s="230">
        <v>3253750</v>
      </c>
      <c r="BA20" s="230">
        <v>1917500</v>
      </c>
      <c r="BB20" s="230">
        <v>1336250</v>
      </c>
      <c r="BC20" s="229">
        <v>0.69689999999999996</v>
      </c>
      <c r="BD20" s="230">
        <v>46875</v>
      </c>
      <c r="BE20" s="230">
        <v>45000</v>
      </c>
      <c r="BF20" s="230">
        <v>1875</v>
      </c>
      <c r="BG20" s="229">
        <v>4.1700000000000001E-2</v>
      </c>
      <c r="BH20" s="230">
        <v>32048125</v>
      </c>
      <c r="BI20" s="230">
        <v>54635625</v>
      </c>
      <c r="BJ20" s="230">
        <v>-22587500</v>
      </c>
      <c r="BK20" s="229">
        <v>-0.41339999999999999</v>
      </c>
      <c r="BL20" s="230">
        <v>17450000</v>
      </c>
      <c r="BM20" s="230">
        <v>35951875</v>
      </c>
      <c r="BN20" s="230">
        <v>-18501875</v>
      </c>
      <c r="BO20" s="229">
        <v>-0.51459999999999995</v>
      </c>
      <c r="BP20" s="230">
        <v>59158125</v>
      </c>
      <c r="BQ20" s="230">
        <v>99665625</v>
      </c>
      <c r="BR20" s="230">
        <v>-40507500</v>
      </c>
      <c r="BS20" s="229">
        <v>-0.40639999999999998</v>
      </c>
      <c r="BT20" s="230">
        <v>3808958</v>
      </c>
      <c r="BU20" s="230">
        <v>5294261</v>
      </c>
      <c r="BV20" s="230">
        <v>-1485303</v>
      </c>
      <c r="BW20" s="229">
        <v>-0.28050000000000003</v>
      </c>
      <c r="BX20" s="230">
        <v>78390000</v>
      </c>
      <c r="BY20" s="230">
        <v>77492500</v>
      </c>
      <c r="BZ20" s="230">
        <v>897500</v>
      </c>
      <c r="CA20" s="229">
        <v>1.1599999999999999E-2</v>
      </c>
      <c r="CB20" s="230">
        <v>66595625</v>
      </c>
      <c r="CC20" s="230">
        <v>68294375</v>
      </c>
      <c r="CD20" s="230">
        <v>-1698750</v>
      </c>
      <c r="CE20" s="229">
        <v>-2.4899999999999999E-2</v>
      </c>
      <c r="CF20" s="230">
        <v>11449375</v>
      </c>
      <c r="CG20" s="230">
        <v>8872500</v>
      </c>
      <c r="CH20" s="230">
        <v>2576875</v>
      </c>
      <c r="CI20" s="229">
        <v>0.29039999999999999</v>
      </c>
      <c r="CJ20" s="230">
        <v>345000</v>
      </c>
      <c r="CK20" s="230">
        <v>325625</v>
      </c>
      <c r="CL20" s="230">
        <v>19375</v>
      </c>
      <c r="CM20" s="229">
        <v>5.9499999999999997E-2</v>
      </c>
      <c r="CN20" s="230">
        <v>32336250</v>
      </c>
      <c r="CO20" s="230">
        <v>36412500</v>
      </c>
      <c r="CP20" s="230">
        <v>-4076250</v>
      </c>
      <c r="CQ20" s="229">
        <v>-0.1119</v>
      </c>
      <c r="CR20" s="230">
        <v>14866250</v>
      </c>
      <c r="CS20" s="230">
        <v>16055000</v>
      </c>
      <c r="CT20" s="230">
        <v>-1188750</v>
      </c>
      <c r="CU20" s="229">
        <v>-7.3999999999999996E-2</v>
      </c>
      <c r="CV20" s="230">
        <v>125592500</v>
      </c>
      <c r="CW20" s="230">
        <v>129960000</v>
      </c>
      <c r="CX20" s="230">
        <v>-4367500</v>
      </c>
      <c r="CY20" s="229">
        <v>-3.3599999999999998E-2</v>
      </c>
      <c r="CZ20" s="228">
        <v>17.100000000000001</v>
      </c>
      <c r="DA20" s="228">
        <v>18.07</v>
      </c>
      <c r="DB20" s="228">
        <v>-0.97</v>
      </c>
      <c r="DC20" s="228">
        <v>-0.97</v>
      </c>
      <c r="DD20" s="228">
        <v>26.15</v>
      </c>
      <c r="DE20" s="228">
        <v>26.21</v>
      </c>
      <c r="DF20" s="228">
        <v>-9.0500000000000007</v>
      </c>
      <c r="DG20" s="228">
        <v>-0.06</v>
      </c>
      <c r="DH20" s="228">
        <v>16.940000000000001</v>
      </c>
      <c r="DI20" s="228">
        <v>17.670000000000002</v>
      </c>
      <c r="DJ20" s="228">
        <v>-0.73</v>
      </c>
      <c r="DK20" s="228">
        <v>-0.73</v>
      </c>
      <c r="DL20" s="228">
        <v>17.38</v>
      </c>
      <c r="DM20" s="228">
        <v>18.670000000000002</v>
      </c>
      <c r="DN20" s="228">
        <v>-1.29</v>
      </c>
      <c r="DO20" s="228">
        <v>-1.29</v>
      </c>
      <c r="DP20" s="228">
        <v>0.46</v>
      </c>
      <c r="DQ20" s="228">
        <v>0.44</v>
      </c>
      <c r="DR20" s="228">
        <v>0.02</v>
      </c>
      <c r="DS20" s="229">
        <v>4.5499999999999999E-2</v>
      </c>
      <c r="DT20" s="231">
        <v>1300</v>
      </c>
      <c r="DU20" s="231">
        <v>1220</v>
      </c>
      <c r="DV20" s="228">
        <v>0.54</v>
      </c>
      <c r="DW20" s="228">
        <v>0.66</v>
      </c>
      <c r="DX20" s="228">
        <v>-0.12</v>
      </c>
      <c r="DY20" s="229">
        <v>-0.18179999999999999</v>
      </c>
      <c r="DZ20" s="229">
        <v>0.15049999999999999</v>
      </c>
      <c r="EA20" s="230">
        <v>9198125</v>
      </c>
      <c r="EB20" s="229">
        <v>6.4000000000000003E-3</v>
      </c>
      <c r="EC20" s="229">
        <v>0.15049999999999999</v>
      </c>
      <c r="ED20" s="228">
        <v>7.78</v>
      </c>
      <c r="EE20" s="229">
        <v>6.3E-3</v>
      </c>
      <c r="EF20" s="230">
        <v>1971729</v>
      </c>
      <c r="EG20" s="230">
        <v>3119473</v>
      </c>
      <c r="EH20" s="229">
        <v>-0.3679</v>
      </c>
      <c r="EI20" s="229">
        <v>0.51770000000000005</v>
      </c>
      <c r="EJ20" s="231">
        <v>406755.2</v>
      </c>
      <c r="EK20" s="231">
        <v>212081.09</v>
      </c>
      <c r="EL20" s="231">
        <v>119505.93</v>
      </c>
      <c r="EM20" s="231">
        <v>14545</v>
      </c>
      <c r="EN20" s="231">
        <v>738342.22</v>
      </c>
      <c r="EO20" s="231">
        <v>1240015.8</v>
      </c>
      <c r="EP20" s="231">
        <v>-501673.58</v>
      </c>
      <c r="EQ20" s="229">
        <v>-0.40460000000000002</v>
      </c>
      <c r="ER20" s="231">
        <v>417671</v>
      </c>
      <c r="ES20" s="231">
        <v>181123</v>
      </c>
      <c r="ET20" s="231">
        <v>967506</v>
      </c>
      <c r="EU20" s="231">
        <v>316147681</v>
      </c>
      <c r="EV20" s="231">
        <v>1566301</v>
      </c>
      <c r="EW20" s="231">
        <v>1617473</v>
      </c>
      <c r="EX20" s="231">
        <v>-51172</v>
      </c>
      <c r="EY20" s="229">
        <v>-3.1600000000000003E-2</v>
      </c>
      <c r="EZ20" s="229">
        <v>0.39729999999999999</v>
      </c>
      <c r="FA20" s="227" t="s">
        <v>555</v>
      </c>
      <c r="FB20" s="161">
        <f t="shared" si="0"/>
        <v>11794375</v>
      </c>
    </row>
    <row r="21" spans="1:158" ht="17.25" hidden="1" thickBot="1" x14ac:dyDescent="0.3">
      <c r="A21" s="226">
        <v>46009</v>
      </c>
      <c r="B21" s="227" t="s">
        <v>162</v>
      </c>
      <c r="C21" s="227" t="s">
        <v>174</v>
      </c>
      <c r="D21" s="228">
        <v>75</v>
      </c>
      <c r="E21" s="231">
        <v>8861</v>
      </c>
      <c r="F21" s="231">
        <v>8924.5</v>
      </c>
      <c r="G21" s="228">
        <v>-63.5</v>
      </c>
      <c r="H21" s="229">
        <v>-7.1000000000000004E-3</v>
      </c>
      <c r="I21" s="231">
        <v>8831</v>
      </c>
      <c r="J21" s="231">
        <v>8895</v>
      </c>
      <c r="K21" s="228">
        <v>-64</v>
      </c>
      <c r="L21" s="229">
        <v>-7.1999999999999998E-3</v>
      </c>
      <c r="M21" s="231">
        <v>8861</v>
      </c>
      <c r="N21" s="231">
        <v>8924.5</v>
      </c>
      <c r="O21" s="228">
        <v>-63.5</v>
      </c>
      <c r="P21" s="229">
        <v>-7.1000000000000004E-3</v>
      </c>
      <c r="Q21" s="231">
        <v>8905</v>
      </c>
      <c r="R21" s="231">
        <v>8968</v>
      </c>
      <c r="S21" s="228">
        <v>-63</v>
      </c>
      <c r="T21" s="229">
        <v>-7.0000000000000001E-3</v>
      </c>
      <c r="U21" s="231">
        <v>8941.5</v>
      </c>
      <c r="V21" s="231">
        <v>8997.5</v>
      </c>
      <c r="W21" s="228">
        <v>-56</v>
      </c>
      <c r="X21" s="229">
        <v>-6.1999999999999998E-3</v>
      </c>
      <c r="Y21" s="228">
        <v>30</v>
      </c>
      <c r="Z21" s="228">
        <v>29.5</v>
      </c>
      <c r="AA21" s="228">
        <v>0.5</v>
      </c>
      <c r="AB21" s="229">
        <v>3.3999999999999998E-3</v>
      </c>
      <c r="AC21" s="228">
        <v>30</v>
      </c>
      <c r="AD21" s="228">
        <v>29.5</v>
      </c>
      <c r="AE21" s="228">
        <v>0.5</v>
      </c>
      <c r="AF21" s="229">
        <v>3.3999999999999998E-3</v>
      </c>
      <c r="AG21" s="228">
        <v>74</v>
      </c>
      <c r="AH21" s="228">
        <v>73</v>
      </c>
      <c r="AI21" s="228">
        <v>1</v>
      </c>
      <c r="AJ21" s="229">
        <v>8.3999999999999995E-3</v>
      </c>
      <c r="AK21" s="228">
        <v>110.5</v>
      </c>
      <c r="AL21" s="228">
        <v>102.5</v>
      </c>
      <c r="AM21" s="228">
        <v>8</v>
      </c>
      <c r="AN21" s="229">
        <v>1.2500000000000001E-2</v>
      </c>
      <c r="AO21" s="231">
        <v>8825.4699999999993</v>
      </c>
      <c r="AP21" s="231">
        <v>8866.4</v>
      </c>
      <c r="AQ21" s="228">
        <v>0</v>
      </c>
      <c r="AR21" s="230">
        <v>593625</v>
      </c>
      <c r="AS21" s="230">
        <v>578925</v>
      </c>
      <c r="AT21" s="230">
        <v>14700</v>
      </c>
      <c r="AU21" s="229">
        <v>2.5399999999999999E-2</v>
      </c>
      <c r="AV21" s="230">
        <v>465675</v>
      </c>
      <c r="AW21" s="230">
        <v>424425</v>
      </c>
      <c r="AX21" s="230">
        <v>41250</v>
      </c>
      <c r="AY21" s="229">
        <v>9.7199999999999995E-2</v>
      </c>
      <c r="AZ21" s="230">
        <v>123675</v>
      </c>
      <c r="BA21" s="230">
        <v>152250</v>
      </c>
      <c r="BB21" s="230">
        <v>-28575</v>
      </c>
      <c r="BC21" s="229">
        <v>-0.18770000000000001</v>
      </c>
      <c r="BD21" s="230">
        <v>4275</v>
      </c>
      <c r="BE21" s="230">
        <v>2250</v>
      </c>
      <c r="BF21" s="230">
        <v>2025</v>
      </c>
      <c r="BG21" s="229">
        <v>0.9</v>
      </c>
      <c r="BH21" s="230">
        <v>3362925</v>
      </c>
      <c r="BI21" s="230">
        <v>2101125</v>
      </c>
      <c r="BJ21" s="230">
        <v>1261800</v>
      </c>
      <c r="BK21" s="229">
        <v>0.60050000000000003</v>
      </c>
      <c r="BL21" s="230">
        <v>1809900</v>
      </c>
      <c r="BM21" s="230">
        <v>1541625</v>
      </c>
      <c r="BN21" s="230">
        <v>268275</v>
      </c>
      <c r="BO21" s="229">
        <v>0.17399999999999999</v>
      </c>
      <c r="BP21" s="230">
        <v>5766450</v>
      </c>
      <c r="BQ21" s="230">
        <v>4221675</v>
      </c>
      <c r="BR21" s="230">
        <v>1544775</v>
      </c>
      <c r="BS21" s="229">
        <v>0.3659</v>
      </c>
      <c r="BT21" s="230">
        <v>371054</v>
      </c>
      <c r="BU21" s="230">
        <v>262275</v>
      </c>
      <c r="BV21" s="230">
        <v>108779</v>
      </c>
      <c r="BW21" s="229">
        <v>0.4148</v>
      </c>
      <c r="BX21" s="230">
        <v>3612975</v>
      </c>
      <c r="BY21" s="230">
        <v>3568275</v>
      </c>
      <c r="BZ21" s="230">
        <v>44700</v>
      </c>
      <c r="CA21" s="229">
        <v>1.2500000000000001E-2</v>
      </c>
      <c r="CB21" s="230">
        <v>3229500</v>
      </c>
      <c r="CC21" s="230">
        <v>3272175</v>
      </c>
      <c r="CD21" s="230">
        <v>-42675</v>
      </c>
      <c r="CE21" s="229">
        <v>-1.2999999999999999E-2</v>
      </c>
      <c r="CF21" s="230">
        <v>368700</v>
      </c>
      <c r="CG21" s="230">
        <v>283275</v>
      </c>
      <c r="CH21" s="230">
        <v>85425</v>
      </c>
      <c r="CI21" s="229">
        <v>0.30159999999999998</v>
      </c>
      <c r="CJ21" s="230">
        <v>14775</v>
      </c>
      <c r="CK21" s="230">
        <v>12825</v>
      </c>
      <c r="CL21" s="230">
        <v>1950</v>
      </c>
      <c r="CM21" s="229">
        <v>0.152</v>
      </c>
      <c r="CN21" s="230">
        <v>2257500</v>
      </c>
      <c r="CO21" s="230">
        <v>2185200</v>
      </c>
      <c r="CP21" s="230">
        <v>72300</v>
      </c>
      <c r="CQ21" s="229">
        <v>3.3099999999999997E-2</v>
      </c>
      <c r="CR21" s="230">
        <v>1147950</v>
      </c>
      <c r="CS21" s="230">
        <v>1169025</v>
      </c>
      <c r="CT21" s="230">
        <v>-21075</v>
      </c>
      <c r="CU21" s="229">
        <v>-1.7999999999999999E-2</v>
      </c>
      <c r="CV21" s="230">
        <v>7018425</v>
      </c>
      <c r="CW21" s="230">
        <v>6922500</v>
      </c>
      <c r="CX21" s="230">
        <v>95925</v>
      </c>
      <c r="CY21" s="229">
        <v>1.3899999999999999E-2</v>
      </c>
      <c r="CZ21" s="228">
        <v>18.68</v>
      </c>
      <c r="DA21" s="228">
        <v>19.55</v>
      </c>
      <c r="DB21" s="228">
        <v>-0.87</v>
      </c>
      <c r="DC21" s="228">
        <v>-0.87</v>
      </c>
      <c r="DD21" s="228">
        <v>28.2</v>
      </c>
      <c r="DE21" s="228">
        <v>28.25</v>
      </c>
      <c r="DF21" s="228">
        <v>-9.52</v>
      </c>
      <c r="DG21" s="228">
        <v>-0.05</v>
      </c>
      <c r="DH21" s="228">
        <v>19.14</v>
      </c>
      <c r="DI21" s="228">
        <v>19.97</v>
      </c>
      <c r="DJ21" s="228">
        <v>-0.83</v>
      </c>
      <c r="DK21" s="228">
        <v>-0.83</v>
      </c>
      <c r="DL21" s="228">
        <v>17.82</v>
      </c>
      <c r="DM21" s="228">
        <v>18.989999999999998</v>
      </c>
      <c r="DN21" s="228">
        <v>-1.17</v>
      </c>
      <c r="DO21" s="228">
        <v>-1.17</v>
      </c>
      <c r="DP21" s="228">
        <v>0.51</v>
      </c>
      <c r="DQ21" s="228">
        <v>0.53</v>
      </c>
      <c r="DR21" s="228">
        <v>-0.02</v>
      </c>
      <c r="DS21" s="229">
        <v>-3.7699999999999997E-2</v>
      </c>
      <c r="DT21" s="231">
        <v>9300</v>
      </c>
      <c r="DU21" s="231">
        <v>9000</v>
      </c>
      <c r="DV21" s="228">
        <v>0.54</v>
      </c>
      <c r="DW21" s="228">
        <v>0.73</v>
      </c>
      <c r="DX21" s="228">
        <v>-0.19</v>
      </c>
      <c r="DY21" s="229">
        <v>-0.26029999999999998</v>
      </c>
      <c r="DZ21" s="229">
        <v>0.1061</v>
      </c>
      <c r="EA21" s="230">
        <v>296100</v>
      </c>
      <c r="EB21" s="229">
        <v>5.0000000000000001E-3</v>
      </c>
      <c r="EC21" s="229">
        <v>0.1061</v>
      </c>
      <c r="ED21" s="228">
        <v>40.93</v>
      </c>
      <c r="EE21" s="229">
        <v>4.5999999999999999E-3</v>
      </c>
      <c r="EF21" s="230">
        <v>204254</v>
      </c>
      <c r="EG21" s="230">
        <v>168790</v>
      </c>
      <c r="EH21" s="229">
        <v>0.21010000000000001</v>
      </c>
      <c r="EI21" s="229">
        <v>0.55049999999999999</v>
      </c>
      <c r="EJ21" s="231">
        <v>308652.09000000003</v>
      </c>
      <c r="EK21" s="231">
        <v>158808.31</v>
      </c>
      <c r="EL21" s="231">
        <v>52443.91</v>
      </c>
      <c r="EM21" s="231">
        <v>5648</v>
      </c>
      <c r="EN21" s="231">
        <v>519904.31</v>
      </c>
      <c r="EO21" s="231">
        <v>384115.68</v>
      </c>
      <c r="EP21" s="231">
        <v>135788.63</v>
      </c>
      <c r="EQ21" s="229">
        <v>0.35349999999999998</v>
      </c>
      <c r="ER21" s="231">
        <v>212442</v>
      </c>
      <c r="ES21" s="231">
        <v>100023</v>
      </c>
      <c r="ET21" s="231">
        <v>320320</v>
      </c>
      <c r="EU21" s="231">
        <v>12547731</v>
      </c>
      <c r="EV21" s="231">
        <v>632785</v>
      </c>
      <c r="EW21" s="231">
        <v>626754</v>
      </c>
      <c r="EX21" s="231">
        <v>6031</v>
      </c>
      <c r="EY21" s="229">
        <v>9.5999999999999992E-3</v>
      </c>
      <c r="EZ21" s="229">
        <v>0.55930000000000002</v>
      </c>
      <c r="FA21" s="227" t="s">
        <v>567</v>
      </c>
      <c r="FB21" s="161">
        <f t="shared" si="0"/>
        <v>383475</v>
      </c>
    </row>
    <row r="22" spans="1:158" ht="17.25" hidden="1" thickBot="1" x14ac:dyDescent="0.3">
      <c r="A22" s="226">
        <v>46009</v>
      </c>
      <c r="B22" s="227" t="s">
        <v>175</v>
      </c>
      <c r="C22" s="227" t="s">
        <v>176</v>
      </c>
      <c r="D22" s="228">
        <v>250</v>
      </c>
      <c r="E22" s="231">
        <v>2029.1</v>
      </c>
      <c r="F22" s="231">
        <v>2025.9</v>
      </c>
      <c r="G22" s="228">
        <v>3.2</v>
      </c>
      <c r="H22" s="229">
        <v>1.6000000000000001E-3</v>
      </c>
      <c r="I22" s="231">
        <v>2026.3</v>
      </c>
      <c r="J22" s="231">
        <v>2021.2</v>
      </c>
      <c r="K22" s="228">
        <v>5.0999999999999996</v>
      </c>
      <c r="L22" s="229">
        <v>2.5000000000000001E-3</v>
      </c>
      <c r="M22" s="231">
        <v>2029.1</v>
      </c>
      <c r="N22" s="231">
        <v>2025.9</v>
      </c>
      <c r="O22" s="228">
        <v>3.2</v>
      </c>
      <c r="P22" s="229">
        <v>1.6000000000000001E-3</v>
      </c>
      <c r="Q22" s="231">
        <v>2042.9</v>
      </c>
      <c r="R22" s="231">
        <v>2039.1</v>
      </c>
      <c r="S22" s="228">
        <v>3.8</v>
      </c>
      <c r="T22" s="229">
        <v>1.9E-3</v>
      </c>
      <c r="U22" s="231">
        <v>2054.1</v>
      </c>
      <c r="V22" s="231">
        <v>2050.9</v>
      </c>
      <c r="W22" s="228">
        <v>3.2</v>
      </c>
      <c r="X22" s="229">
        <v>1.6000000000000001E-3</v>
      </c>
      <c r="Y22" s="228">
        <v>2.8</v>
      </c>
      <c r="Z22" s="228">
        <v>4.7</v>
      </c>
      <c r="AA22" s="228">
        <v>-1.9</v>
      </c>
      <c r="AB22" s="229">
        <v>1.4E-3</v>
      </c>
      <c r="AC22" s="228">
        <v>2.8</v>
      </c>
      <c r="AD22" s="228">
        <v>4.7</v>
      </c>
      <c r="AE22" s="228">
        <v>-1.9</v>
      </c>
      <c r="AF22" s="229">
        <v>1.4E-3</v>
      </c>
      <c r="AG22" s="228">
        <v>16.600000000000001</v>
      </c>
      <c r="AH22" s="228">
        <v>17.899999999999999</v>
      </c>
      <c r="AI22" s="228">
        <v>-1.3</v>
      </c>
      <c r="AJ22" s="229">
        <v>8.2000000000000007E-3</v>
      </c>
      <c r="AK22" s="228">
        <v>27.8</v>
      </c>
      <c r="AL22" s="228">
        <v>29.7</v>
      </c>
      <c r="AM22" s="228">
        <v>-1.9</v>
      </c>
      <c r="AN22" s="229">
        <v>1.37E-2</v>
      </c>
      <c r="AO22" s="231">
        <v>2030.35</v>
      </c>
      <c r="AP22" s="231">
        <v>2044.86</v>
      </c>
      <c r="AQ22" s="228">
        <v>0</v>
      </c>
      <c r="AR22" s="230">
        <v>2114000</v>
      </c>
      <c r="AS22" s="230">
        <v>1484500</v>
      </c>
      <c r="AT22" s="230">
        <v>629500</v>
      </c>
      <c r="AU22" s="229">
        <v>0.42399999999999999</v>
      </c>
      <c r="AV22" s="230">
        <v>1404750</v>
      </c>
      <c r="AW22" s="230">
        <v>1075750</v>
      </c>
      <c r="AX22" s="230">
        <v>329000</v>
      </c>
      <c r="AY22" s="229">
        <v>0.30580000000000002</v>
      </c>
      <c r="AZ22" s="230">
        <v>691500</v>
      </c>
      <c r="BA22" s="230">
        <v>393250</v>
      </c>
      <c r="BB22" s="230">
        <v>298250</v>
      </c>
      <c r="BC22" s="229">
        <v>0.75839999999999996</v>
      </c>
      <c r="BD22" s="230">
        <v>17750</v>
      </c>
      <c r="BE22" s="230">
        <v>15500</v>
      </c>
      <c r="BF22" s="230">
        <v>2250</v>
      </c>
      <c r="BG22" s="229">
        <v>0.1452</v>
      </c>
      <c r="BH22" s="230">
        <v>3383000</v>
      </c>
      <c r="BI22" s="230">
        <v>4274500</v>
      </c>
      <c r="BJ22" s="230">
        <v>-891500</v>
      </c>
      <c r="BK22" s="229">
        <v>-0.20860000000000001</v>
      </c>
      <c r="BL22" s="230">
        <v>1623000</v>
      </c>
      <c r="BM22" s="230">
        <v>2876750</v>
      </c>
      <c r="BN22" s="230">
        <v>-1253750</v>
      </c>
      <c r="BO22" s="229">
        <v>-0.43580000000000002</v>
      </c>
      <c r="BP22" s="230">
        <v>7120000</v>
      </c>
      <c r="BQ22" s="230">
        <v>8635750</v>
      </c>
      <c r="BR22" s="230">
        <v>-1515750</v>
      </c>
      <c r="BS22" s="229">
        <v>-0.17549999999999999</v>
      </c>
      <c r="BT22" s="230">
        <v>453262</v>
      </c>
      <c r="BU22" s="230">
        <v>615615</v>
      </c>
      <c r="BV22" s="230">
        <v>-162353</v>
      </c>
      <c r="BW22" s="229">
        <v>-0.26369999999999999</v>
      </c>
      <c r="BX22" s="230">
        <v>18525250</v>
      </c>
      <c r="BY22" s="230">
        <v>18559500</v>
      </c>
      <c r="BZ22" s="230">
        <v>-34250</v>
      </c>
      <c r="CA22" s="229">
        <v>-1.8E-3</v>
      </c>
      <c r="CB22" s="230">
        <v>15249000</v>
      </c>
      <c r="CC22" s="230">
        <v>15905000</v>
      </c>
      <c r="CD22" s="230">
        <v>-656000</v>
      </c>
      <c r="CE22" s="229">
        <v>-4.1200000000000001E-2</v>
      </c>
      <c r="CF22" s="230">
        <v>3196500</v>
      </c>
      <c r="CG22" s="230">
        <v>2585500</v>
      </c>
      <c r="CH22" s="230">
        <v>611000</v>
      </c>
      <c r="CI22" s="229">
        <v>0.23630000000000001</v>
      </c>
      <c r="CJ22" s="230">
        <v>79750</v>
      </c>
      <c r="CK22" s="230">
        <v>69000</v>
      </c>
      <c r="CL22" s="230">
        <v>10750</v>
      </c>
      <c r="CM22" s="229">
        <v>0.15579999999999999</v>
      </c>
      <c r="CN22" s="230">
        <v>5562500</v>
      </c>
      <c r="CO22" s="230">
        <v>5588000</v>
      </c>
      <c r="CP22" s="230">
        <v>-25500</v>
      </c>
      <c r="CQ22" s="229">
        <v>-4.5999999999999999E-3</v>
      </c>
      <c r="CR22" s="230">
        <v>3671750</v>
      </c>
      <c r="CS22" s="230">
        <v>3656250</v>
      </c>
      <c r="CT22" s="230">
        <v>15500</v>
      </c>
      <c r="CU22" s="229">
        <v>4.1999999999999997E-3</v>
      </c>
      <c r="CV22" s="230">
        <v>27759500</v>
      </c>
      <c r="CW22" s="230">
        <v>27803750</v>
      </c>
      <c r="CX22" s="230">
        <v>-44250</v>
      </c>
      <c r="CY22" s="229">
        <v>-1.6000000000000001E-3</v>
      </c>
      <c r="CZ22" s="228">
        <v>18.07</v>
      </c>
      <c r="DA22" s="228">
        <v>19.05</v>
      </c>
      <c r="DB22" s="228">
        <v>-0.98</v>
      </c>
      <c r="DC22" s="228">
        <v>-0.98</v>
      </c>
      <c r="DD22" s="228">
        <v>28.67</v>
      </c>
      <c r="DE22" s="228">
        <v>28.74</v>
      </c>
      <c r="DF22" s="228">
        <v>-10.6</v>
      </c>
      <c r="DG22" s="228">
        <v>-7.0000000000000007E-2</v>
      </c>
      <c r="DH22" s="228">
        <v>18.309999999999999</v>
      </c>
      <c r="DI22" s="228">
        <v>19.670000000000002</v>
      </c>
      <c r="DJ22" s="228">
        <v>-1.36</v>
      </c>
      <c r="DK22" s="228">
        <v>-1.36</v>
      </c>
      <c r="DL22" s="228">
        <v>17.57</v>
      </c>
      <c r="DM22" s="228">
        <v>18.13</v>
      </c>
      <c r="DN22" s="228">
        <v>-0.56000000000000005</v>
      </c>
      <c r="DO22" s="228">
        <v>-0.56000000000000005</v>
      </c>
      <c r="DP22" s="228">
        <v>0.66</v>
      </c>
      <c r="DQ22" s="228">
        <v>0.65</v>
      </c>
      <c r="DR22" s="228">
        <v>0.01</v>
      </c>
      <c r="DS22" s="229">
        <v>1.54E-2</v>
      </c>
      <c r="DT22" s="231">
        <v>2100</v>
      </c>
      <c r="DU22" s="231">
        <v>2000</v>
      </c>
      <c r="DV22" s="228">
        <v>0.48</v>
      </c>
      <c r="DW22" s="228">
        <v>0.67</v>
      </c>
      <c r="DX22" s="228">
        <v>-0.19</v>
      </c>
      <c r="DY22" s="229">
        <v>-0.28360000000000002</v>
      </c>
      <c r="DZ22" s="229">
        <v>0.1769</v>
      </c>
      <c r="EA22" s="230">
        <v>2654500</v>
      </c>
      <c r="EB22" s="229">
        <v>6.7999999999999996E-3</v>
      </c>
      <c r="EC22" s="229">
        <v>0.1769</v>
      </c>
      <c r="ED22" s="228">
        <v>14.51</v>
      </c>
      <c r="EE22" s="229">
        <v>7.1000000000000004E-3</v>
      </c>
      <c r="EF22" s="230">
        <v>240016</v>
      </c>
      <c r="EG22" s="230">
        <v>393483</v>
      </c>
      <c r="EH22" s="229">
        <v>-0.39</v>
      </c>
      <c r="EI22" s="229">
        <v>0.52949999999999997</v>
      </c>
      <c r="EJ22" s="231">
        <v>70606.63</v>
      </c>
      <c r="EK22" s="231">
        <v>32805.14</v>
      </c>
      <c r="EL22" s="231">
        <v>43025.84</v>
      </c>
      <c r="EM22" s="231">
        <v>6516</v>
      </c>
      <c r="EN22" s="231">
        <v>146437.60999999999</v>
      </c>
      <c r="EO22" s="231">
        <v>178347.08</v>
      </c>
      <c r="EP22" s="231">
        <v>-31909.47</v>
      </c>
      <c r="EQ22" s="229">
        <v>-0.1789</v>
      </c>
      <c r="ER22" s="231">
        <v>119251</v>
      </c>
      <c r="ES22" s="231">
        <v>72954</v>
      </c>
      <c r="ET22" s="231">
        <v>376357</v>
      </c>
      <c r="EU22" s="231">
        <v>65659712</v>
      </c>
      <c r="EV22" s="231">
        <v>568562</v>
      </c>
      <c r="EW22" s="231">
        <v>568887</v>
      </c>
      <c r="EX22" s="228">
        <v>-325</v>
      </c>
      <c r="EY22" s="229">
        <v>-5.9999999999999995E-4</v>
      </c>
      <c r="EZ22" s="229">
        <v>0.42280000000000001</v>
      </c>
      <c r="FA22" s="227" t="s">
        <v>556</v>
      </c>
      <c r="FB22" s="161">
        <f t="shared" si="0"/>
        <v>3276250</v>
      </c>
    </row>
    <row r="23" spans="1:158" ht="17.25" hidden="1" thickBot="1" x14ac:dyDescent="0.3">
      <c r="A23" s="226">
        <v>46009</v>
      </c>
      <c r="B23" s="227" t="s">
        <v>175</v>
      </c>
      <c r="C23" s="227" t="s">
        <v>177</v>
      </c>
      <c r="D23" s="228">
        <v>750</v>
      </c>
      <c r="E23" s="231">
        <v>1002.2</v>
      </c>
      <c r="F23" s="231">
        <v>1003.1</v>
      </c>
      <c r="G23" s="228">
        <v>-0.9</v>
      </c>
      <c r="H23" s="229">
        <v>-8.9999999999999998E-4</v>
      </c>
      <c r="I23" s="231">
        <v>1000.3</v>
      </c>
      <c r="J23" s="228">
        <v>999.6</v>
      </c>
      <c r="K23" s="228">
        <v>0.7</v>
      </c>
      <c r="L23" s="229">
        <v>6.9999999999999999E-4</v>
      </c>
      <c r="M23" s="231">
        <v>1002.2</v>
      </c>
      <c r="N23" s="231">
        <v>1003.1</v>
      </c>
      <c r="O23" s="228">
        <v>-0.9</v>
      </c>
      <c r="P23" s="229">
        <v>-8.9999999999999998E-4</v>
      </c>
      <c r="Q23" s="231">
        <v>1008.7</v>
      </c>
      <c r="R23" s="231">
        <v>1009</v>
      </c>
      <c r="S23" s="228">
        <v>-0.3</v>
      </c>
      <c r="T23" s="229">
        <v>-2.9999999999999997E-4</v>
      </c>
      <c r="U23" s="231">
        <v>1014.4</v>
      </c>
      <c r="V23" s="231">
        <v>1014.6</v>
      </c>
      <c r="W23" s="228">
        <v>-0.2</v>
      </c>
      <c r="X23" s="229">
        <v>-2.0000000000000001E-4</v>
      </c>
      <c r="Y23" s="228">
        <v>1.9</v>
      </c>
      <c r="Z23" s="228">
        <v>3.5</v>
      </c>
      <c r="AA23" s="228">
        <v>-1.6</v>
      </c>
      <c r="AB23" s="229">
        <v>1.9E-3</v>
      </c>
      <c r="AC23" s="228">
        <v>1.9</v>
      </c>
      <c r="AD23" s="228">
        <v>3.5</v>
      </c>
      <c r="AE23" s="228">
        <v>-1.6</v>
      </c>
      <c r="AF23" s="229">
        <v>1.9E-3</v>
      </c>
      <c r="AG23" s="228">
        <v>8.4</v>
      </c>
      <c r="AH23" s="228">
        <v>9.4</v>
      </c>
      <c r="AI23" s="228">
        <v>-1</v>
      </c>
      <c r="AJ23" s="229">
        <v>8.3999999999999995E-3</v>
      </c>
      <c r="AK23" s="228">
        <v>14.1</v>
      </c>
      <c r="AL23" s="228">
        <v>15</v>
      </c>
      <c r="AM23" s="228">
        <v>-0.9</v>
      </c>
      <c r="AN23" s="229">
        <v>1.41E-2</v>
      </c>
      <c r="AO23" s="231">
        <v>1003.68</v>
      </c>
      <c r="AP23" s="231">
        <v>1010.18</v>
      </c>
      <c r="AQ23" s="228">
        <v>0</v>
      </c>
      <c r="AR23" s="230">
        <v>10113000</v>
      </c>
      <c r="AS23" s="230">
        <v>9633750</v>
      </c>
      <c r="AT23" s="230">
        <v>479250</v>
      </c>
      <c r="AU23" s="229">
        <v>4.9700000000000001E-2</v>
      </c>
      <c r="AV23" s="230">
        <v>6081000</v>
      </c>
      <c r="AW23" s="230">
        <v>6960750</v>
      </c>
      <c r="AX23" s="230">
        <v>-879750</v>
      </c>
      <c r="AY23" s="229">
        <v>-0.12640000000000001</v>
      </c>
      <c r="AZ23" s="230">
        <v>3946500</v>
      </c>
      <c r="BA23" s="230">
        <v>2631000</v>
      </c>
      <c r="BB23" s="230">
        <v>1315500</v>
      </c>
      <c r="BC23" s="229">
        <v>0.5</v>
      </c>
      <c r="BD23" s="230">
        <v>85500</v>
      </c>
      <c r="BE23" s="230">
        <v>42000</v>
      </c>
      <c r="BF23" s="230">
        <v>43500</v>
      </c>
      <c r="BG23" s="229">
        <v>1.0357000000000001</v>
      </c>
      <c r="BH23" s="230">
        <v>23047500</v>
      </c>
      <c r="BI23" s="230">
        <v>25860750</v>
      </c>
      <c r="BJ23" s="230">
        <v>-2813250</v>
      </c>
      <c r="BK23" s="229">
        <v>-0.10879999999999999</v>
      </c>
      <c r="BL23" s="230">
        <v>11156250</v>
      </c>
      <c r="BM23" s="230">
        <v>12162750</v>
      </c>
      <c r="BN23" s="230">
        <v>-1006500</v>
      </c>
      <c r="BO23" s="229">
        <v>-8.2799999999999999E-2</v>
      </c>
      <c r="BP23" s="230">
        <v>44316750</v>
      </c>
      <c r="BQ23" s="230">
        <v>47657250</v>
      </c>
      <c r="BR23" s="230">
        <v>-3340500</v>
      </c>
      <c r="BS23" s="229">
        <v>-7.0099999999999996E-2</v>
      </c>
      <c r="BT23" s="230">
        <v>3733571</v>
      </c>
      <c r="BU23" s="230">
        <v>4883036</v>
      </c>
      <c r="BV23" s="230">
        <v>-1149465</v>
      </c>
      <c r="BW23" s="229">
        <v>-0.2354</v>
      </c>
      <c r="BX23" s="230">
        <v>88848750</v>
      </c>
      <c r="BY23" s="230">
        <v>88182000</v>
      </c>
      <c r="BZ23" s="230">
        <v>666750</v>
      </c>
      <c r="CA23" s="229">
        <v>7.6E-3</v>
      </c>
      <c r="CB23" s="230">
        <v>74670000</v>
      </c>
      <c r="CC23" s="230">
        <v>77315250</v>
      </c>
      <c r="CD23" s="230">
        <v>-2645250</v>
      </c>
      <c r="CE23" s="229">
        <v>-3.4200000000000001E-2</v>
      </c>
      <c r="CF23" s="230">
        <v>13541250</v>
      </c>
      <c r="CG23" s="230">
        <v>10260000</v>
      </c>
      <c r="CH23" s="230">
        <v>3281250</v>
      </c>
      <c r="CI23" s="229">
        <v>0.31979999999999997</v>
      </c>
      <c r="CJ23" s="230">
        <v>637500</v>
      </c>
      <c r="CK23" s="230">
        <v>606750</v>
      </c>
      <c r="CL23" s="230">
        <v>30750</v>
      </c>
      <c r="CM23" s="229">
        <v>5.0700000000000002E-2</v>
      </c>
      <c r="CN23" s="230">
        <v>31846500</v>
      </c>
      <c r="CO23" s="230">
        <v>32435250</v>
      </c>
      <c r="CP23" s="230">
        <v>-588750</v>
      </c>
      <c r="CQ23" s="229">
        <v>-1.8200000000000001E-2</v>
      </c>
      <c r="CR23" s="230">
        <v>18822750</v>
      </c>
      <c r="CS23" s="230">
        <v>19207500</v>
      </c>
      <c r="CT23" s="230">
        <v>-384750</v>
      </c>
      <c r="CU23" s="229">
        <v>-0.02</v>
      </c>
      <c r="CV23" s="230">
        <v>139518000</v>
      </c>
      <c r="CW23" s="230">
        <v>139824750</v>
      </c>
      <c r="CX23" s="230">
        <v>-306750</v>
      </c>
      <c r="CY23" s="229">
        <v>-2.2000000000000001E-3</v>
      </c>
      <c r="CZ23" s="228">
        <v>21.14</v>
      </c>
      <c r="DA23" s="228">
        <v>21.82</v>
      </c>
      <c r="DB23" s="228">
        <v>-0.68</v>
      </c>
      <c r="DC23" s="228">
        <v>-0.68</v>
      </c>
      <c r="DD23" s="228">
        <v>31.52</v>
      </c>
      <c r="DE23" s="228">
        <v>31.6</v>
      </c>
      <c r="DF23" s="228">
        <v>-10.38</v>
      </c>
      <c r="DG23" s="228">
        <v>-0.08</v>
      </c>
      <c r="DH23" s="228">
        <v>21.82</v>
      </c>
      <c r="DI23" s="228">
        <v>22.41</v>
      </c>
      <c r="DJ23" s="228">
        <v>-0.59</v>
      </c>
      <c r="DK23" s="228">
        <v>-0.59</v>
      </c>
      <c r="DL23" s="228">
        <v>19.739999999999998</v>
      </c>
      <c r="DM23" s="228">
        <v>20.55</v>
      </c>
      <c r="DN23" s="228">
        <v>-0.81</v>
      </c>
      <c r="DO23" s="228">
        <v>-0.81</v>
      </c>
      <c r="DP23" s="228">
        <v>0.59</v>
      </c>
      <c r="DQ23" s="228">
        <v>0.59</v>
      </c>
      <c r="DR23" s="228">
        <v>0</v>
      </c>
      <c r="DS23" s="229">
        <v>0</v>
      </c>
      <c r="DT23" s="231">
        <v>1020</v>
      </c>
      <c r="DU23" s="231">
        <v>1000</v>
      </c>
      <c r="DV23" s="228">
        <v>0.48</v>
      </c>
      <c r="DW23" s="228">
        <v>0.47</v>
      </c>
      <c r="DX23" s="228">
        <v>0.01</v>
      </c>
      <c r="DY23" s="229">
        <v>2.1299999999999999E-2</v>
      </c>
      <c r="DZ23" s="229">
        <v>0.15959999999999999</v>
      </c>
      <c r="EA23" s="230">
        <v>10866750</v>
      </c>
      <c r="EB23" s="229">
        <v>6.4999999999999997E-3</v>
      </c>
      <c r="EC23" s="229">
        <v>0.15959999999999999</v>
      </c>
      <c r="ED23" s="228">
        <v>6.5</v>
      </c>
      <c r="EE23" s="229">
        <v>6.4999999999999997E-3</v>
      </c>
      <c r="EF23" s="230">
        <v>1956957</v>
      </c>
      <c r="EG23" s="230">
        <v>3045407</v>
      </c>
      <c r="EH23" s="229">
        <v>-0.3574</v>
      </c>
      <c r="EI23" s="229">
        <v>0.5242</v>
      </c>
      <c r="EJ23" s="231">
        <v>240876.37</v>
      </c>
      <c r="EK23" s="231">
        <v>111536.05</v>
      </c>
      <c r="EL23" s="231">
        <v>101768.64</v>
      </c>
      <c r="EM23" s="231">
        <v>9642</v>
      </c>
      <c r="EN23" s="231">
        <v>454181.06</v>
      </c>
      <c r="EO23" s="231">
        <v>488740.99</v>
      </c>
      <c r="EP23" s="231">
        <v>-34559.93</v>
      </c>
      <c r="EQ23" s="229">
        <v>-7.0699999999999999E-2</v>
      </c>
      <c r="ER23" s="231">
        <v>337322</v>
      </c>
      <c r="ES23" s="231">
        <v>187262</v>
      </c>
      <c r="ET23" s="231">
        <v>891400</v>
      </c>
      <c r="EU23" s="231">
        <v>281116345</v>
      </c>
      <c r="EV23" s="231">
        <v>1415984</v>
      </c>
      <c r="EW23" s="231">
        <v>1420318</v>
      </c>
      <c r="EX23" s="231">
        <v>-4334</v>
      </c>
      <c r="EY23" s="229">
        <v>-3.0999999999999999E-3</v>
      </c>
      <c r="EZ23" s="229">
        <v>0.49630000000000002</v>
      </c>
      <c r="FA23" s="227" t="s">
        <v>567</v>
      </c>
      <c r="FB23" s="161">
        <f t="shared" si="0"/>
        <v>14178750</v>
      </c>
    </row>
    <row r="24" spans="1:158" ht="17.25" hidden="1" thickBot="1" x14ac:dyDescent="0.3">
      <c r="A24" s="226">
        <v>46009</v>
      </c>
      <c r="B24" s="227" t="s">
        <v>172</v>
      </c>
      <c r="C24" s="227" t="s">
        <v>179</v>
      </c>
      <c r="D24" s="228">
        <v>3600</v>
      </c>
      <c r="E24" s="228">
        <v>146.09</v>
      </c>
      <c r="F24" s="228">
        <v>148.63</v>
      </c>
      <c r="G24" s="228">
        <v>-2.54</v>
      </c>
      <c r="H24" s="229">
        <v>-1.7100000000000001E-2</v>
      </c>
      <c r="I24" s="228">
        <v>145.33000000000001</v>
      </c>
      <c r="J24" s="228">
        <v>147.84</v>
      </c>
      <c r="K24" s="228">
        <v>-2.5099999999999998</v>
      </c>
      <c r="L24" s="229">
        <v>-1.7000000000000001E-2</v>
      </c>
      <c r="M24" s="228">
        <v>146.09</v>
      </c>
      <c r="N24" s="228">
        <v>148.63</v>
      </c>
      <c r="O24" s="228">
        <v>-2.54</v>
      </c>
      <c r="P24" s="229">
        <v>-1.7100000000000001E-2</v>
      </c>
      <c r="Q24" s="228">
        <v>147.47999999999999</v>
      </c>
      <c r="R24" s="228">
        <v>149.91999999999999</v>
      </c>
      <c r="S24" s="228">
        <v>-2.44</v>
      </c>
      <c r="T24" s="229">
        <v>-1.6299999999999999E-2</v>
      </c>
      <c r="U24" s="228">
        <v>148.79</v>
      </c>
      <c r="V24" s="228">
        <v>149.30000000000001</v>
      </c>
      <c r="W24" s="228">
        <v>-0.51</v>
      </c>
      <c r="X24" s="229">
        <v>-3.3999999999999998E-3</v>
      </c>
      <c r="Y24" s="228">
        <v>0.76</v>
      </c>
      <c r="Z24" s="228">
        <v>0.79</v>
      </c>
      <c r="AA24" s="228">
        <v>-0.03</v>
      </c>
      <c r="AB24" s="229">
        <v>5.1999999999999998E-3</v>
      </c>
      <c r="AC24" s="228">
        <v>0.76</v>
      </c>
      <c r="AD24" s="228">
        <v>0.79</v>
      </c>
      <c r="AE24" s="228">
        <v>-0.03</v>
      </c>
      <c r="AF24" s="229">
        <v>5.1999999999999998E-3</v>
      </c>
      <c r="AG24" s="228">
        <v>2.15</v>
      </c>
      <c r="AH24" s="228">
        <v>2.08</v>
      </c>
      <c r="AI24" s="228">
        <v>7.0000000000000007E-2</v>
      </c>
      <c r="AJ24" s="229">
        <v>1.4800000000000001E-2</v>
      </c>
      <c r="AK24" s="228">
        <v>3.46</v>
      </c>
      <c r="AL24" s="228">
        <v>1.46</v>
      </c>
      <c r="AM24" s="228">
        <v>2</v>
      </c>
      <c r="AN24" s="229">
        <v>2.3800000000000002E-2</v>
      </c>
      <c r="AO24" s="228">
        <v>146.55000000000001</v>
      </c>
      <c r="AP24" s="228">
        <v>147.08000000000001</v>
      </c>
      <c r="AQ24" s="228">
        <v>0</v>
      </c>
      <c r="AR24" s="230">
        <v>860400</v>
      </c>
      <c r="AS24" s="230">
        <v>331200</v>
      </c>
      <c r="AT24" s="230">
        <v>529200</v>
      </c>
      <c r="AU24" s="229">
        <v>1.5978000000000001</v>
      </c>
      <c r="AV24" s="230">
        <v>709200</v>
      </c>
      <c r="AW24" s="230">
        <v>309600</v>
      </c>
      <c r="AX24" s="230">
        <v>399600</v>
      </c>
      <c r="AY24" s="229">
        <v>1.2907</v>
      </c>
      <c r="AZ24" s="230">
        <v>136800</v>
      </c>
      <c r="BA24" s="230">
        <v>18000</v>
      </c>
      <c r="BB24" s="230">
        <v>118800</v>
      </c>
      <c r="BC24" s="229">
        <v>6.6</v>
      </c>
      <c r="BD24" s="230">
        <v>14400</v>
      </c>
      <c r="BE24" s="230">
        <v>3600</v>
      </c>
      <c r="BF24" s="230">
        <v>10800</v>
      </c>
      <c r="BG24" s="229">
        <v>3</v>
      </c>
      <c r="BH24" s="230">
        <v>1544400</v>
      </c>
      <c r="BI24" s="230">
        <v>1688400</v>
      </c>
      <c r="BJ24" s="230">
        <v>-144000</v>
      </c>
      <c r="BK24" s="229">
        <v>-8.5300000000000001E-2</v>
      </c>
      <c r="BL24" s="230">
        <v>399600</v>
      </c>
      <c r="BM24" s="230">
        <v>277200</v>
      </c>
      <c r="BN24" s="230">
        <v>122400</v>
      </c>
      <c r="BO24" s="229">
        <v>0.44159999999999999</v>
      </c>
      <c r="BP24" s="230">
        <v>2804400</v>
      </c>
      <c r="BQ24" s="230">
        <v>2296800</v>
      </c>
      <c r="BR24" s="230">
        <v>507600</v>
      </c>
      <c r="BS24" s="229">
        <v>0.221</v>
      </c>
      <c r="BT24" s="230">
        <v>5922287</v>
      </c>
      <c r="BU24" s="230">
        <v>4754672</v>
      </c>
      <c r="BV24" s="230">
        <v>1167615</v>
      </c>
      <c r="BW24" s="229">
        <v>0.24560000000000001</v>
      </c>
      <c r="BX24" s="230">
        <v>112942800</v>
      </c>
      <c r="BY24" s="230">
        <v>113292000</v>
      </c>
      <c r="BZ24" s="230">
        <v>-349200</v>
      </c>
      <c r="CA24" s="229">
        <v>-3.0999999999999999E-3</v>
      </c>
      <c r="CB24" s="230">
        <v>105897600</v>
      </c>
      <c r="CC24" s="230">
        <v>106218000</v>
      </c>
      <c r="CD24" s="230">
        <v>-320400</v>
      </c>
      <c r="CE24" s="229">
        <v>-3.0000000000000001E-3</v>
      </c>
      <c r="CF24" s="230">
        <v>6336000</v>
      </c>
      <c r="CG24" s="230">
        <v>6361200</v>
      </c>
      <c r="CH24" s="230">
        <v>-25200</v>
      </c>
      <c r="CI24" s="229">
        <v>-4.0000000000000001E-3</v>
      </c>
      <c r="CJ24" s="230">
        <v>709200</v>
      </c>
      <c r="CK24" s="230">
        <v>712800</v>
      </c>
      <c r="CL24" s="230">
        <v>-3600</v>
      </c>
      <c r="CM24" s="229">
        <v>-5.1000000000000004E-3</v>
      </c>
      <c r="CN24" s="230">
        <v>41072400</v>
      </c>
      <c r="CO24" s="230">
        <v>41889600</v>
      </c>
      <c r="CP24" s="230">
        <v>-817200</v>
      </c>
      <c r="CQ24" s="229">
        <v>-1.95E-2</v>
      </c>
      <c r="CR24" s="230">
        <v>28206000</v>
      </c>
      <c r="CS24" s="230">
        <v>28242000</v>
      </c>
      <c r="CT24" s="230">
        <v>-36000</v>
      </c>
      <c r="CU24" s="229">
        <v>-1.2999999999999999E-3</v>
      </c>
      <c r="CV24" s="230">
        <v>182221200</v>
      </c>
      <c r="CW24" s="230">
        <v>183423600</v>
      </c>
      <c r="CX24" s="230">
        <v>-1202400</v>
      </c>
      <c r="CY24" s="229">
        <v>-6.6E-3</v>
      </c>
      <c r="CZ24" s="228">
        <v>42.43</v>
      </c>
      <c r="DA24" s="228">
        <v>34.520000000000003</v>
      </c>
      <c r="DB24" s="228">
        <v>7.91</v>
      </c>
      <c r="DC24" s="228">
        <v>7.91</v>
      </c>
      <c r="DD24" s="228">
        <v>42.08</v>
      </c>
      <c r="DE24" s="228">
        <v>42.12</v>
      </c>
      <c r="DF24" s="228">
        <v>0.35</v>
      </c>
      <c r="DG24" s="228">
        <v>-0.04</v>
      </c>
      <c r="DH24" s="228">
        <v>42.92</v>
      </c>
      <c r="DI24" s="228">
        <v>33.28</v>
      </c>
      <c r="DJ24" s="228">
        <v>9.64</v>
      </c>
      <c r="DK24" s="228">
        <v>9.64</v>
      </c>
      <c r="DL24" s="228">
        <v>40.53</v>
      </c>
      <c r="DM24" s="228">
        <v>42.1</v>
      </c>
      <c r="DN24" s="228">
        <v>-1.57</v>
      </c>
      <c r="DO24" s="228">
        <v>-1.57</v>
      </c>
      <c r="DP24" s="228">
        <v>0.69</v>
      </c>
      <c r="DQ24" s="228">
        <v>0.67</v>
      </c>
      <c r="DR24" s="228">
        <v>0.02</v>
      </c>
      <c r="DS24" s="229">
        <v>2.9899999999999999E-2</v>
      </c>
      <c r="DT24" s="228">
        <v>150</v>
      </c>
      <c r="DU24" s="228">
        <v>150</v>
      </c>
      <c r="DV24" s="228">
        <v>0.26</v>
      </c>
      <c r="DW24" s="228">
        <v>0.16</v>
      </c>
      <c r="DX24" s="228">
        <v>0.1</v>
      </c>
      <c r="DY24" s="229">
        <v>0.625</v>
      </c>
      <c r="DZ24" s="229">
        <v>6.2399999999999997E-2</v>
      </c>
      <c r="EA24" s="230">
        <v>7074000</v>
      </c>
      <c r="EB24" s="229">
        <v>9.4999999999999998E-3</v>
      </c>
      <c r="EC24" s="229">
        <v>6.2399999999999997E-2</v>
      </c>
      <c r="ED24" s="228">
        <v>0.53</v>
      </c>
      <c r="EE24" s="229">
        <v>3.5999999999999999E-3</v>
      </c>
      <c r="EF24" s="230">
        <v>2655545</v>
      </c>
      <c r="EG24" s="230">
        <v>2193197</v>
      </c>
      <c r="EH24" s="229">
        <v>0.21079999999999999</v>
      </c>
      <c r="EI24" s="229">
        <v>0.44840000000000002</v>
      </c>
      <c r="EJ24" s="231">
        <v>2494.69</v>
      </c>
      <c r="EK24" s="228">
        <v>562.61</v>
      </c>
      <c r="EL24" s="231">
        <v>1261.8900000000001</v>
      </c>
      <c r="EM24" s="228">
        <v>565</v>
      </c>
      <c r="EN24" s="231">
        <v>4319.1899999999996</v>
      </c>
      <c r="EO24" s="231">
        <v>3617.84</v>
      </c>
      <c r="EP24" s="228">
        <v>701.35</v>
      </c>
      <c r="EQ24" s="229">
        <v>0.19389999999999999</v>
      </c>
      <c r="ER24" s="231">
        <v>65785</v>
      </c>
      <c r="ES24" s="231">
        <v>42789</v>
      </c>
      <c r="ET24" s="231">
        <v>165105</v>
      </c>
      <c r="EU24" s="231">
        <v>142752962</v>
      </c>
      <c r="EV24" s="231">
        <v>273679</v>
      </c>
      <c r="EW24" s="231">
        <v>278425</v>
      </c>
      <c r="EX24" s="231">
        <v>-4746</v>
      </c>
      <c r="EY24" s="229">
        <v>-1.7000000000000001E-2</v>
      </c>
      <c r="EZ24" s="229">
        <v>1.2765</v>
      </c>
      <c r="FA24" s="227" t="s">
        <v>568</v>
      </c>
      <c r="FB24" s="161">
        <f t="shared" si="0"/>
        <v>7045200</v>
      </c>
    </row>
    <row r="25" spans="1:158" ht="17.25" hidden="1" thickBot="1" x14ac:dyDescent="0.3">
      <c r="A25" s="226">
        <v>46009</v>
      </c>
      <c r="B25" s="227" t="s">
        <v>172</v>
      </c>
      <c r="C25" s="227" t="s">
        <v>180</v>
      </c>
      <c r="D25" s="228">
        <v>2925</v>
      </c>
      <c r="E25" s="228">
        <v>288.3</v>
      </c>
      <c r="F25" s="228">
        <v>288.14999999999998</v>
      </c>
      <c r="G25" s="228">
        <v>0.15</v>
      </c>
      <c r="H25" s="229">
        <v>5.0000000000000001E-4</v>
      </c>
      <c r="I25" s="228">
        <v>288.10000000000002</v>
      </c>
      <c r="J25" s="228">
        <v>287.60000000000002</v>
      </c>
      <c r="K25" s="228">
        <v>0.5</v>
      </c>
      <c r="L25" s="229">
        <v>1.6999999999999999E-3</v>
      </c>
      <c r="M25" s="228">
        <v>288.3</v>
      </c>
      <c r="N25" s="228">
        <v>288.14999999999998</v>
      </c>
      <c r="O25" s="228">
        <v>0.15</v>
      </c>
      <c r="P25" s="229">
        <v>5.0000000000000001E-4</v>
      </c>
      <c r="Q25" s="228">
        <v>290.10000000000002</v>
      </c>
      <c r="R25" s="228">
        <v>289.85000000000002</v>
      </c>
      <c r="S25" s="228">
        <v>0.25</v>
      </c>
      <c r="T25" s="229">
        <v>8.9999999999999998E-4</v>
      </c>
      <c r="U25" s="228">
        <v>291.85000000000002</v>
      </c>
      <c r="V25" s="228">
        <v>291.2</v>
      </c>
      <c r="W25" s="228">
        <v>0.65</v>
      </c>
      <c r="X25" s="229">
        <v>2.2000000000000001E-3</v>
      </c>
      <c r="Y25" s="228">
        <v>0.2</v>
      </c>
      <c r="Z25" s="228">
        <v>0.55000000000000004</v>
      </c>
      <c r="AA25" s="228">
        <v>-0.35</v>
      </c>
      <c r="AB25" s="229">
        <v>6.9999999999999999E-4</v>
      </c>
      <c r="AC25" s="228">
        <v>0.2</v>
      </c>
      <c r="AD25" s="228">
        <v>0.55000000000000004</v>
      </c>
      <c r="AE25" s="228">
        <v>-0.35</v>
      </c>
      <c r="AF25" s="229">
        <v>6.9999999999999999E-4</v>
      </c>
      <c r="AG25" s="228">
        <v>2</v>
      </c>
      <c r="AH25" s="228">
        <v>2.25</v>
      </c>
      <c r="AI25" s="228">
        <v>-0.25</v>
      </c>
      <c r="AJ25" s="229">
        <v>6.8999999999999999E-3</v>
      </c>
      <c r="AK25" s="228">
        <v>3.75</v>
      </c>
      <c r="AL25" s="228">
        <v>3.6</v>
      </c>
      <c r="AM25" s="228">
        <v>0.15</v>
      </c>
      <c r="AN25" s="229">
        <v>1.2999999999999999E-2</v>
      </c>
      <c r="AO25" s="228">
        <v>288.86</v>
      </c>
      <c r="AP25" s="228">
        <v>290.49</v>
      </c>
      <c r="AQ25" s="228">
        <v>0</v>
      </c>
      <c r="AR25" s="230">
        <v>12495600</v>
      </c>
      <c r="AS25" s="230">
        <v>19334250</v>
      </c>
      <c r="AT25" s="230">
        <v>-6838650</v>
      </c>
      <c r="AU25" s="229">
        <v>-0.35370000000000001</v>
      </c>
      <c r="AV25" s="230">
        <v>10214100</v>
      </c>
      <c r="AW25" s="230">
        <v>16061175</v>
      </c>
      <c r="AX25" s="230">
        <v>-5847075</v>
      </c>
      <c r="AY25" s="229">
        <v>-0.36409999999999998</v>
      </c>
      <c r="AZ25" s="230">
        <v>2146950</v>
      </c>
      <c r="BA25" s="230">
        <v>3132675</v>
      </c>
      <c r="BB25" s="230">
        <v>-985725</v>
      </c>
      <c r="BC25" s="229">
        <v>-0.31469999999999998</v>
      </c>
      <c r="BD25" s="230">
        <v>134550</v>
      </c>
      <c r="BE25" s="230">
        <v>140400</v>
      </c>
      <c r="BF25" s="230">
        <v>-5850</v>
      </c>
      <c r="BG25" s="229">
        <v>-4.1700000000000001E-2</v>
      </c>
      <c r="BH25" s="230">
        <v>47463975</v>
      </c>
      <c r="BI25" s="230">
        <v>67585050</v>
      </c>
      <c r="BJ25" s="230">
        <v>-20121075</v>
      </c>
      <c r="BK25" s="229">
        <v>-0.29770000000000002</v>
      </c>
      <c r="BL25" s="230">
        <v>26538525</v>
      </c>
      <c r="BM25" s="230">
        <v>35345700</v>
      </c>
      <c r="BN25" s="230">
        <v>-8807175</v>
      </c>
      <c r="BO25" s="229">
        <v>-0.2492</v>
      </c>
      <c r="BP25" s="230">
        <v>86498100</v>
      </c>
      <c r="BQ25" s="230">
        <v>122265000</v>
      </c>
      <c r="BR25" s="230">
        <v>-35766900</v>
      </c>
      <c r="BS25" s="229">
        <v>-0.29249999999999998</v>
      </c>
      <c r="BT25" s="230">
        <v>6119283</v>
      </c>
      <c r="BU25" s="230">
        <v>18872083</v>
      </c>
      <c r="BV25" s="230">
        <v>-12752800</v>
      </c>
      <c r="BW25" s="229">
        <v>-0.67569999999999997</v>
      </c>
      <c r="BX25" s="230">
        <v>86658975</v>
      </c>
      <c r="BY25" s="230">
        <v>87609600</v>
      </c>
      <c r="BZ25" s="230">
        <v>-950625</v>
      </c>
      <c r="CA25" s="229">
        <v>-1.09E-2</v>
      </c>
      <c r="CB25" s="230">
        <v>78009750</v>
      </c>
      <c r="CC25" s="230">
        <v>79457625</v>
      </c>
      <c r="CD25" s="230">
        <v>-1447875</v>
      </c>
      <c r="CE25" s="229">
        <v>-1.8200000000000001E-2</v>
      </c>
      <c r="CF25" s="230">
        <v>7976475</v>
      </c>
      <c r="CG25" s="230">
        <v>7520175</v>
      </c>
      <c r="CH25" s="230">
        <v>456300</v>
      </c>
      <c r="CI25" s="229">
        <v>6.0699999999999997E-2</v>
      </c>
      <c r="CJ25" s="230">
        <v>672750</v>
      </c>
      <c r="CK25" s="230">
        <v>631800</v>
      </c>
      <c r="CL25" s="230">
        <v>40950</v>
      </c>
      <c r="CM25" s="229">
        <v>6.4799999999999996E-2</v>
      </c>
      <c r="CN25" s="230">
        <v>48291750</v>
      </c>
      <c r="CO25" s="230">
        <v>50625900</v>
      </c>
      <c r="CP25" s="230">
        <v>-2334150</v>
      </c>
      <c r="CQ25" s="229">
        <v>-4.6100000000000002E-2</v>
      </c>
      <c r="CR25" s="230">
        <v>39701025</v>
      </c>
      <c r="CS25" s="230">
        <v>40107600</v>
      </c>
      <c r="CT25" s="230">
        <v>-406575</v>
      </c>
      <c r="CU25" s="229">
        <v>-1.01E-2</v>
      </c>
      <c r="CV25" s="230">
        <v>174651750</v>
      </c>
      <c r="CW25" s="230">
        <v>178343100</v>
      </c>
      <c r="CX25" s="230">
        <v>-3691350</v>
      </c>
      <c r="CY25" s="229">
        <v>-2.07E-2</v>
      </c>
      <c r="CZ25" s="228">
        <v>22.35</v>
      </c>
      <c r="DA25" s="228">
        <v>23.26</v>
      </c>
      <c r="DB25" s="228">
        <v>-0.91</v>
      </c>
      <c r="DC25" s="228">
        <v>-0.91</v>
      </c>
      <c r="DD25" s="228">
        <v>33.950000000000003</v>
      </c>
      <c r="DE25" s="228">
        <v>34.03</v>
      </c>
      <c r="DF25" s="228">
        <v>-11.6</v>
      </c>
      <c r="DG25" s="228">
        <v>-0.08</v>
      </c>
      <c r="DH25" s="228">
        <v>21.94</v>
      </c>
      <c r="DI25" s="228">
        <v>23.07</v>
      </c>
      <c r="DJ25" s="228">
        <v>-1.1299999999999999</v>
      </c>
      <c r="DK25" s="228">
        <v>-1.1299999999999999</v>
      </c>
      <c r="DL25" s="228">
        <v>23.08</v>
      </c>
      <c r="DM25" s="228">
        <v>23.63</v>
      </c>
      <c r="DN25" s="228">
        <v>-0.55000000000000004</v>
      </c>
      <c r="DO25" s="228">
        <v>-0.55000000000000004</v>
      </c>
      <c r="DP25" s="228">
        <v>0.82</v>
      </c>
      <c r="DQ25" s="228">
        <v>0.79</v>
      </c>
      <c r="DR25" s="228">
        <v>0.03</v>
      </c>
      <c r="DS25" s="229">
        <v>3.7999999999999999E-2</v>
      </c>
      <c r="DT25" s="228">
        <v>300</v>
      </c>
      <c r="DU25" s="228">
        <v>285</v>
      </c>
      <c r="DV25" s="228">
        <v>0.56000000000000005</v>
      </c>
      <c r="DW25" s="228">
        <v>0.52</v>
      </c>
      <c r="DX25" s="228">
        <v>0.04</v>
      </c>
      <c r="DY25" s="229">
        <v>7.6899999999999996E-2</v>
      </c>
      <c r="DZ25" s="229">
        <v>9.98E-2</v>
      </c>
      <c r="EA25" s="230">
        <v>8151975</v>
      </c>
      <c r="EB25" s="229">
        <v>6.1999999999999998E-3</v>
      </c>
      <c r="EC25" s="229">
        <v>9.98E-2</v>
      </c>
      <c r="ED25" s="228">
        <v>1.63</v>
      </c>
      <c r="EE25" s="229">
        <v>5.5999999999999999E-3</v>
      </c>
      <c r="EF25" s="230">
        <v>3178789</v>
      </c>
      <c r="EG25" s="230">
        <v>13005809</v>
      </c>
      <c r="EH25" s="229">
        <v>-0.75560000000000005</v>
      </c>
      <c r="EI25" s="229">
        <v>0.51949999999999996</v>
      </c>
      <c r="EJ25" s="231">
        <v>140996.89000000001</v>
      </c>
      <c r="EK25" s="231">
        <v>75794.759999999995</v>
      </c>
      <c r="EL25" s="231">
        <v>36133.94</v>
      </c>
      <c r="EM25" s="231">
        <v>5083</v>
      </c>
      <c r="EN25" s="231">
        <v>252925.59</v>
      </c>
      <c r="EO25" s="231">
        <v>356396.03</v>
      </c>
      <c r="EP25" s="231">
        <v>-103470.44</v>
      </c>
      <c r="EQ25" s="229">
        <v>-0.2903</v>
      </c>
      <c r="ER25" s="231">
        <v>143642</v>
      </c>
      <c r="ES25" s="231">
        <v>111970</v>
      </c>
      <c r="ET25" s="231">
        <v>250005</v>
      </c>
      <c r="EU25" s="231">
        <v>257509827</v>
      </c>
      <c r="EV25" s="231">
        <v>505618</v>
      </c>
      <c r="EW25" s="231">
        <v>516161</v>
      </c>
      <c r="EX25" s="231">
        <v>-10543</v>
      </c>
      <c r="EY25" s="229">
        <v>-2.0400000000000001E-2</v>
      </c>
      <c r="EZ25" s="229">
        <v>0.67820000000000003</v>
      </c>
      <c r="FA25" s="227" t="s">
        <v>556</v>
      </c>
      <c r="FB25" s="161">
        <f t="shared" si="0"/>
        <v>8649225</v>
      </c>
    </row>
    <row r="26" spans="1:158" ht="17.25" hidden="1" thickBot="1" x14ac:dyDescent="0.3">
      <c r="A26" s="226">
        <v>46009</v>
      </c>
      <c r="B26" s="227" t="s">
        <v>172</v>
      </c>
      <c r="C26" s="227" t="s">
        <v>602</v>
      </c>
      <c r="D26" s="228">
        <v>5200</v>
      </c>
      <c r="E26" s="228">
        <v>142.37</v>
      </c>
      <c r="F26" s="228">
        <v>142.44</v>
      </c>
      <c r="G26" s="228">
        <v>-7.0000000000000007E-2</v>
      </c>
      <c r="H26" s="229">
        <v>-5.0000000000000001E-4</v>
      </c>
      <c r="I26" s="228">
        <v>142.30000000000001</v>
      </c>
      <c r="J26" s="228">
        <v>141.96</v>
      </c>
      <c r="K26" s="228">
        <v>0.34</v>
      </c>
      <c r="L26" s="229">
        <v>2.3999999999999998E-3</v>
      </c>
      <c r="M26" s="228">
        <v>142.37</v>
      </c>
      <c r="N26" s="228">
        <v>142.44</v>
      </c>
      <c r="O26" s="228">
        <v>-7.0000000000000007E-2</v>
      </c>
      <c r="P26" s="229">
        <v>-5.0000000000000001E-4</v>
      </c>
      <c r="Q26" s="228">
        <v>143.16</v>
      </c>
      <c r="R26" s="228">
        <v>143.27000000000001</v>
      </c>
      <c r="S26" s="228">
        <v>-0.11</v>
      </c>
      <c r="T26" s="229">
        <v>-8.0000000000000004E-4</v>
      </c>
      <c r="U26" s="228">
        <v>143.5</v>
      </c>
      <c r="V26" s="228">
        <v>143.9</v>
      </c>
      <c r="W26" s="228">
        <v>-0.4</v>
      </c>
      <c r="X26" s="229">
        <v>-2.8E-3</v>
      </c>
      <c r="Y26" s="228">
        <v>7.0000000000000007E-2</v>
      </c>
      <c r="Z26" s="228">
        <v>0.48</v>
      </c>
      <c r="AA26" s="228">
        <v>-0.41</v>
      </c>
      <c r="AB26" s="229">
        <v>5.0000000000000001E-4</v>
      </c>
      <c r="AC26" s="228">
        <v>7.0000000000000007E-2</v>
      </c>
      <c r="AD26" s="228">
        <v>0.48</v>
      </c>
      <c r="AE26" s="228">
        <v>-0.41</v>
      </c>
      <c r="AF26" s="229">
        <v>5.0000000000000001E-4</v>
      </c>
      <c r="AG26" s="228">
        <v>0.86</v>
      </c>
      <c r="AH26" s="228">
        <v>1.31</v>
      </c>
      <c r="AI26" s="228">
        <v>-0.45</v>
      </c>
      <c r="AJ26" s="229">
        <v>6.0000000000000001E-3</v>
      </c>
      <c r="AK26" s="228">
        <v>1.2</v>
      </c>
      <c r="AL26" s="228">
        <v>1.94</v>
      </c>
      <c r="AM26" s="228">
        <v>-0.74</v>
      </c>
      <c r="AN26" s="229">
        <v>8.3999999999999995E-3</v>
      </c>
      <c r="AO26" s="228">
        <v>142.62</v>
      </c>
      <c r="AP26" s="228">
        <v>143.46</v>
      </c>
      <c r="AQ26" s="228">
        <v>0</v>
      </c>
      <c r="AR26" s="230">
        <v>8294000</v>
      </c>
      <c r="AS26" s="230">
        <v>11008400</v>
      </c>
      <c r="AT26" s="230">
        <v>-2714400</v>
      </c>
      <c r="AU26" s="229">
        <v>-0.24660000000000001</v>
      </c>
      <c r="AV26" s="230">
        <v>6900400</v>
      </c>
      <c r="AW26" s="230">
        <v>9422400</v>
      </c>
      <c r="AX26" s="230">
        <v>-2522000</v>
      </c>
      <c r="AY26" s="229">
        <v>-0.26769999999999999</v>
      </c>
      <c r="AZ26" s="230">
        <v>1315600</v>
      </c>
      <c r="BA26" s="230">
        <v>1482000</v>
      </c>
      <c r="BB26" s="230">
        <v>-166400</v>
      </c>
      <c r="BC26" s="229">
        <v>-0.1123</v>
      </c>
      <c r="BD26" s="230">
        <v>78000</v>
      </c>
      <c r="BE26" s="230">
        <v>104000</v>
      </c>
      <c r="BF26" s="230">
        <v>-26000</v>
      </c>
      <c r="BG26" s="229">
        <v>-0.25</v>
      </c>
      <c r="BH26" s="230">
        <v>13702000</v>
      </c>
      <c r="BI26" s="230">
        <v>33727200</v>
      </c>
      <c r="BJ26" s="230">
        <v>-20025200</v>
      </c>
      <c r="BK26" s="229">
        <v>-0.59370000000000001</v>
      </c>
      <c r="BL26" s="230">
        <v>10010000</v>
      </c>
      <c r="BM26" s="230">
        <v>12157600</v>
      </c>
      <c r="BN26" s="230">
        <v>-2147600</v>
      </c>
      <c r="BO26" s="229">
        <v>-0.17660000000000001</v>
      </c>
      <c r="BP26" s="230">
        <v>32006000</v>
      </c>
      <c r="BQ26" s="230">
        <v>56893200</v>
      </c>
      <c r="BR26" s="230">
        <v>-24887200</v>
      </c>
      <c r="BS26" s="229">
        <v>-0.43740000000000001</v>
      </c>
      <c r="BT26" s="230">
        <v>5778728</v>
      </c>
      <c r="BU26" s="230">
        <v>6836385</v>
      </c>
      <c r="BV26" s="230">
        <v>-1057657</v>
      </c>
      <c r="BW26" s="229">
        <v>-0.1547</v>
      </c>
      <c r="BX26" s="230">
        <v>49446800</v>
      </c>
      <c r="BY26" s="230">
        <v>50185200</v>
      </c>
      <c r="BZ26" s="230">
        <v>-738400</v>
      </c>
      <c r="CA26" s="229">
        <v>-1.47E-2</v>
      </c>
      <c r="CB26" s="230">
        <v>46269600</v>
      </c>
      <c r="CC26" s="230">
        <v>47117200</v>
      </c>
      <c r="CD26" s="230">
        <v>-847600</v>
      </c>
      <c r="CE26" s="229">
        <v>-1.7999999999999999E-2</v>
      </c>
      <c r="CF26" s="230">
        <v>2886000</v>
      </c>
      <c r="CG26" s="230">
        <v>2761200</v>
      </c>
      <c r="CH26" s="230">
        <v>124800</v>
      </c>
      <c r="CI26" s="229">
        <v>4.5199999999999997E-2</v>
      </c>
      <c r="CJ26" s="230">
        <v>291200</v>
      </c>
      <c r="CK26" s="230">
        <v>306800</v>
      </c>
      <c r="CL26" s="230">
        <v>-15600</v>
      </c>
      <c r="CM26" s="229">
        <v>-5.0799999999999998E-2</v>
      </c>
      <c r="CN26" s="230">
        <v>27367600</v>
      </c>
      <c r="CO26" s="230">
        <v>27596400</v>
      </c>
      <c r="CP26" s="230">
        <v>-228800</v>
      </c>
      <c r="CQ26" s="229">
        <v>-8.3000000000000001E-3</v>
      </c>
      <c r="CR26" s="230">
        <v>20503600</v>
      </c>
      <c r="CS26" s="230">
        <v>19942000</v>
      </c>
      <c r="CT26" s="230">
        <v>561600</v>
      </c>
      <c r="CU26" s="229">
        <v>2.8199999999999999E-2</v>
      </c>
      <c r="CV26" s="230">
        <v>97318000</v>
      </c>
      <c r="CW26" s="230">
        <v>97723600</v>
      </c>
      <c r="CX26" s="230">
        <v>-405600</v>
      </c>
      <c r="CY26" s="229">
        <v>-4.1999999999999997E-3</v>
      </c>
      <c r="CZ26" s="228">
        <v>25.78</v>
      </c>
      <c r="DA26" s="228">
        <v>25.53</v>
      </c>
      <c r="DB26" s="228">
        <v>0.25</v>
      </c>
      <c r="DC26" s="228">
        <v>0.25</v>
      </c>
      <c r="DD26" s="228">
        <v>38.53</v>
      </c>
      <c r="DE26" s="228">
        <v>38.630000000000003</v>
      </c>
      <c r="DF26" s="228">
        <v>-12.75</v>
      </c>
      <c r="DG26" s="228">
        <v>-0.1</v>
      </c>
      <c r="DH26" s="228">
        <v>23.63</v>
      </c>
      <c r="DI26" s="228">
        <v>24.61</v>
      </c>
      <c r="DJ26" s="228">
        <v>-0.98</v>
      </c>
      <c r="DK26" s="228">
        <v>-0.98</v>
      </c>
      <c r="DL26" s="228">
        <v>28.72</v>
      </c>
      <c r="DM26" s="228">
        <v>28.08</v>
      </c>
      <c r="DN26" s="228">
        <v>0.64</v>
      </c>
      <c r="DO26" s="228">
        <v>0.64</v>
      </c>
      <c r="DP26" s="228">
        <v>0.75</v>
      </c>
      <c r="DQ26" s="228">
        <v>0.72</v>
      </c>
      <c r="DR26" s="228">
        <v>0.03</v>
      </c>
      <c r="DS26" s="229">
        <v>4.1700000000000001E-2</v>
      </c>
      <c r="DT26" s="228">
        <v>150</v>
      </c>
      <c r="DU26" s="228">
        <v>140</v>
      </c>
      <c r="DV26" s="228">
        <v>0.73</v>
      </c>
      <c r="DW26" s="228">
        <v>0.36</v>
      </c>
      <c r="DX26" s="228">
        <v>0.37</v>
      </c>
      <c r="DY26" s="229">
        <v>1.0278</v>
      </c>
      <c r="DZ26" s="229">
        <v>6.4299999999999996E-2</v>
      </c>
      <c r="EA26" s="230">
        <v>3068000</v>
      </c>
      <c r="EB26" s="229">
        <v>5.4999999999999997E-3</v>
      </c>
      <c r="EC26" s="229">
        <v>6.4299999999999996E-2</v>
      </c>
      <c r="ED26" s="228">
        <v>0.84</v>
      </c>
      <c r="EE26" s="229">
        <v>5.8999999999999999E-3</v>
      </c>
      <c r="EF26" s="230">
        <v>2912295</v>
      </c>
      <c r="EG26" s="230">
        <v>2369150</v>
      </c>
      <c r="EH26" s="229">
        <v>0.2293</v>
      </c>
      <c r="EI26" s="229">
        <v>0.504</v>
      </c>
      <c r="EJ26" s="231">
        <v>20177.93</v>
      </c>
      <c r="EK26" s="231">
        <v>13640.04</v>
      </c>
      <c r="EL26" s="231">
        <v>11841.08</v>
      </c>
      <c r="EM26" s="231">
        <v>1494</v>
      </c>
      <c r="EN26" s="231">
        <v>45659.05</v>
      </c>
      <c r="EO26" s="231">
        <v>82036.61</v>
      </c>
      <c r="EP26" s="231">
        <v>-36377.56</v>
      </c>
      <c r="EQ26" s="229">
        <v>-0.44340000000000002</v>
      </c>
      <c r="ER26" s="231">
        <v>40681</v>
      </c>
      <c r="ES26" s="231">
        <v>28487</v>
      </c>
      <c r="ET26" s="231">
        <v>70423</v>
      </c>
      <c r="EU26" s="231">
        <v>181770921</v>
      </c>
      <c r="EV26" s="231">
        <v>139592</v>
      </c>
      <c r="EW26" s="231">
        <v>140245</v>
      </c>
      <c r="EX26" s="228">
        <v>-653</v>
      </c>
      <c r="EY26" s="229">
        <v>-4.7000000000000002E-3</v>
      </c>
      <c r="EZ26" s="229">
        <v>0.53539999999999999</v>
      </c>
      <c r="FA26" s="227" t="s">
        <v>568</v>
      </c>
      <c r="FB26" s="161">
        <f t="shared" si="0"/>
        <v>3177200</v>
      </c>
    </row>
    <row r="27" spans="1:158" ht="17.25" hidden="1" thickBot="1" x14ac:dyDescent="0.3">
      <c r="A27" s="226">
        <v>46009</v>
      </c>
      <c r="B27" s="227" t="s">
        <v>181</v>
      </c>
      <c r="C27" s="227" t="s">
        <v>182</v>
      </c>
      <c r="D27" s="228">
        <v>35</v>
      </c>
      <c r="E27" s="231">
        <v>59074.2</v>
      </c>
      <c r="F27" s="231">
        <v>59146.8</v>
      </c>
      <c r="G27" s="228">
        <v>-72.599999999999994</v>
      </c>
      <c r="H27" s="229">
        <v>-1.1999999999999999E-3</v>
      </c>
      <c r="I27" s="231">
        <v>58912.85</v>
      </c>
      <c r="J27" s="231">
        <v>58926.75</v>
      </c>
      <c r="K27" s="228">
        <v>-13.9</v>
      </c>
      <c r="L27" s="229">
        <v>-2.0000000000000001E-4</v>
      </c>
      <c r="M27" s="231">
        <v>59074.2</v>
      </c>
      <c r="N27" s="231">
        <v>59146.8</v>
      </c>
      <c r="O27" s="228">
        <v>-72.599999999999994</v>
      </c>
      <c r="P27" s="229">
        <v>-1.1999999999999999E-3</v>
      </c>
      <c r="Q27" s="231">
        <v>59458.6</v>
      </c>
      <c r="R27" s="231">
        <v>59496.2</v>
      </c>
      <c r="S27" s="228">
        <v>-37.6</v>
      </c>
      <c r="T27" s="229">
        <v>-5.9999999999999995E-4</v>
      </c>
      <c r="U27" s="231">
        <v>59824.800000000003</v>
      </c>
      <c r="V27" s="231">
        <v>59864</v>
      </c>
      <c r="W27" s="228">
        <v>-39.200000000000003</v>
      </c>
      <c r="X27" s="229">
        <v>-6.9999999999999999E-4</v>
      </c>
      <c r="Y27" s="228">
        <v>161.35</v>
      </c>
      <c r="Z27" s="228">
        <v>220.05</v>
      </c>
      <c r="AA27" s="228">
        <v>-58.7</v>
      </c>
      <c r="AB27" s="229">
        <v>2.7000000000000001E-3</v>
      </c>
      <c r="AC27" s="228">
        <v>161.35</v>
      </c>
      <c r="AD27" s="228">
        <v>220.05</v>
      </c>
      <c r="AE27" s="228">
        <v>-58.7</v>
      </c>
      <c r="AF27" s="229">
        <v>2.7000000000000001E-3</v>
      </c>
      <c r="AG27" s="228">
        <v>545.75</v>
      </c>
      <c r="AH27" s="228">
        <v>569.45000000000005</v>
      </c>
      <c r="AI27" s="228">
        <v>-23.7</v>
      </c>
      <c r="AJ27" s="229">
        <v>9.2999999999999992E-3</v>
      </c>
      <c r="AK27" s="228">
        <v>911.95</v>
      </c>
      <c r="AL27" s="228">
        <v>937.25</v>
      </c>
      <c r="AM27" s="228">
        <v>-25.3</v>
      </c>
      <c r="AN27" s="229">
        <v>1.55E-2</v>
      </c>
      <c r="AO27" s="231">
        <v>59166.95</v>
      </c>
      <c r="AP27" s="231">
        <v>59511.37</v>
      </c>
      <c r="AQ27" s="228">
        <v>0</v>
      </c>
      <c r="AR27" s="230">
        <v>930475</v>
      </c>
      <c r="AS27" s="230">
        <v>769020</v>
      </c>
      <c r="AT27" s="230">
        <v>161455</v>
      </c>
      <c r="AU27" s="229">
        <v>0.2099</v>
      </c>
      <c r="AV27" s="230">
        <v>816830</v>
      </c>
      <c r="AW27" s="230">
        <v>644385</v>
      </c>
      <c r="AX27" s="230">
        <v>172445</v>
      </c>
      <c r="AY27" s="229">
        <v>0.2676</v>
      </c>
      <c r="AZ27" s="230">
        <v>93450</v>
      </c>
      <c r="BA27" s="230">
        <v>105140</v>
      </c>
      <c r="BB27" s="230">
        <v>-11690</v>
      </c>
      <c r="BC27" s="229">
        <v>-0.11119999999999999</v>
      </c>
      <c r="BD27" s="230">
        <v>20195</v>
      </c>
      <c r="BE27" s="230">
        <v>19495</v>
      </c>
      <c r="BF27" s="228">
        <v>700</v>
      </c>
      <c r="BG27" s="229">
        <v>3.5900000000000001E-2</v>
      </c>
      <c r="BH27" s="230">
        <v>61161940</v>
      </c>
      <c r="BI27" s="230">
        <v>49637910</v>
      </c>
      <c r="BJ27" s="230">
        <v>11524030</v>
      </c>
      <c r="BK27" s="229">
        <v>0.23219999999999999</v>
      </c>
      <c r="BL27" s="230">
        <v>56266420</v>
      </c>
      <c r="BM27" s="230">
        <v>47765655</v>
      </c>
      <c r="BN27" s="230">
        <v>8500765</v>
      </c>
      <c r="BO27" s="229">
        <v>0.17799999999999999</v>
      </c>
      <c r="BP27" s="230">
        <v>118358835</v>
      </c>
      <c r="BQ27" s="230">
        <v>98172585</v>
      </c>
      <c r="BR27" s="230">
        <v>20186250</v>
      </c>
      <c r="BS27" s="229">
        <v>0.2056</v>
      </c>
      <c r="BT27" s="228">
        <v>0</v>
      </c>
      <c r="BU27" s="228">
        <v>0</v>
      </c>
      <c r="BV27" s="228">
        <v>0</v>
      </c>
      <c r="BW27" s="229">
        <v>0</v>
      </c>
      <c r="BX27" s="230">
        <v>2042980</v>
      </c>
      <c r="BY27" s="230">
        <v>2096460</v>
      </c>
      <c r="BZ27" s="230">
        <v>-53480</v>
      </c>
      <c r="CA27" s="229">
        <v>-2.5499999999999998E-2</v>
      </c>
      <c r="CB27" s="230">
        <v>1770160</v>
      </c>
      <c r="CC27" s="230">
        <v>1844640</v>
      </c>
      <c r="CD27" s="230">
        <v>-74480</v>
      </c>
      <c r="CE27" s="229">
        <v>-4.0399999999999998E-2</v>
      </c>
      <c r="CF27" s="230">
        <v>227070</v>
      </c>
      <c r="CG27" s="230">
        <v>206010</v>
      </c>
      <c r="CH27" s="230">
        <v>21060</v>
      </c>
      <c r="CI27" s="229">
        <v>0.1022</v>
      </c>
      <c r="CJ27" s="230">
        <v>45750</v>
      </c>
      <c r="CK27" s="230">
        <v>45810</v>
      </c>
      <c r="CL27" s="228">
        <v>-60</v>
      </c>
      <c r="CM27" s="229">
        <v>-1.2999999999999999E-3</v>
      </c>
      <c r="CN27" s="230">
        <v>23455860</v>
      </c>
      <c r="CO27" s="230">
        <v>22702860</v>
      </c>
      <c r="CP27" s="230">
        <v>753000</v>
      </c>
      <c r="CQ27" s="229">
        <v>3.32E-2</v>
      </c>
      <c r="CR27" s="230">
        <v>17550390</v>
      </c>
      <c r="CS27" s="230">
        <v>17047205</v>
      </c>
      <c r="CT27" s="230">
        <v>503185</v>
      </c>
      <c r="CU27" s="229">
        <v>2.9499999999999998E-2</v>
      </c>
      <c r="CV27" s="230">
        <v>43049230</v>
      </c>
      <c r="CW27" s="230">
        <v>41846525</v>
      </c>
      <c r="CX27" s="230">
        <v>1202705</v>
      </c>
      <c r="CY27" s="229">
        <v>2.87E-2</v>
      </c>
      <c r="CZ27" s="228">
        <v>10.9</v>
      </c>
      <c r="DA27" s="228">
        <v>10.82</v>
      </c>
      <c r="DB27" s="228">
        <v>0.08</v>
      </c>
      <c r="DC27" s="228">
        <v>0.08</v>
      </c>
      <c r="DD27" s="228">
        <v>15.98</v>
      </c>
      <c r="DE27" s="228">
        <v>16.02</v>
      </c>
      <c r="DF27" s="228">
        <v>-5.08</v>
      </c>
      <c r="DG27" s="228">
        <v>-0.04</v>
      </c>
      <c r="DH27" s="228">
        <v>11.08</v>
      </c>
      <c r="DI27" s="228">
        <v>10.76</v>
      </c>
      <c r="DJ27" s="228">
        <v>0.32</v>
      </c>
      <c r="DK27" s="228">
        <v>0.32</v>
      </c>
      <c r="DL27" s="228">
        <v>10.71</v>
      </c>
      <c r="DM27" s="228">
        <v>10.89</v>
      </c>
      <c r="DN27" s="228">
        <v>-0.18</v>
      </c>
      <c r="DO27" s="228">
        <v>-0.18</v>
      </c>
      <c r="DP27" s="228">
        <v>0.75</v>
      </c>
      <c r="DQ27" s="228">
        <v>0.75</v>
      </c>
      <c r="DR27" s="228">
        <v>0</v>
      </c>
      <c r="DS27" s="229">
        <v>0</v>
      </c>
      <c r="DT27" s="231">
        <v>59500</v>
      </c>
      <c r="DU27" s="231">
        <v>59000</v>
      </c>
      <c r="DV27" s="228">
        <v>0.92</v>
      </c>
      <c r="DW27" s="228">
        <v>0.96</v>
      </c>
      <c r="DX27" s="228">
        <v>-0.04</v>
      </c>
      <c r="DY27" s="229">
        <v>-4.1700000000000001E-2</v>
      </c>
      <c r="DZ27" s="229">
        <v>0.13350000000000001</v>
      </c>
      <c r="EA27" s="230">
        <v>251820</v>
      </c>
      <c r="EB27" s="229">
        <v>6.4999999999999997E-3</v>
      </c>
      <c r="EC27" s="229">
        <v>0.13350000000000001</v>
      </c>
      <c r="ED27" s="228">
        <v>344.42</v>
      </c>
      <c r="EE27" s="229">
        <v>5.7999999999999996E-3</v>
      </c>
      <c r="EF27" s="228">
        <v>0</v>
      </c>
      <c r="EG27" s="228">
        <v>0</v>
      </c>
      <c r="EH27" s="229">
        <v>0</v>
      </c>
      <c r="EI27" s="229">
        <v>0</v>
      </c>
      <c r="EJ27" s="231">
        <v>36791081.149999999</v>
      </c>
      <c r="EK27" s="231">
        <v>32741053.300000001</v>
      </c>
      <c r="EL27" s="231">
        <v>541323.38</v>
      </c>
      <c r="EM27" s="228">
        <v>0</v>
      </c>
      <c r="EN27" s="231">
        <v>70073457.829999998</v>
      </c>
      <c r="EO27" s="231">
        <v>58212536.869999997</v>
      </c>
      <c r="EP27" s="231">
        <v>11860920.960000001</v>
      </c>
      <c r="EQ27" s="229">
        <v>0.20380000000000001</v>
      </c>
      <c r="ER27" s="231">
        <v>14200817</v>
      </c>
      <c r="ES27" s="231">
        <v>10148710</v>
      </c>
      <c r="ET27" s="231">
        <v>1208090</v>
      </c>
      <c r="EU27" s="228">
        <v>0</v>
      </c>
      <c r="EV27" s="231">
        <v>25557617</v>
      </c>
      <c r="EW27" s="231">
        <v>24825745</v>
      </c>
      <c r="EX27" s="231">
        <v>731872</v>
      </c>
      <c r="EY27" s="229">
        <v>2.9499999999999998E-2</v>
      </c>
      <c r="EZ27" s="229">
        <v>0</v>
      </c>
      <c r="FA27" s="227" t="s">
        <v>568</v>
      </c>
      <c r="FB27" s="161">
        <f t="shared" si="0"/>
        <v>272820</v>
      </c>
    </row>
    <row r="28" spans="1:158" ht="17.25" hidden="1" thickBot="1" x14ac:dyDescent="0.3">
      <c r="A28" s="226">
        <v>46009</v>
      </c>
      <c r="B28" s="227" t="s">
        <v>184</v>
      </c>
      <c r="C28" s="227" t="s">
        <v>672</v>
      </c>
      <c r="D28" s="228">
        <v>325</v>
      </c>
      <c r="E28" s="231">
        <v>1343.4</v>
      </c>
      <c r="F28" s="231">
        <v>1328</v>
      </c>
      <c r="G28" s="228">
        <v>15.4</v>
      </c>
      <c r="H28" s="229">
        <v>1.1599999999999999E-2</v>
      </c>
      <c r="I28" s="231">
        <v>1342.5</v>
      </c>
      <c r="J28" s="231">
        <v>1324.3</v>
      </c>
      <c r="K28" s="228">
        <v>18.2</v>
      </c>
      <c r="L28" s="229">
        <v>1.37E-2</v>
      </c>
      <c r="M28" s="231">
        <v>1343.4</v>
      </c>
      <c r="N28" s="231">
        <v>1328</v>
      </c>
      <c r="O28" s="228">
        <v>15.4</v>
      </c>
      <c r="P28" s="229">
        <v>1.1599999999999999E-2</v>
      </c>
      <c r="Q28" s="231">
        <v>1351.8</v>
      </c>
      <c r="R28" s="231">
        <v>1335.6</v>
      </c>
      <c r="S28" s="228">
        <v>16.2</v>
      </c>
      <c r="T28" s="229">
        <v>1.21E-2</v>
      </c>
      <c r="U28" s="231">
        <v>1357.5</v>
      </c>
      <c r="V28" s="231">
        <v>1338.6</v>
      </c>
      <c r="W28" s="228">
        <v>18.899999999999999</v>
      </c>
      <c r="X28" s="229">
        <v>1.41E-2</v>
      </c>
      <c r="Y28" s="228">
        <v>0.9</v>
      </c>
      <c r="Z28" s="228">
        <v>3.7</v>
      </c>
      <c r="AA28" s="228">
        <v>-2.8</v>
      </c>
      <c r="AB28" s="229">
        <v>6.9999999999999999E-4</v>
      </c>
      <c r="AC28" s="228">
        <v>0.9</v>
      </c>
      <c r="AD28" s="228">
        <v>3.7</v>
      </c>
      <c r="AE28" s="228">
        <v>-2.8</v>
      </c>
      <c r="AF28" s="229">
        <v>6.9999999999999999E-4</v>
      </c>
      <c r="AG28" s="228">
        <v>9.3000000000000007</v>
      </c>
      <c r="AH28" s="228">
        <v>11.3</v>
      </c>
      <c r="AI28" s="228">
        <v>-2</v>
      </c>
      <c r="AJ28" s="229">
        <v>6.8999999999999999E-3</v>
      </c>
      <c r="AK28" s="228">
        <v>15</v>
      </c>
      <c r="AL28" s="228">
        <v>14.3</v>
      </c>
      <c r="AM28" s="228">
        <v>0.7</v>
      </c>
      <c r="AN28" s="229">
        <v>1.12E-2</v>
      </c>
      <c r="AO28" s="231">
        <v>1331.15</v>
      </c>
      <c r="AP28" s="231">
        <v>1339.01</v>
      </c>
      <c r="AQ28" s="228">
        <v>0</v>
      </c>
      <c r="AR28" s="230">
        <v>1596725</v>
      </c>
      <c r="AS28" s="230">
        <v>1398475</v>
      </c>
      <c r="AT28" s="230">
        <v>198250</v>
      </c>
      <c r="AU28" s="229">
        <v>0.14180000000000001</v>
      </c>
      <c r="AV28" s="230">
        <v>1268800</v>
      </c>
      <c r="AW28" s="230">
        <v>1135875</v>
      </c>
      <c r="AX28" s="230">
        <v>132925</v>
      </c>
      <c r="AY28" s="229">
        <v>0.11700000000000001</v>
      </c>
      <c r="AZ28" s="230">
        <v>303875</v>
      </c>
      <c r="BA28" s="230">
        <v>226200</v>
      </c>
      <c r="BB28" s="230">
        <v>77675</v>
      </c>
      <c r="BC28" s="229">
        <v>0.34339999999999998</v>
      </c>
      <c r="BD28" s="230">
        <v>24050</v>
      </c>
      <c r="BE28" s="230">
        <v>36400</v>
      </c>
      <c r="BF28" s="230">
        <v>-12350</v>
      </c>
      <c r="BG28" s="229">
        <v>-0.33929999999999999</v>
      </c>
      <c r="BH28" s="230">
        <v>10648300</v>
      </c>
      <c r="BI28" s="230">
        <v>9880975</v>
      </c>
      <c r="BJ28" s="230">
        <v>767325</v>
      </c>
      <c r="BK28" s="229">
        <v>7.7700000000000005E-2</v>
      </c>
      <c r="BL28" s="230">
        <v>5215275</v>
      </c>
      <c r="BM28" s="230">
        <v>6233175</v>
      </c>
      <c r="BN28" s="230">
        <v>-1017900</v>
      </c>
      <c r="BO28" s="229">
        <v>-0.1633</v>
      </c>
      <c r="BP28" s="230">
        <v>17460300</v>
      </c>
      <c r="BQ28" s="230">
        <v>17512625</v>
      </c>
      <c r="BR28" s="230">
        <v>-52325</v>
      </c>
      <c r="BS28" s="229">
        <v>-3.0000000000000001E-3</v>
      </c>
      <c r="BT28" s="230">
        <v>1158229</v>
      </c>
      <c r="BU28" s="230">
        <v>1102874</v>
      </c>
      <c r="BV28" s="230">
        <v>55355</v>
      </c>
      <c r="BW28" s="229">
        <v>5.0200000000000002E-2</v>
      </c>
      <c r="BX28" s="230">
        <v>4768800</v>
      </c>
      <c r="BY28" s="230">
        <v>4817525</v>
      </c>
      <c r="BZ28" s="230">
        <v>-48725</v>
      </c>
      <c r="CA28" s="229">
        <v>-1.01E-2</v>
      </c>
      <c r="CB28" s="230">
        <v>4039750</v>
      </c>
      <c r="CC28" s="230">
        <v>4166175</v>
      </c>
      <c r="CD28" s="230">
        <v>-126425</v>
      </c>
      <c r="CE28" s="229">
        <v>-3.0300000000000001E-2</v>
      </c>
      <c r="CF28" s="230">
        <v>631750</v>
      </c>
      <c r="CG28" s="230">
        <v>567000</v>
      </c>
      <c r="CH28" s="230">
        <v>64750</v>
      </c>
      <c r="CI28" s="229">
        <v>0.1142</v>
      </c>
      <c r="CJ28" s="230">
        <v>97300</v>
      </c>
      <c r="CK28" s="230">
        <v>84350</v>
      </c>
      <c r="CL28" s="230">
        <v>12950</v>
      </c>
      <c r="CM28" s="229">
        <v>0.1535</v>
      </c>
      <c r="CN28" s="230">
        <v>7423075</v>
      </c>
      <c r="CO28" s="230">
        <v>7476700</v>
      </c>
      <c r="CP28" s="230">
        <v>-53625</v>
      </c>
      <c r="CQ28" s="229">
        <v>-7.1999999999999998E-3</v>
      </c>
      <c r="CR28" s="230">
        <v>2975250</v>
      </c>
      <c r="CS28" s="230">
        <v>2956425</v>
      </c>
      <c r="CT28" s="230">
        <v>18825</v>
      </c>
      <c r="CU28" s="229">
        <v>6.4000000000000003E-3</v>
      </c>
      <c r="CV28" s="230">
        <v>15167125</v>
      </c>
      <c r="CW28" s="230">
        <v>15250650</v>
      </c>
      <c r="CX28" s="230">
        <v>-83525</v>
      </c>
      <c r="CY28" s="229">
        <v>-5.4999999999999997E-3</v>
      </c>
      <c r="CZ28" s="228">
        <v>31.18</v>
      </c>
      <c r="DA28" s="228">
        <v>32.04</v>
      </c>
      <c r="DB28" s="228">
        <v>-0.86</v>
      </c>
      <c r="DC28" s="228">
        <v>-0.86</v>
      </c>
      <c r="DD28" s="228">
        <v>51.28</v>
      </c>
      <c r="DE28" s="228">
        <v>51.39</v>
      </c>
      <c r="DF28" s="228">
        <v>-20.100000000000001</v>
      </c>
      <c r="DG28" s="228">
        <v>-0.11</v>
      </c>
      <c r="DH28" s="228">
        <v>31.47</v>
      </c>
      <c r="DI28" s="228">
        <v>33.450000000000003</v>
      </c>
      <c r="DJ28" s="228">
        <v>-1.98</v>
      </c>
      <c r="DK28" s="228">
        <v>-1.98</v>
      </c>
      <c r="DL28" s="228">
        <v>30.59</v>
      </c>
      <c r="DM28" s="228">
        <v>29.81</v>
      </c>
      <c r="DN28" s="228">
        <v>0.78</v>
      </c>
      <c r="DO28" s="228">
        <v>0.78</v>
      </c>
      <c r="DP28" s="228">
        <v>0.4</v>
      </c>
      <c r="DQ28" s="228">
        <v>0.4</v>
      </c>
      <c r="DR28" s="228">
        <v>0</v>
      </c>
      <c r="DS28" s="229">
        <v>0</v>
      </c>
      <c r="DT28" s="231">
        <v>1500</v>
      </c>
      <c r="DU28" s="231">
        <v>1340</v>
      </c>
      <c r="DV28" s="228">
        <v>0.49</v>
      </c>
      <c r="DW28" s="228">
        <v>0.63</v>
      </c>
      <c r="DX28" s="228">
        <v>-0.14000000000000001</v>
      </c>
      <c r="DY28" s="229">
        <v>-0.22220000000000001</v>
      </c>
      <c r="DZ28" s="229">
        <v>0.15290000000000001</v>
      </c>
      <c r="EA28" s="230">
        <v>651350</v>
      </c>
      <c r="EB28" s="229">
        <v>6.3E-3</v>
      </c>
      <c r="EC28" s="229">
        <v>0.15290000000000001</v>
      </c>
      <c r="ED28" s="228">
        <v>7.86</v>
      </c>
      <c r="EE28" s="229">
        <v>5.8999999999999999E-3</v>
      </c>
      <c r="EF28" s="230">
        <v>251794</v>
      </c>
      <c r="EG28" s="230">
        <v>297120</v>
      </c>
      <c r="EH28" s="229">
        <v>-0.15260000000000001</v>
      </c>
      <c r="EI28" s="229">
        <v>0.21740000000000001</v>
      </c>
      <c r="EJ28" s="231">
        <v>152450.04</v>
      </c>
      <c r="EK28" s="231">
        <v>69374.460000000006</v>
      </c>
      <c r="EL28" s="231">
        <v>21619.79</v>
      </c>
      <c r="EM28" s="231">
        <v>3622</v>
      </c>
      <c r="EN28" s="231">
        <v>243444.29</v>
      </c>
      <c r="EO28" s="231">
        <v>245965.01</v>
      </c>
      <c r="EP28" s="231">
        <v>-2520.7199999999998</v>
      </c>
      <c r="EQ28" s="229">
        <v>-1.0200000000000001E-2</v>
      </c>
      <c r="ER28" s="231">
        <v>111637</v>
      </c>
      <c r="ES28" s="231">
        <v>40826</v>
      </c>
      <c r="ET28" s="231">
        <v>64131</v>
      </c>
      <c r="EU28" s="231">
        <v>13786716</v>
      </c>
      <c r="EV28" s="231">
        <v>216594</v>
      </c>
      <c r="EW28" s="231">
        <v>217485</v>
      </c>
      <c r="EX28" s="228">
        <v>-891</v>
      </c>
      <c r="EY28" s="229">
        <v>-4.1000000000000003E-3</v>
      </c>
      <c r="EZ28" s="229">
        <v>1.1001000000000001</v>
      </c>
      <c r="FA28" s="227" t="s">
        <v>556</v>
      </c>
      <c r="FB28" s="161">
        <f t="shared" si="0"/>
        <v>729050</v>
      </c>
    </row>
    <row r="29" spans="1:158" ht="17.25" thickBot="1" x14ac:dyDescent="0.3">
      <c r="A29" s="226">
        <v>46009</v>
      </c>
      <c r="B29" s="227" t="s">
        <v>184</v>
      </c>
      <c r="C29" s="227" t="s">
        <v>185</v>
      </c>
      <c r="D29" s="228">
        <v>1425</v>
      </c>
      <c r="E29" s="228">
        <v>384.35</v>
      </c>
      <c r="F29" s="228">
        <v>386.85</v>
      </c>
      <c r="G29" s="228">
        <v>-2.5</v>
      </c>
      <c r="H29" s="229">
        <v>-6.4999999999999997E-3</v>
      </c>
      <c r="I29" s="228">
        <v>383.45</v>
      </c>
      <c r="J29" s="228">
        <v>385.6</v>
      </c>
      <c r="K29" s="228">
        <v>-2.15</v>
      </c>
      <c r="L29" s="229">
        <v>-5.5999999999999999E-3</v>
      </c>
      <c r="M29" s="228">
        <v>384.35</v>
      </c>
      <c r="N29" s="228">
        <v>386.85</v>
      </c>
      <c r="O29" s="228">
        <v>-2.5</v>
      </c>
      <c r="P29" s="229">
        <v>-6.4999999999999997E-3</v>
      </c>
      <c r="Q29" s="228">
        <v>386.7</v>
      </c>
      <c r="R29" s="228">
        <v>389.15</v>
      </c>
      <c r="S29" s="228">
        <v>-2.4500000000000002</v>
      </c>
      <c r="T29" s="229">
        <v>-6.3E-3</v>
      </c>
      <c r="U29" s="228">
        <v>388.75</v>
      </c>
      <c r="V29" s="228">
        <v>391.1</v>
      </c>
      <c r="W29" s="228">
        <v>-2.35</v>
      </c>
      <c r="X29" s="229">
        <v>-6.0000000000000001E-3</v>
      </c>
      <c r="Y29" s="228">
        <v>0.9</v>
      </c>
      <c r="Z29" s="228">
        <v>1.25</v>
      </c>
      <c r="AA29" s="228">
        <v>-0.35</v>
      </c>
      <c r="AB29" s="229">
        <v>2.3E-3</v>
      </c>
      <c r="AC29" s="228">
        <v>0.9</v>
      </c>
      <c r="AD29" s="228">
        <v>1.25</v>
      </c>
      <c r="AE29" s="228">
        <v>-0.35</v>
      </c>
      <c r="AF29" s="229">
        <v>2.3E-3</v>
      </c>
      <c r="AG29" s="228">
        <v>3.25</v>
      </c>
      <c r="AH29" s="228">
        <v>3.55</v>
      </c>
      <c r="AI29" s="228">
        <v>-0.3</v>
      </c>
      <c r="AJ29" s="229">
        <v>8.5000000000000006E-3</v>
      </c>
      <c r="AK29" s="228">
        <v>5.3</v>
      </c>
      <c r="AL29" s="228">
        <v>5.5</v>
      </c>
      <c r="AM29" s="228">
        <v>-0.2</v>
      </c>
      <c r="AN29" s="229">
        <v>1.38E-2</v>
      </c>
      <c r="AO29" s="228">
        <v>384.1</v>
      </c>
      <c r="AP29" s="228">
        <v>386.5</v>
      </c>
      <c r="AQ29" s="228">
        <v>0</v>
      </c>
      <c r="AR29" s="230">
        <v>19535325</v>
      </c>
      <c r="AS29" s="230">
        <v>14264250</v>
      </c>
      <c r="AT29" s="230">
        <v>5271075</v>
      </c>
      <c r="AU29" s="229">
        <v>0.3695</v>
      </c>
      <c r="AV29" s="230">
        <v>13162725</v>
      </c>
      <c r="AW29" s="230">
        <v>9533250</v>
      </c>
      <c r="AX29" s="230">
        <v>3629475</v>
      </c>
      <c r="AY29" s="229">
        <v>0.38069999999999998</v>
      </c>
      <c r="AZ29" s="230">
        <v>5957925</v>
      </c>
      <c r="BA29" s="230">
        <v>4572825</v>
      </c>
      <c r="BB29" s="230">
        <v>1385100</v>
      </c>
      <c r="BC29" s="229">
        <v>0.3029</v>
      </c>
      <c r="BD29" s="230">
        <v>414675</v>
      </c>
      <c r="BE29" s="230">
        <v>158175</v>
      </c>
      <c r="BF29" s="230">
        <v>256500</v>
      </c>
      <c r="BG29" s="229">
        <v>1.6215999999999999</v>
      </c>
      <c r="BH29" s="230">
        <v>86602950</v>
      </c>
      <c r="BI29" s="230">
        <v>65381850</v>
      </c>
      <c r="BJ29" s="230">
        <v>21221100</v>
      </c>
      <c r="BK29" s="229">
        <v>0.3246</v>
      </c>
      <c r="BL29" s="230">
        <v>41875050</v>
      </c>
      <c r="BM29" s="230">
        <v>25765425</v>
      </c>
      <c r="BN29" s="230">
        <v>16109625</v>
      </c>
      <c r="BO29" s="229">
        <v>0.62519999999999998</v>
      </c>
      <c r="BP29" s="230">
        <v>148013325</v>
      </c>
      <c r="BQ29" s="230">
        <v>105411525</v>
      </c>
      <c r="BR29" s="230">
        <v>42601800</v>
      </c>
      <c r="BS29" s="229">
        <v>0.40410000000000001</v>
      </c>
      <c r="BT29" s="230">
        <v>8067054</v>
      </c>
      <c r="BU29" s="230">
        <v>6814295</v>
      </c>
      <c r="BV29" s="230">
        <v>1252759</v>
      </c>
      <c r="BW29" s="229">
        <v>0.18379999999999999</v>
      </c>
      <c r="BX29" s="230">
        <v>123554625</v>
      </c>
      <c r="BY29" s="230">
        <v>122749500</v>
      </c>
      <c r="BZ29" s="230">
        <v>805125</v>
      </c>
      <c r="CA29" s="229">
        <v>6.6E-3</v>
      </c>
      <c r="CB29" s="230">
        <v>99712950</v>
      </c>
      <c r="CC29" s="230">
        <v>103256925</v>
      </c>
      <c r="CD29" s="230">
        <v>-3543975</v>
      </c>
      <c r="CE29" s="229">
        <v>-3.4299999999999997E-2</v>
      </c>
      <c r="CF29" s="230">
        <v>22051875</v>
      </c>
      <c r="CG29" s="230">
        <v>17784000</v>
      </c>
      <c r="CH29" s="230">
        <v>4267875</v>
      </c>
      <c r="CI29" s="229">
        <v>0.24</v>
      </c>
      <c r="CJ29" s="230">
        <v>1789800</v>
      </c>
      <c r="CK29" s="230">
        <v>1708575</v>
      </c>
      <c r="CL29" s="230">
        <v>81225</v>
      </c>
      <c r="CM29" s="229">
        <v>4.7500000000000001E-2</v>
      </c>
      <c r="CN29" s="230">
        <v>92124825</v>
      </c>
      <c r="CO29" s="230">
        <v>93129450</v>
      </c>
      <c r="CP29" s="230">
        <v>-1004625</v>
      </c>
      <c r="CQ29" s="229">
        <v>-1.0800000000000001E-2</v>
      </c>
      <c r="CR29" s="230">
        <v>42665925</v>
      </c>
      <c r="CS29" s="230">
        <v>42440775</v>
      </c>
      <c r="CT29" s="230">
        <v>225150</v>
      </c>
      <c r="CU29" s="229">
        <v>5.3E-3</v>
      </c>
      <c r="CV29" s="230">
        <v>258345375</v>
      </c>
      <c r="CW29" s="230">
        <v>258319725</v>
      </c>
      <c r="CX29" s="230">
        <v>25650</v>
      </c>
      <c r="CY29" s="229">
        <v>1E-4</v>
      </c>
      <c r="CZ29" s="228">
        <v>23.55</v>
      </c>
      <c r="DA29" s="228">
        <v>24.13</v>
      </c>
      <c r="DB29" s="228">
        <v>-0.57999999999999996</v>
      </c>
      <c r="DC29" s="228">
        <v>-0.57999999999999996</v>
      </c>
      <c r="DD29" s="228">
        <v>36.090000000000003</v>
      </c>
      <c r="DE29" s="228">
        <v>36.17</v>
      </c>
      <c r="DF29" s="228">
        <v>-12.54</v>
      </c>
      <c r="DG29" s="228">
        <v>-0.08</v>
      </c>
      <c r="DH29" s="228">
        <v>24.5</v>
      </c>
      <c r="DI29" s="228">
        <v>25.08</v>
      </c>
      <c r="DJ29" s="228">
        <v>-0.57999999999999996</v>
      </c>
      <c r="DK29" s="228">
        <v>-0.57999999999999996</v>
      </c>
      <c r="DL29" s="228">
        <v>21.61</v>
      </c>
      <c r="DM29" s="228">
        <v>21.72</v>
      </c>
      <c r="DN29" s="228">
        <v>-0.11</v>
      </c>
      <c r="DO29" s="228">
        <v>-0.11</v>
      </c>
      <c r="DP29" s="228">
        <v>0.46</v>
      </c>
      <c r="DQ29" s="228">
        <v>0.46</v>
      </c>
      <c r="DR29" s="228">
        <v>0</v>
      </c>
      <c r="DS29" s="229">
        <v>0</v>
      </c>
      <c r="DT29" s="228">
        <v>420</v>
      </c>
      <c r="DU29" s="228">
        <v>410</v>
      </c>
      <c r="DV29" s="228">
        <v>0.48</v>
      </c>
      <c r="DW29" s="228">
        <v>0.39</v>
      </c>
      <c r="DX29" s="228">
        <v>0.09</v>
      </c>
      <c r="DY29" s="229">
        <v>0.23080000000000001</v>
      </c>
      <c r="DZ29" s="229">
        <v>0.193</v>
      </c>
      <c r="EA29" s="230">
        <v>19492575</v>
      </c>
      <c r="EB29" s="229">
        <v>6.1000000000000004E-3</v>
      </c>
      <c r="EC29" s="229">
        <v>0.193</v>
      </c>
      <c r="ED29" s="228">
        <v>2.4</v>
      </c>
      <c r="EE29" s="229">
        <v>6.1999999999999998E-3</v>
      </c>
      <c r="EF29" s="230">
        <v>3579916</v>
      </c>
      <c r="EG29" s="230">
        <v>4126732</v>
      </c>
      <c r="EH29" s="229">
        <v>-0.13250000000000001</v>
      </c>
      <c r="EI29" s="229">
        <v>0.44379999999999997</v>
      </c>
      <c r="EJ29" s="231">
        <v>352078.71</v>
      </c>
      <c r="EK29" s="231">
        <v>161420.78</v>
      </c>
      <c r="EL29" s="231">
        <v>75193.94</v>
      </c>
      <c r="EM29" s="231">
        <v>8612</v>
      </c>
      <c r="EN29" s="231">
        <v>588693.43000000005</v>
      </c>
      <c r="EO29" s="231">
        <v>423498.25</v>
      </c>
      <c r="EP29" s="231">
        <v>165195.18</v>
      </c>
      <c r="EQ29" s="229">
        <v>0.3901</v>
      </c>
      <c r="ER29" s="231">
        <v>383706</v>
      </c>
      <c r="ES29" s="231">
        <v>167945</v>
      </c>
      <c r="ET29" s="231">
        <v>475479</v>
      </c>
      <c r="EU29" s="231">
        <v>535778534</v>
      </c>
      <c r="EV29" s="231">
        <v>1027130</v>
      </c>
      <c r="EW29" s="231">
        <v>1031874</v>
      </c>
      <c r="EX29" s="231">
        <v>-4744</v>
      </c>
      <c r="EY29" s="229">
        <v>-4.5999999999999999E-3</v>
      </c>
      <c r="EZ29" s="229">
        <v>0.48220000000000002</v>
      </c>
      <c r="FA29" s="227" t="s">
        <v>567</v>
      </c>
      <c r="FB29" s="161">
        <f t="shared" si="0"/>
        <v>23841675</v>
      </c>
    </row>
    <row r="30" spans="1:158" ht="17.25" hidden="1" thickBot="1" x14ac:dyDescent="0.3">
      <c r="A30" s="226">
        <v>46009</v>
      </c>
      <c r="B30" s="227" t="s">
        <v>162</v>
      </c>
      <c r="C30" s="227" t="s">
        <v>187</v>
      </c>
      <c r="D30" s="228">
        <v>500</v>
      </c>
      <c r="E30" s="231">
        <v>1409.8</v>
      </c>
      <c r="F30" s="231">
        <v>1417.3</v>
      </c>
      <c r="G30" s="228">
        <v>-7.5</v>
      </c>
      <c r="H30" s="229">
        <v>-5.3E-3</v>
      </c>
      <c r="I30" s="231">
        <v>1407.5</v>
      </c>
      <c r="J30" s="231">
        <v>1413.3</v>
      </c>
      <c r="K30" s="228">
        <v>-5.8</v>
      </c>
      <c r="L30" s="229">
        <v>-4.1000000000000003E-3</v>
      </c>
      <c r="M30" s="231">
        <v>1409.8</v>
      </c>
      <c r="N30" s="231">
        <v>1417.3</v>
      </c>
      <c r="O30" s="228">
        <v>-7.5</v>
      </c>
      <c r="P30" s="229">
        <v>-5.3E-3</v>
      </c>
      <c r="Q30" s="231">
        <v>1416.2</v>
      </c>
      <c r="R30" s="231">
        <v>1422.5</v>
      </c>
      <c r="S30" s="228">
        <v>-6.3</v>
      </c>
      <c r="T30" s="229">
        <v>-4.4000000000000003E-3</v>
      </c>
      <c r="U30" s="231">
        <v>1419</v>
      </c>
      <c r="V30" s="231">
        <v>1422.8</v>
      </c>
      <c r="W30" s="228">
        <v>-3.8</v>
      </c>
      <c r="X30" s="229">
        <v>-2.7000000000000001E-3</v>
      </c>
      <c r="Y30" s="228">
        <v>2.2999999999999998</v>
      </c>
      <c r="Z30" s="228">
        <v>4</v>
      </c>
      <c r="AA30" s="228">
        <v>-1.7</v>
      </c>
      <c r="AB30" s="229">
        <v>1.6000000000000001E-3</v>
      </c>
      <c r="AC30" s="228">
        <v>2.2999999999999998</v>
      </c>
      <c r="AD30" s="228">
        <v>4</v>
      </c>
      <c r="AE30" s="228">
        <v>-1.7</v>
      </c>
      <c r="AF30" s="229">
        <v>1.6000000000000001E-3</v>
      </c>
      <c r="AG30" s="228">
        <v>8.6999999999999993</v>
      </c>
      <c r="AH30" s="228">
        <v>9.1999999999999993</v>
      </c>
      <c r="AI30" s="228">
        <v>-0.5</v>
      </c>
      <c r="AJ30" s="229">
        <v>6.1999999999999998E-3</v>
      </c>
      <c r="AK30" s="228">
        <v>11.5</v>
      </c>
      <c r="AL30" s="228">
        <v>9.5</v>
      </c>
      <c r="AM30" s="228">
        <v>2</v>
      </c>
      <c r="AN30" s="229">
        <v>8.2000000000000007E-3</v>
      </c>
      <c r="AO30" s="231">
        <v>1404.33</v>
      </c>
      <c r="AP30" s="231">
        <v>1412.05</v>
      </c>
      <c r="AQ30" s="228">
        <v>0</v>
      </c>
      <c r="AR30" s="230">
        <v>1233500</v>
      </c>
      <c r="AS30" s="230">
        <v>1373000</v>
      </c>
      <c r="AT30" s="230">
        <v>-139500</v>
      </c>
      <c r="AU30" s="229">
        <v>-0.1016</v>
      </c>
      <c r="AV30" s="230">
        <v>1017000</v>
      </c>
      <c r="AW30" s="230">
        <v>1119500</v>
      </c>
      <c r="AX30" s="230">
        <v>-102500</v>
      </c>
      <c r="AY30" s="229">
        <v>-9.1600000000000001E-2</v>
      </c>
      <c r="AZ30" s="230">
        <v>212000</v>
      </c>
      <c r="BA30" s="230">
        <v>247000</v>
      </c>
      <c r="BB30" s="230">
        <v>-35000</v>
      </c>
      <c r="BC30" s="229">
        <v>-0.14169999999999999</v>
      </c>
      <c r="BD30" s="230">
        <v>4500</v>
      </c>
      <c r="BE30" s="230">
        <v>6500</v>
      </c>
      <c r="BF30" s="230">
        <v>-2000</v>
      </c>
      <c r="BG30" s="229">
        <v>-0.30769999999999997</v>
      </c>
      <c r="BH30" s="230">
        <v>3407000</v>
      </c>
      <c r="BI30" s="230">
        <v>3680000</v>
      </c>
      <c r="BJ30" s="230">
        <v>-273000</v>
      </c>
      <c r="BK30" s="229">
        <v>-7.4200000000000002E-2</v>
      </c>
      <c r="BL30" s="230">
        <v>2512500</v>
      </c>
      <c r="BM30" s="230">
        <v>1607000</v>
      </c>
      <c r="BN30" s="230">
        <v>905500</v>
      </c>
      <c r="BO30" s="229">
        <v>0.5635</v>
      </c>
      <c r="BP30" s="230">
        <v>7153000</v>
      </c>
      <c r="BQ30" s="230">
        <v>6660000</v>
      </c>
      <c r="BR30" s="230">
        <v>493000</v>
      </c>
      <c r="BS30" s="229">
        <v>7.3999999999999996E-2</v>
      </c>
      <c r="BT30" s="230">
        <v>450035</v>
      </c>
      <c r="BU30" s="230">
        <v>287755</v>
      </c>
      <c r="BV30" s="230">
        <v>162280</v>
      </c>
      <c r="BW30" s="229">
        <v>0.56399999999999995</v>
      </c>
      <c r="BX30" s="230">
        <v>7968000</v>
      </c>
      <c r="BY30" s="230">
        <v>7913000</v>
      </c>
      <c r="BZ30" s="230">
        <v>55000</v>
      </c>
      <c r="CA30" s="229">
        <v>7.0000000000000001E-3</v>
      </c>
      <c r="CB30" s="230">
        <v>7181000</v>
      </c>
      <c r="CC30" s="230">
        <v>7221500</v>
      </c>
      <c r="CD30" s="230">
        <v>-40500</v>
      </c>
      <c r="CE30" s="229">
        <v>-5.5999999999999999E-3</v>
      </c>
      <c r="CF30" s="230">
        <v>720500</v>
      </c>
      <c r="CG30" s="230">
        <v>625000</v>
      </c>
      <c r="CH30" s="230">
        <v>95500</v>
      </c>
      <c r="CI30" s="229">
        <v>0.15279999999999999</v>
      </c>
      <c r="CJ30" s="230">
        <v>66500</v>
      </c>
      <c r="CK30" s="230">
        <v>66500</v>
      </c>
      <c r="CL30" s="228">
        <v>0</v>
      </c>
      <c r="CM30" s="229">
        <v>0</v>
      </c>
      <c r="CN30" s="230">
        <v>3592500</v>
      </c>
      <c r="CO30" s="230">
        <v>3607500</v>
      </c>
      <c r="CP30" s="230">
        <v>-15000</v>
      </c>
      <c r="CQ30" s="229">
        <v>-4.1999999999999997E-3</v>
      </c>
      <c r="CR30" s="230">
        <v>2273000</v>
      </c>
      <c r="CS30" s="230">
        <v>2253500</v>
      </c>
      <c r="CT30" s="230">
        <v>19500</v>
      </c>
      <c r="CU30" s="229">
        <v>8.6999999999999994E-3</v>
      </c>
      <c r="CV30" s="230">
        <v>13833500</v>
      </c>
      <c r="CW30" s="230">
        <v>13774000</v>
      </c>
      <c r="CX30" s="230">
        <v>59500</v>
      </c>
      <c r="CY30" s="229">
        <v>4.3E-3</v>
      </c>
      <c r="CZ30" s="228">
        <v>23.34</v>
      </c>
      <c r="DA30" s="228">
        <v>24</v>
      </c>
      <c r="DB30" s="228">
        <v>-0.66</v>
      </c>
      <c r="DC30" s="228">
        <v>-0.66</v>
      </c>
      <c r="DD30" s="228">
        <v>37.06</v>
      </c>
      <c r="DE30" s="228">
        <v>37.15</v>
      </c>
      <c r="DF30" s="228">
        <v>-13.72</v>
      </c>
      <c r="DG30" s="228">
        <v>-0.09</v>
      </c>
      <c r="DH30" s="228">
        <v>23.04</v>
      </c>
      <c r="DI30" s="228">
        <v>23.78</v>
      </c>
      <c r="DJ30" s="228">
        <v>-0.74</v>
      </c>
      <c r="DK30" s="228">
        <v>-0.74</v>
      </c>
      <c r="DL30" s="228">
        <v>23.76</v>
      </c>
      <c r="DM30" s="228">
        <v>24.51</v>
      </c>
      <c r="DN30" s="228">
        <v>-0.75</v>
      </c>
      <c r="DO30" s="228">
        <v>-0.75</v>
      </c>
      <c r="DP30" s="228">
        <v>0.63</v>
      </c>
      <c r="DQ30" s="228">
        <v>0.62</v>
      </c>
      <c r="DR30" s="228">
        <v>0.01</v>
      </c>
      <c r="DS30" s="229">
        <v>1.61E-2</v>
      </c>
      <c r="DT30" s="231">
        <v>1400</v>
      </c>
      <c r="DU30" s="231">
        <v>1400</v>
      </c>
      <c r="DV30" s="228">
        <v>0.74</v>
      </c>
      <c r="DW30" s="228">
        <v>0.44</v>
      </c>
      <c r="DX30" s="228">
        <v>0.3</v>
      </c>
      <c r="DY30" s="229">
        <v>0.68179999999999996</v>
      </c>
      <c r="DZ30" s="229">
        <v>9.8799999999999999E-2</v>
      </c>
      <c r="EA30" s="230">
        <v>691500</v>
      </c>
      <c r="EB30" s="229">
        <v>4.4999999999999997E-3</v>
      </c>
      <c r="EC30" s="229">
        <v>9.8799999999999999E-2</v>
      </c>
      <c r="ED30" s="228">
        <v>7.72</v>
      </c>
      <c r="EE30" s="229">
        <v>5.4999999999999997E-3</v>
      </c>
      <c r="EF30" s="230">
        <v>187870</v>
      </c>
      <c r="EG30" s="230">
        <v>101321</v>
      </c>
      <c r="EH30" s="229">
        <v>0.85419999999999996</v>
      </c>
      <c r="EI30" s="229">
        <v>0.41749999999999998</v>
      </c>
      <c r="EJ30" s="231">
        <v>49391.35</v>
      </c>
      <c r="EK30" s="231">
        <v>34808.550000000003</v>
      </c>
      <c r="EL30" s="231">
        <v>17338.95</v>
      </c>
      <c r="EM30" s="231">
        <v>2985</v>
      </c>
      <c r="EN30" s="231">
        <v>101538.85</v>
      </c>
      <c r="EO30" s="231">
        <v>95308.23</v>
      </c>
      <c r="EP30" s="231">
        <v>6230.62</v>
      </c>
      <c r="EQ30" s="229">
        <v>6.54E-2</v>
      </c>
      <c r="ER30" s="231">
        <v>52638</v>
      </c>
      <c r="ES30" s="231">
        <v>30867</v>
      </c>
      <c r="ET30" s="231">
        <v>112385</v>
      </c>
      <c r="EU30" s="231">
        <v>35155737</v>
      </c>
      <c r="EV30" s="231">
        <v>195889</v>
      </c>
      <c r="EW30" s="231">
        <v>195616</v>
      </c>
      <c r="EX30" s="228">
        <v>273</v>
      </c>
      <c r="EY30" s="229">
        <v>1.4E-3</v>
      </c>
      <c r="EZ30" s="229">
        <v>0.39350000000000002</v>
      </c>
      <c r="FA30" s="227" t="s">
        <v>567</v>
      </c>
      <c r="FB30" s="161">
        <f t="shared" si="0"/>
        <v>787000</v>
      </c>
    </row>
    <row r="31" spans="1:158" ht="17.25" hidden="1" thickBot="1" x14ac:dyDescent="0.3">
      <c r="A31" s="226">
        <v>46009</v>
      </c>
      <c r="B31" s="227" t="s">
        <v>188</v>
      </c>
      <c r="C31" s="227" t="s">
        <v>189</v>
      </c>
      <c r="D31" s="228">
        <v>475</v>
      </c>
      <c r="E31" s="231">
        <v>2095.1999999999998</v>
      </c>
      <c r="F31" s="231">
        <v>2109.1</v>
      </c>
      <c r="G31" s="228">
        <v>-13.9</v>
      </c>
      <c r="H31" s="229">
        <v>-6.6E-3</v>
      </c>
      <c r="I31" s="231">
        <v>2092</v>
      </c>
      <c r="J31" s="231">
        <v>2108</v>
      </c>
      <c r="K31" s="228">
        <v>-16</v>
      </c>
      <c r="L31" s="229">
        <v>-7.6E-3</v>
      </c>
      <c r="M31" s="231">
        <v>2095.1999999999998</v>
      </c>
      <c r="N31" s="231">
        <v>2109.1</v>
      </c>
      <c r="O31" s="228">
        <v>-13.9</v>
      </c>
      <c r="P31" s="229">
        <v>-6.6E-3</v>
      </c>
      <c r="Q31" s="231">
        <v>2109.4</v>
      </c>
      <c r="R31" s="231">
        <v>2122.5</v>
      </c>
      <c r="S31" s="228">
        <v>-13.1</v>
      </c>
      <c r="T31" s="229">
        <v>-6.1999999999999998E-3</v>
      </c>
      <c r="U31" s="231">
        <v>2121.6</v>
      </c>
      <c r="V31" s="231">
        <v>2135</v>
      </c>
      <c r="W31" s="228">
        <v>-13.4</v>
      </c>
      <c r="X31" s="229">
        <v>-6.3E-3</v>
      </c>
      <c r="Y31" s="228">
        <v>3.2</v>
      </c>
      <c r="Z31" s="228">
        <v>1.1000000000000001</v>
      </c>
      <c r="AA31" s="228">
        <v>2.1</v>
      </c>
      <c r="AB31" s="229">
        <v>1.5E-3</v>
      </c>
      <c r="AC31" s="228">
        <v>3.2</v>
      </c>
      <c r="AD31" s="228">
        <v>1.1000000000000001</v>
      </c>
      <c r="AE31" s="228">
        <v>2.1</v>
      </c>
      <c r="AF31" s="229">
        <v>1.5E-3</v>
      </c>
      <c r="AG31" s="228">
        <v>17.399999999999999</v>
      </c>
      <c r="AH31" s="228">
        <v>14.5</v>
      </c>
      <c r="AI31" s="228">
        <v>2.9</v>
      </c>
      <c r="AJ31" s="229">
        <v>8.3000000000000001E-3</v>
      </c>
      <c r="AK31" s="228">
        <v>29.6</v>
      </c>
      <c r="AL31" s="228">
        <v>27</v>
      </c>
      <c r="AM31" s="228">
        <v>2.6</v>
      </c>
      <c r="AN31" s="229">
        <v>1.41E-2</v>
      </c>
      <c r="AO31" s="231">
        <v>2103.46</v>
      </c>
      <c r="AP31" s="231">
        <v>2118.31</v>
      </c>
      <c r="AQ31" s="228">
        <v>0</v>
      </c>
      <c r="AR31" s="230">
        <v>5247325</v>
      </c>
      <c r="AS31" s="230">
        <v>4034650</v>
      </c>
      <c r="AT31" s="230">
        <v>1212675</v>
      </c>
      <c r="AU31" s="229">
        <v>0.30059999999999998</v>
      </c>
      <c r="AV31" s="230">
        <v>3591000</v>
      </c>
      <c r="AW31" s="230">
        <v>3455150</v>
      </c>
      <c r="AX31" s="230">
        <v>135850</v>
      </c>
      <c r="AY31" s="229">
        <v>3.9300000000000002E-2</v>
      </c>
      <c r="AZ31" s="230">
        <v>1618325</v>
      </c>
      <c r="BA31" s="230">
        <v>574275</v>
      </c>
      <c r="BB31" s="230">
        <v>1044050</v>
      </c>
      <c r="BC31" s="229">
        <v>1.8180000000000001</v>
      </c>
      <c r="BD31" s="230">
        <v>38000</v>
      </c>
      <c r="BE31" s="230">
        <v>5225</v>
      </c>
      <c r="BF31" s="230">
        <v>32775</v>
      </c>
      <c r="BG31" s="229">
        <v>6.2727000000000004</v>
      </c>
      <c r="BH31" s="230">
        <v>16976500</v>
      </c>
      <c r="BI31" s="230">
        <v>21973500</v>
      </c>
      <c r="BJ31" s="230">
        <v>-4997000</v>
      </c>
      <c r="BK31" s="229">
        <v>-0.22739999999999999</v>
      </c>
      <c r="BL31" s="230">
        <v>8811725</v>
      </c>
      <c r="BM31" s="230">
        <v>11213800</v>
      </c>
      <c r="BN31" s="230">
        <v>-2402075</v>
      </c>
      <c r="BO31" s="229">
        <v>-0.2142</v>
      </c>
      <c r="BP31" s="230">
        <v>31035550</v>
      </c>
      <c r="BQ31" s="230">
        <v>37221950</v>
      </c>
      <c r="BR31" s="230">
        <v>-6186400</v>
      </c>
      <c r="BS31" s="229">
        <v>-0.16619999999999999</v>
      </c>
      <c r="BT31" s="230">
        <v>4410359</v>
      </c>
      <c r="BU31" s="230">
        <v>6493502</v>
      </c>
      <c r="BV31" s="230">
        <v>-2083143</v>
      </c>
      <c r="BW31" s="229">
        <v>-0.32079999999999997</v>
      </c>
      <c r="BX31" s="230">
        <v>47034500</v>
      </c>
      <c r="BY31" s="230">
        <v>46579450</v>
      </c>
      <c r="BZ31" s="230">
        <v>455050</v>
      </c>
      <c r="CA31" s="229">
        <v>9.7999999999999997E-3</v>
      </c>
      <c r="CB31" s="230">
        <v>40740750</v>
      </c>
      <c r="CC31" s="230">
        <v>41700725</v>
      </c>
      <c r="CD31" s="230">
        <v>-959975</v>
      </c>
      <c r="CE31" s="229">
        <v>-2.3E-2</v>
      </c>
      <c r="CF31" s="230">
        <v>5994975</v>
      </c>
      <c r="CG31" s="230">
        <v>4583750</v>
      </c>
      <c r="CH31" s="230">
        <v>1411225</v>
      </c>
      <c r="CI31" s="229">
        <v>0.30790000000000001</v>
      </c>
      <c r="CJ31" s="230">
        <v>298775</v>
      </c>
      <c r="CK31" s="230">
        <v>294975</v>
      </c>
      <c r="CL31" s="230">
        <v>3800</v>
      </c>
      <c r="CM31" s="229">
        <v>1.29E-2</v>
      </c>
      <c r="CN31" s="230">
        <v>19322525</v>
      </c>
      <c r="CO31" s="230">
        <v>19246050</v>
      </c>
      <c r="CP31" s="230">
        <v>76475</v>
      </c>
      <c r="CQ31" s="229">
        <v>4.0000000000000001E-3</v>
      </c>
      <c r="CR31" s="230">
        <v>9387425</v>
      </c>
      <c r="CS31" s="230">
        <v>9595000</v>
      </c>
      <c r="CT31" s="230">
        <v>-207575</v>
      </c>
      <c r="CU31" s="229">
        <v>-2.1600000000000001E-2</v>
      </c>
      <c r="CV31" s="230">
        <v>75744450</v>
      </c>
      <c r="CW31" s="230">
        <v>75420500</v>
      </c>
      <c r="CX31" s="230">
        <v>323950</v>
      </c>
      <c r="CY31" s="229">
        <v>4.3E-3</v>
      </c>
      <c r="CZ31" s="228">
        <v>15.97</v>
      </c>
      <c r="DA31" s="228">
        <v>16.13</v>
      </c>
      <c r="DB31" s="228">
        <v>-0.16</v>
      </c>
      <c r="DC31" s="228">
        <v>-0.16</v>
      </c>
      <c r="DD31" s="228">
        <v>24.55</v>
      </c>
      <c r="DE31" s="228">
        <v>24.59</v>
      </c>
      <c r="DF31" s="228">
        <v>-8.58</v>
      </c>
      <c r="DG31" s="228">
        <v>-0.04</v>
      </c>
      <c r="DH31" s="228">
        <v>16.22</v>
      </c>
      <c r="DI31" s="228">
        <v>15.98</v>
      </c>
      <c r="DJ31" s="228">
        <v>0.24</v>
      </c>
      <c r="DK31" s="228">
        <v>0.24</v>
      </c>
      <c r="DL31" s="228">
        <v>15.5</v>
      </c>
      <c r="DM31" s="228">
        <v>16.41</v>
      </c>
      <c r="DN31" s="228">
        <v>-0.91</v>
      </c>
      <c r="DO31" s="228">
        <v>-0.91</v>
      </c>
      <c r="DP31" s="228">
        <v>0.49</v>
      </c>
      <c r="DQ31" s="228">
        <v>0.5</v>
      </c>
      <c r="DR31" s="228">
        <v>-0.01</v>
      </c>
      <c r="DS31" s="229">
        <v>-0.02</v>
      </c>
      <c r="DT31" s="231">
        <v>2100</v>
      </c>
      <c r="DU31" s="231">
        <v>2100</v>
      </c>
      <c r="DV31" s="228">
        <v>0.52</v>
      </c>
      <c r="DW31" s="228">
        <v>0.51</v>
      </c>
      <c r="DX31" s="228">
        <v>0.01</v>
      </c>
      <c r="DY31" s="229">
        <v>1.9599999999999999E-2</v>
      </c>
      <c r="DZ31" s="229">
        <v>0.1338</v>
      </c>
      <c r="EA31" s="230">
        <v>4878725</v>
      </c>
      <c r="EB31" s="229">
        <v>6.7999999999999996E-3</v>
      </c>
      <c r="EC31" s="229">
        <v>0.1338</v>
      </c>
      <c r="ED31" s="228">
        <v>14.85</v>
      </c>
      <c r="EE31" s="229">
        <v>7.1000000000000004E-3</v>
      </c>
      <c r="EF31" s="230">
        <v>2540244</v>
      </c>
      <c r="EG31" s="230">
        <v>4295437</v>
      </c>
      <c r="EH31" s="229">
        <v>-0.40860000000000002</v>
      </c>
      <c r="EI31" s="229">
        <v>0.57599999999999996</v>
      </c>
      <c r="EJ31" s="231">
        <v>365409.27</v>
      </c>
      <c r="EK31" s="231">
        <v>183494.9</v>
      </c>
      <c r="EL31" s="231">
        <v>110625.15</v>
      </c>
      <c r="EM31" s="231">
        <v>8874</v>
      </c>
      <c r="EN31" s="231">
        <v>659529.31999999995</v>
      </c>
      <c r="EO31" s="231">
        <v>792377.56</v>
      </c>
      <c r="EP31" s="231">
        <v>-132848.24</v>
      </c>
      <c r="EQ31" s="229">
        <v>-0.16769999999999999</v>
      </c>
      <c r="ER31" s="231">
        <v>418325</v>
      </c>
      <c r="ES31" s="231">
        <v>192582</v>
      </c>
      <c r="ET31" s="231">
        <v>986397</v>
      </c>
      <c r="EU31" s="231">
        <v>314058656</v>
      </c>
      <c r="EV31" s="231">
        <v>1597304</v>
      </c>
      <c r="EW31" s="231">
        <v>1597081</v>
      </c>
      <c r="EX31" s="228">
        <v>223</v>
      </c>
      <c r="EY31" s="229">
        <v>1E-4</v>
      </c>
      <c r="EZ31" s="229">
        <v>0.2412</v>
      </c>
      <c r="FA31" s="227" t="s">
        <v>567</v>
      </c>
      <c r="FB31" s="161">
        <f t="shared" si="0"/>
        <v>6293750</v>
      </c>
    </row>
    <row r="32" spans="1:158" ht="17.25" hidden="1" thickBot="1" x14ac:dyDescent="0.3">
      <c r="A32" s="226">
        <v>46009</v>
      </c>
      <c r="B32" s="227" t="s">
        <v>184</v>
      </c>
      <c r="C32" s="227" t="s">
        <v>190</v>
      </c>
      <c r="D32" s="228">
        <v>2625</v>
      </c>
      <c r="E32" s="228">
        <v>275.5</v>
      </c>
      <c r="F32" s="228">
        <v>278.75</v>
      </c>
      <c r="G32" s="228">
        <v>-3.25</v>
      </c>
      <c r="H32" s="229">
        <v>-1.17E-2</v>
      </c>
      <c r="I32" s="228">
        <v>275.05</v>
      </c>
      <c r="J32" s="228">
        <v>277.85000000000002</v>
      </c>
      <c r="K32" s="228">
        <v>-2.8</v>
      </c>
      <c r="L32" s="229">
        <v>-1.01E-2</v>
      </c>
      <c r="M32" s="228">
        <v>275.5</v>
      </c>
      <c r="N32" s="228">
        <v>278.75</v>
      </c>
      <c r="O32" s="228">
        <v>-3.25</v>
      </c>
      <c r="P32" s="229">
        <v>-1.17E-2</v>
      </c>
      <c r="Q32" s="228">
        <v>277.45</v>
      </c>
      <c r="R32" s="228">
        <v>280.55</v>
      </c>
      <c r="S32" s="228">
        <v>-3.1</v>
      </c>
      <c r="T32" s="229">
        <v>-1.0999999999999999E-2</v>
      </c>
      <c r="U32" s="228">
        <v>278.5</v>
      </c>
      <c r="V32" s="228">
        <v>280.64999999999998</v>
      </c>
      <c r="W32" s="228">
        <v>-2.15</v>
      </c>
      <c r="X32" s="229">
        <v>-7.7000000000000002E-3</v>
      </c>
      <c r="Y32" s="228">
        <v>0.45</v>
      </c>
      <c r="Z32" s="228">
        <v>0.9</v>
      </c>
      <c r="AA32" s="228">
        <v>-0.45</v>
      </c>
      <c r="AB32" s="229">
        <v>1.6000000000000001E-3</v>
      </c>
      <c r="AC32" s="228">
        <v>0.45</v>
      </c>
      <c r="AD32" s="228">
        <v>0.9</v>
      </c>
      <c r="AE32" s="228">
        <v>-0.45</v>
      </c>
      <c r="AF32" s="229">
        <v>1.6000000000000001E-3</v>
      </c>
      <c r="AG32" s="228">
        <v>2.4</v>
      </c>
      <c r="AH32" s="228">
        <v>2.7</v>
      </c>
      <c r="AI32" s="228">
        <v>-0.3</v>
      </c>
      <c r="AJ32" s="229">
        <v>8.6999999999999994E-3</v>
      </c>
      <c r="AK32" s="228">
        <v>3.45</v>
      </c>
      <c r="AL32" s="228">
        <v>2.8</v>
      </c>
      <c r="AM32" s="228">
        <v>0.65</v>
      </c>
      <c r="AN32" s="229">
        <v>1.2500000000000001E-2</v>
      </c>
      <c r="AO32" s="228">
        <v>274.45</v>
      </c>
      <c r="AP32" s="228">
        <v>276.58</v>
      </c>
      <c r="AQ32" s="228">
        <v>0</v>
      </c>
      <c r="AR32" s="230">
        <v>11576250</v>
      </c>
      <c r="AS32" s="230">
        <v>7980000</v>
      </c>
      <c r="AT32" s="230">
        <v>3596250</v>
      </c>
      <c r="AU32" s="229">
        <v>0.45069999999999999</v>
      </c>
      <c r="AV32" s="230">
        <v>9557625</v>
      </c>
      <c r="AW32" s="230">
        <v>6974625</v>
      </c>
      <c r="AX32" s="230">
        <v>2583000</v>
      </c>
      <c r="AY32" s="229">
        <v>0.37030000000000002</v>
      </c>
      <c r="AZ32" s="230">
        <v>1918875</v>
      </c>
      <c r="BA32" s="230">
        <v>950250</v>
      </c>
      <c r="BB32" s="230">
        <v>968625</v>
      </c>
      <c r="BC32" s="229">
        <v>1.0193000000000001</v>
      </c>
      <c r="BD32" s="230">
        <v>99750</v>
      </c>
      <c r="BE32" s="230">
        <v>55125</v>
      </c>
      <c r="BF32" s="230">
        <v>44625</v>
      </c>
      <c r="BG32" s="229">
        <v>0.8095</v>
      </c>
      <c r="BH32" s="230">
        <v>59905125</v>
      </c>
      <c r="BI32" s="230">
        <v>39921000</v>
      </c>
      <c r="BJ32" s="230">
        <v>19984125</v>
      </c>
      <c r="BK32" s="229">
        <v>0.50060000000000004</v>
      </c>
      <c r="BL32" s="230">
        <v>27510000</v>
      </c>
      <c r="BM32" s="230">
        <v>12804750</v>
      </c>
      <c r="BN32" s="230">
        <v>14705250</v>
      </c>
      <c r="BO32" s="229">
        <v>1.1484000000000001</v>
      </c>
      <c r="BP32" s="230">
        <v>98991375</v>
      </c>
      <c r="BQ32" s="230">
        <v>60705750</v>
      </c>
      <c r="BR32" s="230">
        <v>38285625</v>
      </c>
      <c r="BS32" s="229">
        <v>0.63070000000000004</v>
      </c>
      <c r="BT32" s="230">
        <v>4479083</v>
      </c>
      <c r="BU32" s="230">
        <v>3358254</v>
      </c>
      <c r="BV32" s="230">
        <v>1120829</v>
      </c>
      <c r="BW32" s="229">
        <v>0.33379999999999999</v>
      </c>
      <c r="BX32" s="230">
        <v>64501500</v>
      </c>
      <c r="BY32" s="230">
        <v>63619500</v>
      </c>
      <c r="BZ32" s="230">
        <v>882000</v>
      </c>
      <c r="CA32" s="229">
        <v>1.3899999999999999E-2</v>
      </c>
      <c r="CB32" s="230">
        <v>59485125</v>
      </c>
      <c r="CC32" s="230">
        <v>59503500</v>
      </c>
      <c r="CD32" s="230">
        <v>-18375</v>
      </c>
      <c r="CE32" s="229">
        <v>-2.9999999999999997E-4</v>
      </c>
      <c r="CF32" s="230">
        <v>4475625</v>
      </c>
      <c r="CG32" s="230">
        <v>3596250</v>
      </c>
      <c r="CH32" s="230">
        <v>879375</v>
      </c>
      <c r="CI32" s="229">
        <v>0.2445</v>
      </c>
      <c r="CJ32" s="230">
        <v>540750</v>
      </c>
      <c r="CK32" s="230">
        <v>519750</v>
      </c>
      <c r="CL32" s="230">
        <v>21000</v>
      </c>
      <c r="CM32" s="229">
        <v>4.0399999999999998E-2</v>
      </c>
      <c r="CN32" s="230">
        <v>53849250</v>
      </c>
      <c r="CO32" s="230">
        <v>52179750</v>
      </c>
      <c r="CP32" s="230">
        <v>1669500</v>
      </c>
      <c r="CQ32" s="229">
        <v>3.2000000000000001E-2</v>
      </c>
      <c r="CR32" s="230">
        <v>24979500</v>
      </c>
      <c r="CS32" s="230">
        <v>24898125</v>
      </c>
      <c r="CT32" s="230">
        <v>81375</v>
      </c>
      <c r="CU32" s="229">
        <v>3.3E-3</v>
      </c>
      <c r="CV32" s="230">
        <v>143330250</v>
      </c>
      <c r="CW32" s="230">
        <v>140697375</v>
      </c>
      <c r="CX32" s="230">
        <v>2632875</v>
      </c>
      <c r="CY32" s="229">
        <v>1.8700000000000001E-2</v>
      </c>
      <c r="CZ32" s="228">
        <v>27.84</v>
      </c>
      <c r="DA32" s="228">
        <v>28.95</v>
      </c>
      <c r="DB32" s="228">
        <v>-1.1100000000000001</v>
      </c>
      <c r="DC32" s="228">
        <v>-1.1100000000000001</v>
      </c>
      <c r="DD32" s="228">
        <v>44.25</v>
      </c>
      <c r="DE32" s="228">
        <v>44.34</v>
      </c>
      <c r="DF32" s="228">
        <v>-16.41</v>
      </c>
      <c r="DG32" s="228">
        <v>-0.09</v>
      </c>
      <c r="DH32" s="228">
        <v>28.23</v>
      </c>
      <c r="DI32" s="228">
        <v>29.41</v>
      </c>
      <c r="DJ32" s="228">
        <v>-1.18</v>
      </c>
      <c r="DK32" s="228">
        <v>-1.18</v>
      </c>
      <c r="DL32" s="228">
        <v>26.97</v>
      </c>
      <c r="DM32" s="228">
        <v>27.51</v>
      </c>
      <c r="DN32" s="228">
        <v>-0.54</v>
      </c>
      <c r="DO32" s="228">
        <v>-0.54</v>
      </c>
      <c r="DP32" s="228">
        <v>0.46</v>
      </c>
      <c r="DQ32" s="228">
        <v>0.48</v>
      </c>
      <c r="DR32" s="228">
        <v>-0.02</v>
      </c>
      <c r="DS32" s="229">
        <v>-4.1700000000000001E-2</v>
      </c>
      <c r="DT32" s="228">
        <v>300</v>
      </c>
      <c r="DU32" s="228">
        <v>260</v>
      </c>
      <c r="DV32" s="228">
        <v>0.46</v>
      </c>
      <c r="DW32" s="228">
        <v>0.32</v>
      </c>
      <c r="DX32" s="228">
        <v>0.14000000000000001</v>
      </c>
      <c r="DY32" s="229">
        <v>0.4375</v>
      </c>
      <c r="DZ32" s="229">
        <v>7.7799999999999994E-2</v>
      </c>
      <c r="EA32" s="230">
        <v>4116000</v>
      </c>
      <c r="EB32" s="229">
        <v>7.1000000000000004E-3</v>
      </c>
      <c r="EC32" s="229">
        <v>7.7799999999999994E-2</v>
      </c>
      <c r="ED32" s="228">
        <v>2.13</v>
      </c>
      <c r="EE32" s="229">
        <v>7.7999999999999996E-3</v>
      </c>
      <c r="EF32" s="230">
        <v>998770</v>
      </c>
      <c r="EG32" s="230">
        <v>846697</v>
      </c>
      <c r="EH32" s="229">
        <v>0.17960000000000001</v>
      </c>
      <c r="EI32" s="229">
        <v>0.223</v>
      </c>
      <c r="EJ32" s="231">
        <v>173688.43</v>
      </c>
      <c r="EK32" s="231">
        <v>75295.67</v>
      </c>
      <c r="EL32" s="231">
        <v>31815.13</v>
      </c>
      <c r="EM32" s="231">
        <v>4898</v>
      </c>
      <c r="EN32" s="231">
        <v>280799.23</v>
      </c>
      <c r="EO32" s="231">
        <v>174571.08</v>
      </c>
      <c r="EP32" s="231">
        <v>106228.15</v>
      </c>
      <c r="EQ32" s="229">
        <v>0.60850000000000004</v>
      </c>
      <c r="ER32" s="231">
        <v>158846</v>
      </c>
      <c r="ES32" s="231">
        <v>67840</v>
      </c>
      <c r="ET32" s="231">
        <v>177805</v>
      </c>
      <c r="EU32" s="231">
        <v>169029877</v>
      </c>
      <c r="EV32" s="231">
        <v>404491</v>
      </c>
      <c r="EW32" s="231">
        <v>399403</v>
      </c>
      <c r="EX32" s="231">
        <v>5088</v>
      </c>
      <c r="EY32" s="229">
        <v>1.2699999999999999E-2</v>
      </c>
      <c r="EZ32" s="229">
        <v>0.84799999999999998</v>
      </c>
      <c r="FA32" s="227" t="s">
        <v>567</v>
      </c>
      <c r="FB32" s="161">
        <f t="shared" si="0"/>
        <v>5016375</v>
      </c>
    </row>
    <row r="33" spans="1:158" ht="17.25" hidden="1" thickBot="1" x14ac:dyDescent="0.3">
      <c r="A33" s="226">
        <v>46009</v>
      </c>
      <c r="B33" s="227" t="s">
        <v>170</v>
      </c>
      <c r="C33" s="227" t="s">
        <v>191</v>
      </c>
      <c r="D33" s="228">
        <v>2500</v>
      </c>
      <c r="E33" s="228">
        <v>393.55</v>
      </c>
      <c r="F33" s="228">
        <v>386.85</v>
      </c>
      <c r="G33" s="228">
        <v>6.7</v>
      </c>
      <c r="H33" s="229">
        <v>1.7299999999999999E-2</v>
      </c>
      <c r="I33" s="228">
        <v>392.25</v>
      </c>
      <c r="J33" s="228">
        <v>386.1</v>
      </c>
      <c r="K33" s="228">
        <v>6.15</v>
      </c>
      <c r="L33" s="229">
        <v>1.5900000000000001E-2</v>
      </c>
      <c r="M33" s="228">
        <v>393.55</v>
      </c>
      <c r="N33" s="228">
        <v>386.85</v>
      </c>
      <c r="O33" s="228">
        <v>6.7</v>
      </c>
      <c r="P33" s="229">
        <v>1.7299999999999999E-2</v>
      </c>
      <c r="Q33" s="228">
        <v>395.6</v>
      </c>
      <c r="R33" s="228">
        <v>389.4</v>
      </c>
      <c r="S33" s="228">
        <v>6.2</v>
      </c>
      <c r="T33" s="229">
        <v>1.5900000000000001E-2</v>
      </c>
      <c r="U33" s="228">
        <v>397.05</v>
      </c>
      <c r="V33" s="228">
        <v>391.5</v>
      </c>
      <c r="W33" s="228">
        <v>5.55</v>
      </c>
      <c r="X33" s="229">
        <v>1.4200000000000001E-2</v>
      </c>
      <c r="Y33" s="228">
        <v>1.3</v>
      </c>
      <c r="Z33" s="228">
        <v>0.75</v>
      </c>
      <c r="AA33" s="228">
        <v>0.55000000000000004</v>
      </c>
      <c r="AB33" s="229">
        <v>3.3E-3</v>
      </c>
      <c r="AC33" s="228">
        <v>1.3</v>
      </c>
      <c r="AD33" s="228">
        <v>0.75</v>
      </c>
      <c r="AE33" s="228">
        <v>0.55000000000000004</v>
      </c>
      <c r="AF33" s="229">
        <v>3.3E-3</v>
      </c>
      <c r="AG33" s="228">
        <v>3.35</v>
      </c>
      <c r="AH33" s="228">
        <v>3.3</v>
      </c>
      <c r="AI33" s="228">
        <v>0.05</v>
      </c>
      <c r="AJ33" s="229">
        <v>8.5000000000000006E-3</v>
      </c>
      <c r="AK33" s="228">
        <v>4.8</v>
      </c>
      <c r="AL33" s="228">
        <v>5.4</v>
      </c>
      <c r="AM33" s="228">
        <v>-0.6</v>
      </c>
      <c r="AN33" s="229">
        <v>1.2200000000000001E-2</v>
      </c>
      <c r="AO33" s="228">
        <v>392.56</v>
      </c>
      <c r="AP33" s="228">
        <v>395.91</v>
      </c>
      <c r="AQ33" s="228">
        <v>0</v>
      </c>
      <c r="AR33" s="230">
        <v>10057500</v>
      </c>
      <c r="AS33" s="230">
        <v>3705000</v>
      </c>
      <c r="AT33" s="230">
        <v>6352500</v>
      </c>
      <c r="AU33" s="229">
        <v>1.7145999999999999</v>
      </c>
      <c r="AV33" s="230">
        <v>7962500</v>
      </c>
      <c r="AW33" s="230">
        <v>3220000</v>
      </c>
      <c r="AX33" s="230">
        <v>4742500</v>
      </c>
      <c r="AY33" s="229">
        <v>1.4728000000000001</v>
      </c>
      <c r="AZ33" s="230">
        <v>2005000</v>
      </c>
      <c r="BA33" s="230">
        <v>465000</v>
      </c>
      <c r="BB33" s="230">
        <v>1540000</v>
      </c>
      <c r="BC33" s="229">
        <v>3.3117999999999999</v>
      </c>
      <c r="BD33" s="230">
        <v>90000</v>
      </c>
      <c r="BE33" s="230">
        <v>20000</v>
      </c>
      <c r="BF33" s="230">
        <v>70000</v>
      </c>
      <c r="BG33" s="229">
        <v>3.5</v>
      </c>
      <c r="BH33" s="230">
        <v>39610000</v>
      </c>
      <c r="BI33" s="230">
        <v>18440000</v>
      </c>
      <c r="BJ33" s="230">
        <v>21170000</v>
      </c>
      <c r="BK33" s="229">
        <v>1.1479999999999999</v>
      </c>
      <c r="BL33" s="230">
        <v>17845000</v>
      </c>
      <c r="BM33" s="230">
        <v>6217500</v>
      </c>
      <c r="BN33" s="230">
        <v>11627500</v>
      </c>
      <c r="BO33" s="229">
        <v>1.8701000000000001</v>
      </c>
      <c r="BP33" s="230">
        <v>67512500</v>
      </c>
      <c r="BQ33" s="230">
        <v>28362500</v>
      </c>
      <c r="BR33" s="230">
        <v>39150000</v>
      </c>
      <c r="BS33" s="229">
        <v>1.3803000000000001</v>
      </c>
      <c r="BT33" s="230">
        <v>3877660</v>
      </c>
      <c r="BU33" s="230">
        <v>1340360</v>
      </c>
      <c r="BV33" s="230">
        <v>2537300</v>
      </c>
      <c r="BW33" s="229">
        <v>1.893</v>
      </c>
      <c r="BX33" s="230">
        <v>47705000</v>
      </c>
      <c r="BY33" s="230">
        <v>48540000</v>
      </c>
      <c r="BZ33" s="230">
        <v>-835000</v>
      </c>
      <c r="CA33" s="229">
        <v>-1.72E-2</v>
      </c>
      <c r="CB33" s="230">
        <v>44465000</v>
      </c>
      <c r="CC33" s="230">
        <v>46067500</v>
      </c>
      <c r="CD33" s="230">
        <v>-1602500</v>
      </c>
      <c r="CE33" s="229">
        <v>-3.4799999999999998E-2</v>
      </c>
      <c r="CF33" s="230">
        <v>2982500</v>
      </c>
      <c r="CG33" s="230">
        <v>2230000</v>
      </c>
      <c r="CH33" s="230">
        <v>752500</v>
      </c>
      <c r="CI33" s="229">
        <v>0.33739999999999998</v>
      </c>
      <c r="CJ33" s="230">
        <v>257500</v>
      </c>
      <c r="CK33" s="230">
        <v>242500</v>
      </c>
      <c r="CL33" s="230">
        <v>15000</v>
      </c>
      <c r="CM33" s="229">
        <v>6.1899999999999997E-2</v>
      </c>
      <c r="CN33" s="230">
        <v>31135000</v>
      </c>
      <c r="CO33" s="230">
        <v>32985000</v>
      </c>
      <c r="CP33" s="230">
        <v>-1850000</v>
      </c>
      <c r="CQ33" s="229">
        <v>-5.6099999999999997E-2</v>
      </c>
      <c r="CR33" s="230">
        <v>16207500</v>
      </c>
      <c r="CS33" s="230">
        <v>16707500</v>
      </c>
      <c r="CT33" s="230">
        <v>-500000</v>
      </c>
      <c r="CU33" s="229">
        <v>-2.9899999999999999E-2</v>
      </c>
      <c r="CV33" s="230">
        <v>95047500</v>
      </c>
      <c r="CW33" s="230">
        <v>98232500</v>
      </c>
      <c r="CX33" s="230">
        <v>-3185000</v>
      </c>
      <c r="CY33" s="229">
        <v>-3.2399999999999998E-2</v>
      </c>
      <c r="CZ33" s="228">
        <v>25.07</v>
      </c>
      <c r="DA33" s="228">
        <v>25.88</v>
      </c>
      <c r="DB33" s="228">
        <v>-0.81</v>
      </c>
      <c r="DC33" s="228">
        <v>-0.81</v>
      </c>
      <c r="DD33" s="228">
        <v>38.53</v>
      </c>
      <c r="DE33" s="228">
        <v>38.56</v>
      </c>
      <c r="DF33" s="228">
        <v>-13.46</v>
      </c>
      <c r="DG33" s="228">
        <v>-0.03</v>
      </c>
      <c r="DH33" s="228">
        <v>24.74</v>
      </c>
      <c r="DI33" s="228">
        <v>26.3</v>
      </c>
      <c r="DJ33" s="228">
        <v>-1.56</v>
      </c>
      <c r="DK33" s="228">
        <v>-1.56</v>
      </c>
      <c r="DL33" s="228">
        <v>25.81</v>
      </c>
      <c r="DM33" s="228">
        <v>24.62</v>
      </c>
      <c r="DN33" s="228">
        <v>1.19</v>
      </c>
      <c r="DO33" s="228">
        <v>1.19</v>
      </c>
      <c r="DP33" s="228">
        <v>0.52</v>
      </c>
      <c r="DQ33" s="228">
        <v>0.51</v>
      </c>
      <c r="DR33" s="228">
        <v>0.01</v>
      </c>
      <c r="DS33" s="229">
        <v>1.9599999999999999E-2</v>
      </c>
      <c r="DT33" s="228">
        <v>400</v>
      </c>
      <c r="DU33" s="228">
        <v>370</v>
      </c>
      <c r="DV33" s="228">
        <v>0.45</v>
      </c>
      <c r="DW33" s="228">
        <v>0.34</v>
      </c>
      <c r="DX33" s="228">
        <v>0.11</v>
      </c>
      <c r="DY33" s="229">
        <v>0.32350000000000001</v>
      </c>
      <c r="DZ33" s="229">
        <v>6.7900000000000002E-2</v>
      </c>
      <c r="EA33" s="230">
        <v>2472500</v>
      </c>
      <c r="EB33" s="229">
        <v>5.1999999999999998E-3</v>
      </c>
      <c r="EC33" s="229">
        <v>6.7900000000000002E-2</v>
      </c>
      <c r="ED33" s="228">
        <v>3.35</v>
      </c>
      <c r="EE33" s="229">
        <v>8.5000000000000006E-3</v>
      </c>
      <c r="EF33" s="230">
        <v>1820347</v>
      </c>
      <c r="EG33" s="230">
        <v>635232</v>
      </c>
      <c r="EH33" s="229">
        <v>1.8655999999999999</v>
      </c>
      <c r="EI33" s="229">
        <v>0.46939999999999998</v>
      </c>
      <c r="EJ33" s="231">
        <v>160645.4</v>
      </c>
      <c r="EK33" s="231">
        <v>68602.36</v>
      </c>
      <c r="EL33" s="231">
        <v>39554.620000000003</v>
      </c>
      <c r="EM33" s="231">
        <v>2046</v>
      </c>
      <c r="EN33" s="231">
        <v>268802.38</v>
      </c>
      <c r="EO33" s="231">
        <v>113080.15</v>
      </c>
      <c r="EP33" s="231">
        <v>155722.23000000001</v>
      </c>
      <c r="EQ33" s="229">
        <v>1.3771</v>
      </c>
      <c r="ER33" s="231">
        <v>128850</v>
      </c>
      <c r="ES33" s="231">
        <v>61648</v>
      </c>
      <c r="ET33" s="231">
        <v>187813</v>
      </c>
      <c r="EU33" s="231">
        <v>90981174</v>
      </c>
      <c r="EV33" s="231">
        <v>378311</v>
      </c>
      <c r="EW33" s="231">
        <v>387485</v>
      </c>
      <c r="EX33" s="231">
        <v>-9174</v>
      </c>
      <c r="EY33" s="229">
        <v>-2.3699999999999999E-2</v>
      </c>
      <c r="EZ33" s="229">
        <v>1.0447</v>
      </c>
      <c r="FA33" s="227" t="s">
        <v>556</v>
      </c>
      <c r="FB33" s="161">
        <f t="shared" si="0"/>
        <v>3240000</v>
      </c>
    </row>
    <row r="34" spans="1:158" ht="17.25" hidden="1" thickBot="1" x14ac:dyDescent="0.3">
      <c r="A34" s="226">
        <v>46009</v>
      </c>
      <c r="B34" s="227" t="s">
        <v>184</v>
      </c>
      <c r="C34" s="227" t="s">
        <v>680</v>
      </c>
      <c r="D34" s="228">
        <v>325</v>
      </c>
      <c r="E34" s="231">
        <v>1855.3</v>
      </c>
      <c r="F34" s="231">
        <v>1825.9</v>
      </c>
      <c r="G34" s="228">
        <v>29.4</v>
      </c>
      <c r="H34" s="229">
        <v>1.61E-2</v>
      </c>
      <c r="I34" s="231">
        <v>1854.6</v>
      </c>
      <c r="J34" s="231">
        <v>1826.8</v>
      </c>
      <c r="K34" s="228">
        <v>27.8</v>
      </c>
      <c r="L34" s="229">
        <v>1.52E-2</v>
      </c>
      <c r="M34" s="231">
        <v>1855.3</v>
      </c>
      <c r="N34" s="231">
        <v>1825.9</v>
      </c>
      <c r="O34" s="228">
        <v>29.4</v>
      </c>
      <c r="P34" s="229">
        <v>1.61E-2</v>
      </c>
      <c r="Q34" s="231">
        <v>1860</v>
      </c>
      <c r="R34" s="231">
        <v>1830.3</v>
      </c>
      <c r="S34" s="228">
        <v>29.7</v>
      </c>
      <c r="T34" s="229">
        <v>1.6199999999999999E-2</v>
      </c>
      <c r="U34" s="231">
        <v>1745</v>
      </c>
      <c r="V34" s="231">
        <v>1745</v>
      </c>
      <c r="W34" s="228">
        <v>0</v>
      </c>
      <c r="X34" s="229">
        <v>0</v>
      </c>
      <c r="Y34" s="228">
        <v>0.7</v>
      </c>
      <c r="Z34" s="228">
        <v>-0.9</v>
      </c>
      <c r="AA34" s="228">
        <v>1.6</v>
      </c>
      <c r="AB34" s="229">
        <v>4.0000000000000002E-4</v>
      </c>
      <c r="AC34" s="228">
        <v>0.7</v>
      </c>
      <c r="AD34" s="228">
        <v>-0.9</v>
      </c>
      <c r="AE34" s="228">
        <v>1.6</v>
      </c>
      <c r="AF34" s="229">
        <v>4.0000000000000002E-4</v>
      </c>
      <c r="AG34" s="228">
        <v>5.4</v>
      </c>
      <c r="AH34" s="228">
        <v>3.5</v>
      </c>
      <c r="AI34" s="228">
        <v>1.9</v>
      </c>
      <c r="AJ34" s="229">
        <v>2.8999999999999998E-3</v>
      </c>
      <c r="AK34" s="228">
        <v>-109.6</v>
      </c>
      <c r="AL34" s="228">
        <v>-81.8</v>
      </c>
      <c r="AM34" s="228">
        <v>-27.8</v>
      </c>
      <c r="AN34" s="229">
        <v>-5.91E-2</v>
      </c>
      <c r="AO34" s="231">
        <v>1847.85</v>
      </c>
      <c r="AP34" s="231">
        <v>1854.1</v>
      </c>
      <c r="AQ34" s="228">
        <v>0</v>
      </c>
      <c r="AR34" s="230">
        <v>533000</v>
      </c>
      <c r="AS34" s="230">
        <v>264875</v>
      </c>
      <c r="AT34" s="230">
        <v>268125</v>
      </c>
      <c r="AU34" s="229">
        <v>1.0123</v>
      </c>
      <c r="AV34" s="230">
        <v>423800</v>
      </c>
      <c r="AW34" s="230">
        <v>235625</v>
      </c>
      <c r="AX34" s="230">
        <v>188175</v>
      </c>
      <c r="AY34" s="229">
        <v>0.79859999999999998</v>
      </c>
      <c r="AZ34" s="230">
        <v>109200</v>
      </c>
      <c r="BA34" s="230">
        <v>29250</v>
      </c>
      <c r="BB34" s="230">
        <v>79950</v>
      </c>
      <c r="BC34" s="229">
        <v>2.7332999999999998</v>
      </c>
      <c r="BD34" s="228">
        <v>0</v>
      </c>
      <c r="BE34" s="228">
        <v>0</v>
      </c>
      <c r="BF34" s="228">
        <v>0</v>
      </c>
      <c r="BG34" s="229">
        <v>0</v>
      </c>
      <c r="BH34" s="230">
        <v>1729000</v>
      </c>
      <c r="BI34" s="230">
        <v>1029925</v>
      </c>
      <c r="BJ34" s="230">
        <v>699075</v>
      </c>
      <c r="BK34" s="229">
        <v>0.67879999999999996</v>
      </c>
      <c r="BL34" s="230">
        <v>1127100</v>
      </c>
      <c r="BM34" s="230">
        <v>236275</v>
      </c>
      <c r="BN34" s="230">
        <v>890825</v>
      </c>
      <c r="BO34" s="229">
        <v>3.7703000000000002</v>
      </c>
      <c r="BP34" s="230">
        <v>3389100</v>
      </c>
      <c r="BQ34" s="230">
        <v>1531075</v>
      </c>
      <c r="BR34" s="230">
        <v>1858025</v>
      </c>
      <c r="BS34" s="229">
        <v>1.2135</v>
      </c>
      <c r="BT34" s="230">
        <v>264277</v>
      </c>
      <c r="BU34" s="230">
        <v>143765</v>
      </c>
      <c r="BV34" s="230">
        <v>120512</v>
      </c>
      <c r="BW34" s="229">
        <v>0.83830000000000005</v>
      </c>
      <c r="BX34" s="230">
        <v>2475200</v>
      </c>
      <c r="BY34" s="230">
        <v>2390050</v>
      </c>
      <c r="BZ34" s="230">
        <v>85150</v>
      </c>
      <c r="CA34" s="229">
        <v>3.56E-2</v>
      </c>
      <c r="CB34" s="230">
        <v>2239900</v>
      </c>
      <c r="CC34" s="230">
        <v>2199600</v>
      </c>
      <c r="CD34" s="230">
        <v>40300</v>
      </c>
      <c r="CE34" s="229">
        <v>1.83E-2</v>
      </c>
      <c r="CF34" s="230">
        <v>233350</v>
      </c>
      <c r="CG34" s="230">
        <v>188500</v>
      </c>
      <c r="CH34" s="230">
        <v>44850</v>
      </c>
      <c r="CI34" s="229">
        <v>0.2379</v>
      </c>
      <c r="CJ34" s="230">
        <v>1950</v>
      </c>
      <c r="CK34" s="230">
        <v>1950</v>
      </c>
      <c r="CL34" s="228">
        <v>0</v>
      </c>
      <c r="CM34" s="229">
        <v>0</v>
      </c>
      <c r="CN34" s="230">
        <v>608400</v>
      </c>
      <c r="CO34" s="230">
        <v>743925</v>
      </c>
      <c r="CP34" s="230">
        <v>-135525</v>
      </c>
      <c r="CQ34" s="229">
        <v>-0.1822</v>
      </c>
      <c r="CR34" s="230">
        <v>578825</v>
      </c>
      <c r="CS34" s="230">
        <v>520650</v>
      </c>
      <c r="CT34" s="230">
        <v>58175</v>
      </c>
      <c r="CU34" s="229">
        <v>0.11169999999999999</v>
      </c>
      <c r="CV34" s="230">
        <v>3662425</v>
      </c>
      <c r="CW34" s="230">
        <v>3654625</v>
      </c>
      <c r="CX34" s="230">
        <v>7800</v>
      </c>
      <c r="CY34" s="229">
        <v>2.0999999999999999E-3</v>
      </c>
      <c r="CZ34" s="228">
        <v>21.12</v>
      </c>
      <c r="DA34" s="228">
        <v>22.15</v>
      </c>
      <c r="DB34" s="228">
        <v>-1.03</v>
      </c>
      <c r="DC34" s="228">
        <v>-1.03</v>
      </c>
      <c r="DD34" s="228">
        <v>39.82</v>
      </c>
      <c r="DE34" s="228">
        <v>39.869999999999997</v>
      </c>
      <c r="DF34" s="228">
        <v>-18.7</v>
      </c>
      <c r="DG34" s="228">
        <v>-0.05</v>
      </c>
      <c r="DH34" s="228">
        <v>20.81</v>
      </c>
      <c r="DI34" s="228">
        <v>22.26</v>
      </c>
      <c r="DJ34" s="228">
        <v>-1.45</v>
      </c>
      <c r="DK34" s="228">
        <v>-1.45</v>
      </c>
      <c r="DL34" s="228">
        <v>21.6</v>
      </c>
      <c r="DM34" s="228">
        <v>21.68</v>
      </c>
      <c r="DN34" s="228">
        <v>-0.08</v>
      </c>
      <c r="DO34" s="228">
        <v>-0.08</v>
      </c>
      <c r="DP34" s="228">
        <v>0.95</v>
      </c>
      <c r="DQ34" s="228">
        <v>0.7</v>
      </c>
      <c r="DR34" s="228">
        <v>0.25</v>
      </c>
      <c r="DS34" s="229">
        <v>0.35709999999999997</v>
      </c>
      <c r="DT34" s="231">
        <v>1920</v>
      </c>
      <c r="DU34" s="231">
        <v>1800</v>
      </c>
      <c r="DV34" s="228">
        <v>0.65</v>
      </c>
      <c r="DW34" s="228">
        <v>0.23</v>
      </c>
      <c r="DX34" s="228">
        <v>0.42</v>
      </c>
      <c r="DY34" s="229">
        <v>1.8261000000000001</v>
      </c>
      <c r="DZ34" s="229">
        <v>9.5100000000000004E-2</v>
      </c>
      <c r="EA34" s="230">
        <v>190450</v>
      </c>
      <c r="EB34" s="229">
        <v>2.5000000000000001E-3</v>
      </c>
      <c r="EC34" s="229">
        <v>9.5100000000000004E-2</v>
      </c>
      <c r="ED34" s="228">
        <v>6.25</v>
      </c>
      <c r="EE34" s="229">
        <v>3.3999999999999998E-3</v>
      </c>
      <c r="EF34" s="230">
        <v>137889</v>
      </c>
      <c r="EG34" s="230">
        <v>89257</v>
      </c>
      <c r="EH34" s="229">
        <v>0.54490000000000005</v>
      </c>
      <c r="EI34" s="229">
        <v>0.52180000000000004</v>
      </c>
      <c r="EJ34" s="231">
        <v>32894.85</v>
      </c>
      <c r="EK34" s="231">
        <v>19958.43</v>
      </c>
      <c r="EL34" s="231">
        <v>9855.8799999999992</v>
      </c>
      <c r="EM34" s="231">
        <v>1048</v>
      </c>
      <c r="EN34" s="231">
        <v>62709.16</v>
      </c>
      <c r="EO34" s="231">
        <v>28421.75</v>
      </c>
      <c r="EP34" s="231">
        <v>34287.410000000003</v>
      </c>
      <c r="EQ34" s="229">
        <v>1.2063999999999999</v>
      </c>
      <c r="ER34" s="231">
        <v>11418</v>
      </c>
      <c r="ES34" s="231">
        <v>10168</v>
      </c>
      <c r="ET34" s="231">
        <v>45931</v>
      </c>
      <c r="EU34" s="231">
        <v>19584741</v>
      </c>
      <c r="EV34" s="231">
        <v>67517</v>
      </c>
      <c r="EW34" s="231">
        <v>66471</v>
      </c>
      <c r="EX34" s="231">
        <v>1046</v>
      </c>
      <c r="EY34" s="229">
        <v>1.5699999999999999E-2</v>
      </c>
      <c r="EZ34" s="229">
        <v>0.187</v>
      </c>
      <c r="FA34" s="227" t="s">
        <v>555</v>
      </c>
      <c r="FB34" s="161">
        <f t="shared" si="0"/>
        <v>235300</v>
      </c>
    </row>
    <row r="35" spans="1:158" ht="17.25" hidden="1" thickBot="1" x14ac:dyDescent="0.3">
      <c r="A35" s="226">
        <v>46009</v>
      </c>
      <c r="B35" s="227" t="s">
        <v>162</v>
      </c>
      <c r="C35" s="227" t="s">
        <v>192</v>
      </c>
      <c r="D35" s="228">
        <v>25</v>
      </c>
      <c r="E35" s="231">
        <v>35745</v>
      </c>
      <c r="F35" s="231">
        <v>36045</v>
      </c>
      <c r="G35" s="228">
        <v>-300</v>
      </c>
      <c r="H35" s="229">
        <v>-8.3000000000000001E-3</v>
      </c>
      <c r="I35" s="231">
        <v>35720</v>
      </c>
      <c r="J35" s="231">
        <v>35975</v>
      </c>
      <c r="K35" s="228">
        <v>-255</v>
      </c>
      <c r="L35" s="229">
        <v>-7.1000000000000004E-3</v>
      </c>
      <c r="M35" s="231">
        <v>35745</v>
      </c>
      <c r="N35" s="231">
        <v>36045</v>
      </c>
      <c r="O35" s="228">
        <v>-300</v>
      </c>
      <c r="P35" s="229">
        <v>-8.3000000000000001E-3</v>
      </c>
      <c r="Q35" s="231">
        <v>36010</v>
      </c>
      <c r="R35" s="231">
        <v>36275</v>
      </c>
      <c r="S35" s="228">
        <v>-265</v>
      </c>
      <c r="T35" s="229">
        <v>-7.3000000000000001E-3</v>
      </c>
      <c r="U35" s="231">
        <v>36035</v>
      </c>
      <c r="V35" s="231">
        <v>36400</v>
      </c>
      <c r="W35" s="228">
        <v>-365</v>
      </c>
      <c r="X35" s="229">
        <v>-0.01</v>
      </c>
      <c r="Y35" s="228">
        <v>25</v>
      </c>
      <c r="Z35" s="228">
        <v>70</v>
      </c>
      <c r="AA35" s="228">
        <v>-45</v>
      </c>
      <c r="AB35" s="229">
        <v>6.9999999999999999E-4</v>
      </c>
      <c r="AC35" s="228">
        <v>25</v>
      </c>
      <c r="AD35" s="228">
        <v>70</v>
      </c>
      <c r="AE35" s="228">
        <v>-45</v>
      </c>
      <c r="AF35" s="229">
        <v>6.9999999999999999E-4</v>
      </c>
      <c r="AG35" s="228">
        <v>290</v>
      </c>
      <c r="AH35" s="228">
        <v>300</v>
      </c>
      <c r="AI35" s="228">
        <v>-10</v>
      </c>
      <c r="AJ35" s="229">
        <v>8.0999999999999996E-3</v>
      </c>
      <c r="AK35" s="228">
        <v>315</v>
      </c>
      <c r="AL35" s="228">
        <v>425</v>
      </c>
      <c r="AM35" s="228">
        <v>-110</v>
      </c>
      <c r="AN35" s="229">
        <v>8.8000000000000005E-3</v>
      </c>
      <c r="AO35" s="231">
        <v>35799.589999999997</v>
      </c>
      <c r="AP35" s="231">
        <v>35980</v>
      </c>
      <c r="AQ35" s="228">
        <v>0</v>
      </c>
      <c r="AR35" s="230">
        <v>29000</v>
      </c>
      <c r="AS35" s="230">
        <v>20825</v>
      </c>
      <c r="AT35" s="230">
        <v>8175</v>
      </c>
      <c r="AU35" s="229">
        <v>0.3926</v>
      </c>
      <c r="AV35" s="230">
        <v>24375</v>
      </c>
      <c r="AW35" s="230">
        <v>16375</v>
      </c>
      <c r="AX35" s="230">
        <v>8000</v>
      </c>
      <c r="AY35" s="229">
        <v>0.48849999999999999</v>
      </c>
      <c r="AZ35" s="230">
        <v>4550</v>
      </c>
      <c r="BA35" s="230">
        <v>4400</v>
      </c>
      <c r="BB35" s="228">
        <v>150</v>
      </c>
      <c r="BC35" s="229">
        <v>3.4099999999999998E-2</v>
      </c>
      <c r="BD35" s="228">
        <v>75</v>
      </c>
      <c r="BE35" s="228">
        <v>50</v>
      </c>
      <c r="BF35" s="228">
        <v>25</v>
      </c>
      <c r="BG35" s="229">
        <v>0.5</v>
      </c>
      <c r="BH35" s="230">
        <v>127250</v>
      </c>
      <c r="BI35" s="230">
        <v>140550</v>
      </c>
      <c r="BJ35" s="230">
        <v>-13300</v>
      </c>
      <c r="BK35" s="229">
        <v>-9.4600000000000004E-2</v>
      </c>
      <c r="BL35" s="230">
        <v>24950</v>
      </c>
      <c r="BM35" s="230">
        <v>21000</v>
      </c>
      <c r="BN35" s="230">
        <v>3950</v>
      </c>
      <c r="BO35" s="229">
        <v>0.18809999999999999</v>
      </c>
      <c r="BP35" s="230">
        <v>181200</v>
      </c>
      <c r="BQ35" s="230">
        <v>182375</v>
      </c>
      <c r="BR35" s="230">
        <v>-1175</v>
      </c>
      <c r="BS35" s="229">
        <v>-6.4000000000000003E-3</v>
      </c>
      <c r="BT35" s="230">
        <v>10886</v>
      </c>
      <c r="BU35" s="230">
        <v>9458</v>
      </c>
      <c r="BV35" s="230">
        <v>1428</v>
      </c>
      <c r="BW35" s="229">
        <v>0.151</v>
      </c>
      <c r="BX35" s="230">
        <v>211425</v>
      </c>
      <c r="BY35" s="230">
        <v>211875</v>
      </c>
      <c r="BZ35" s="228">
        <v>-450</v>
      </c>
      <c r="CA35" s="229">
        <v>-2.0999999999999999E-3</v>
      </c>
      <c r="CB35" s="230">
        <v>198975</v>
      </c>
      <c r="CC35" s="230">
        <v>201150</v>
      </c>
      <c r="CD35" s="230">
        <v>-2175</v>
      </c>
      <c r="CE35" s="229">
        <v>-1.0800000000000001E-2</v>
      </c>
      <c r="CF35" s="230">
        <v>11950</v>
      </c>
      <c r="CG35" s="230">
        <v>10275</v>
      </c>
      <c r="CH35" s="230">
        <v>1675</v>
      </c>
      <c r="CI35" s="229">
        <v>0.16300000000000001</v>
      </c>
      <c r="CJ35" s="228">
        <v>500</v>
      </c>
      <c r="CK35" s="228">
        <v>450</v>
      </c>
      <c r="CL35" s="228">
        <v>50</v>
      </c>
      <c r="CM35" s="229">
        <v>0.1111</v>
      </c>
      <c r="CN35" s="230">
        <v>97225</v>
      </c>
      <c r="CO35" s="230">
        <v>89125</v>
      </c>
      <c r="CP35" s="230">
        <v>8100</v>
      </c>
      <c r="CQ35" s="229">
        <v>9.0899999999999995E-2</v>
      </c>
      <c r="CR35" s="230">
        <v>42125</v>
      </c>
      <c r="CS35" s="230">
        <v>42525</v>
      </c>
      <c r="CT35" s="228">
        <v>-400</v>
      </c>
      <c r="CU35" s="229">
        <v>-9.4000000000000004E-3</v>
      </c>
      <c r="CV35" s="230">
        <v>350775</v>
      </c>
      <c r="CW35" s="230">
        <v>343525</v>
      </c>
      <c r="CX35" s="230">
        <v>7250</v>
      </c>
      <c r="CY35" s="229">
        <v>2.1100000000000001E-2</v>
      </c>
      <c r="CZ35" s="228">
        <v>21.58</v>
      </c>
      <c r="DA35" s="228">
        <v>23.07</v>
      </c>
      <c r="DB35" s="228">
        <v>-1.49</v>
      </c>
      <c r="DC35" s="228">
        <v>-1.49</v>
      </c>
      <c r="DD35" s="228">
        <v>27.53</v>
      </c>
      <c r="DE35" s="228">
        <v>27.58</v>
      </c>
      <c r="DF35" s="228">
        <v>-5.95</v>
      </c>
      <c r="DG35" s="228">
        <v>-0.05</v>
      </c>
      <c r="DH35" s="228">
        <v>22.18</v>
      </c>
      <c r="DI35" s="228">
        <v>23.65</v>
      </c>
      <c r="DJ35" s="228">
        <v>-1.47</v>
      </c>
      <c r="DK35" s="228">
        <v>-1.47</v>
      </c>
      <c r="DL35" s="228">
        <v>18.55</v>
      </c>
      <c r="DM35" s="228">
        <v>19.149999999999999</v>
      </c>
      <c r="DN35" s="228">
        <v>-0.6</v>
      </c>
      <c r="DO35" s="228">
        <v>-0.6</v>
      </c>
      <c r="DP35" s="228">
        <v>0.43</v>
      </c>
      <c r="DQ35" s="228">
        <v>0.48</v>
      </c>
      <c r="DR35" s="228">
        <v>-0.05</v>
      </c>
      <c r="DS35" s="229">
        <v>-0.1042</v>
      </c>
      <c r="DT35" s="231">
        <v>37000</v>
      </c>
      <c r="DU35" s="231">
        <v>36000</v>
      </c>
      <c r="DV35" s="228">
        <v>0.2</v>
      </c>
      <c r="DW35" s="228">
        <v>0.15</v>
      </c>
      <c r="DX35" s="228">
        <v>0.05</v>
      </c>
      <c r="DY35" s="229">
        <v>0.33329999999999999</v>
      </c>
      <c r="DZ35" s="229">
        <v>5.8900000000000001E-2</v>
      </c>
      <c r="EA35" s="230">
        <v>10725</v>
      </c>
      <c r="EB35" s="229">
        <v>7.4000000000000003E-3</v>
      </c>
      <c r="EC35" s="229">
        <v>5.8900000000000001E-2</v>
      </c>
      <c r="ED35" s="228">
        <v>180.41</v>
      </c>
      <c r="EE35" s="229">
        <v>5.0000000000000001E-3</v>
      </c>
      <c r="EF35" s="230">
        <v>4787</v>
      </c>
      <c r="EG35" s="230">
        <v>4217</v>
      </c>
      <c r="EH35" s="229">
        <v>0.13519999999999999</v>
      </c>
      <c r="EI35" s="229">
        <v>0.43969999999999998</v>
      </c>
      <c r="EJ35" s="231">
        <v>48146.57</v>
      </c>
      <c r="EK35" s="231">
        <v>8909.15</v>
      </c>
      <c r="EL35" s="231">
        <v>10390.290000000001</v>
      </c>
      <c r="EM35" s="228">
        <v>851</v>
      </c>
      <c r="EN35" s="231">
        <v>67446.009999999995</v>
      </c>
      <c r="EO35" s="231">
        <v>69293.81</v>
      </c>
      <c r="EP35" s="231">
        <v>-1847.8</v>
      </c>
      <c r="EQ35" s="229">
        <v>-2.6700000000000002E-2</v>
      </c>
      <c r="ER35" s="231">
        <v>36912</v>
      </c>
      <c r="ES35" s="231">
        <v>15009</v>
      </c>
      <c r="ET35" s="231">
        <v>75607</v>
      </c>
      <c r="EU35" s="231">
        <v>982526</v>
      </c>
      <c r="EV35" s="231">
        <v>127527</v>
      </c>
      <c r="EW35" s="231">
        <v>125548</v>
      </c>
      <c r="EX35" s="231">
        <v>1979</v>
      </c>
      <c r="EY35" s="229">
        <v>1.5800000000000002E-2</v>
      </c>
      <c r="EZ35" s="229">
        <v>0.35699999999999998</v>
      </c>
      <c r="FA35" s="227" t="s">
        <v>568</v>
      </c>
      <c r="FB35" s="161">
        <f t="shared" si="0"/>
        <v>12450</v>
      </c>
    </row>
    <row r="36" spans="1:158" ht="17.25" hidden="1" thickBot="1" x14ac:dyDescent="0.3">
      <c r="A36" s="226">
        <v>46009</v>
      </c>
      <c r="B36" s="227" t="s">
        <v>193</v>
      </c>
      <c r="C36" s="227" t="s">
        <v>194</v>
      </c>
      <c r="D36" s="228">
        <v>1975</v>
      </c>
      <c r="E36" s="228">
        <v>364.65</v>
      </c>
      <c r="F36" s="228">
        <v>368.65</v>
      </c>
      <c r="G36" s="228">
        <v>-4</v>
      </c>
      <c r="H36" s="229">
        <v>-1.09E-2</v>
      </c>
      <c r="I36" s="228">
        <v>363.35</v>
      </c>
      <c r="J36" s="228">
        <v>368.35</v>
      </c>
      <c r="K36" s="228">
        <v>-5</v>
      </c>
      <c r="L36" s="229">
        <v>-1.3599999999999999E-2</v>
      </c>
      <c r="M36" s="228">
        <v>364.65</v>
      </c>
      <c r="N36" s="228">
        <v>368.65</v>
      </c>
      <c r="O36" s="228">
        <v>-4</v>
      </c>
      <c r="P36" s="229">
        <v>-1.09E-2</v>
      </c>
      <c r="Q36" s="228">
        <v>366.15</v>
      </c>
      <c r="R36" s="228">
        <v>369.7</v>
      </c>
      <c r="S36" s="228">
        <v>-3.55</v>
      </c>
      <c r="T36" s="229">
        <v>-9.5999999999999992E-3</v>
      </c>
      <c r="U36" s="228">
        <v>365.05</v>
      </c>
      <c r="V36" s="228">
        <v>368.05</v>
      </c>
      <c r="W36" s="228">
        <v>-3</v>
      </c>
      <c r="X36" s="229">
        <v>-8.2000000000000007E-3</v>
      </c>
      <c r="Y36" s="228">
        <v>1.3</v>
      </c>
      <c r="Z36" s="228">
        <v>0.3</v>
      </c>
      <c r="AA36" s="228">
        <v>1</v>
      </c>
      <c r="AB36" s="229">
        <v>3.5999999999999999E-3</v>
      </c>
      <c r="AC36" s="228">
        <v>1.3</v>
      </c>
      <c r="AD36" s="228">
        <v>0.3</v>
      </c>
      <c r="AE36" s="228">
        <v>1</v>
      </c>
      <c r="AF36" s="229">
        <v>3.5999999999999999E-3</v>
      </c>
      <c r="AG36" s="228">
        <v>2.8</v>
      </c>
      <c r="AH36" s="228">
        <v>1.35</v>
      </c>
      <c r="AI36" s="228">
        <v>1.45</v>
      </c>
      <c r="AJ36" s="229">
        <v>7.7000000000000002E-3</v>
      </c>
      <c r="AK36" s="228">
        <v>1.7</v>
      </c>
      <c r="AL36" s="228">
        <v>-0.3</v>
      </c>
      <c r="AM36" s="228">
        <v>2</v>
      </c>
      <c r="AN36" s="229">
        <v>4.7000000000000002E-3</v>
      </c>
      <c r="AO36" s="228">
        <v>364.45</v>
      </c>
      <c r="AP36" s="228">
        <v>365.86</v>
      </c>
      <c r="AQ36" s="228">
        <v>0</v>
      </c>
      <c r="AR36" s="230">
        <v>4631375</v>
      </c>
      <c r="AS36" s="230">
        <v>6353575</v>
      </c>
      <c r="AT36" s="230">
        <v>-1722200</v>
      </c>
      <c r="AU36" s="229">
        <v>-0.27110000000000001</v>
      </c>
      <c r="AV36" s="230">
        <v>3481925</v>
      </c>
      <c r="AW36" s="230">
        <v>5486550</v>
      </c>
      <c r="AX36" s="230">
        <v>-2004625</v>
      </c>
      <c r="AY36" s="229">
        <v>-0.3654</v>
      </c>
      <c r="AZ36" s="230">
        <v>1098100</v>
      </c>
      <c r="BA36" s="230">
        <v>790000</v>
      </c>
      <c r="BB36" s="230">
        <v>308100</v>
      </c>
      <c r="BC36" s="229">
        <v>0.39</v>
      </c>
      <c r="BD36" s="230">
        <v>51350</v>
      </c>
      <c r="BE36" s="230">
        <v>77025</v>
      </c>
      <c r="BF36" s="230">
        <v>-25675</v>
      </c>
      <c r="BG36" s="229">
        <v>-0.33329999999999999</v>
      </c>
      <c r="BH36" s="230">
        <v>20330650</v>
      </c>
      <c r="BI36" s="230">
        <v>48448725</v>
      </c>
      <c r="BJ36" s="230">
        <v>-28118075</v>
      </c>
      <c r="BK36" s="229">
        <v>-0.58040000000000003</v>
      </c>
      <c r="BL36" s="230">
        <v>8581375</v>
      </c>
      <c r="BM36" s="230">
        <v>12979700</v>
      </c>
      <c r="BN36" s="230">
        <v>-4398325</v>
      </c>
      <c r="BO36" s="229">
        <v>-0.33889999999999998</v>
      </c>
      <c r="BP36" s="230">
        <v>33543400</v>
      </c>
      <c r="BQ36" s="230">
        <v>67782000</v>
      </c>
      <c r="BR36" s="230">
        <v>-34238600</v>
      </c>
      <c r="BS36" s="229">
        <v>-0.50509999999999999</v>
      </c>
      <c r="BT36" s="230">
        <v>4246801</v>
      </c>
      <c r="BU36" s="230">
        <v>7107032</v>
      </c>
      <c r="BV36" s="230">
        <v>-2860231</v>
      </c>
      <c r="BW36" s="229">
        <v>-0.40250000000000002</v>
      </c>
      <c r="BX36" s="230">
        <v>28829075</v>
      </c>
      <c r="BY36" s="230">
        <v>28319525</v>
      </c>
      <c r="BZ36" s="230">
        <v>509550</v>
      </c>
      <c r="CA36" s="229">
        <v>1.7999999999999999E-2</v>
      </c>
      <c r="CB36" s="230">
        <v>27069350</v>
      </c>
      <c r="CC36" s="230">
        <v>26836300</v>
      </c>
      <c r="CD36" s="230">
        <v>233050</v>
      </c>
      <c r="CE36" s="229">
        <v>8.6999999999999994E-3</v>
      </c>
      <c r="CF36" s="230">
        <v>1538525</v>
      </c>
      <c r="CG36" s="230">
        <v>1244250</v>
      </c>
      <c r="CH36" s="230">
        <v>294275</v>
      </c>
      <c r="CI36" s="229">
        <v>0.23649999999999999</v>
      </c>
      <c r="CJ36" s="230">
        <v>221200</v>
      </c>
      <c r="CK36" s="230">
        <v>238975</v>
      </c>
      <c r="CL36" s="230">
        <v>-17775</v>
      </c>
      <c r="CM36" s="229">
        <v>-7.4399999999999994E-2</v>
      </c>
      <c r="CN36" s="230">
        <v>19896150</v>
      </c>
      <c r="CO36" s="230">
        <v>19965275</v>
      </c>
      <c r="CP36" s="230">
        <v>-69125</v>
      </c>
      <c r="CQ36" s="229">
        <v>-3.5000000000000001E-3</v>
      </c>
      <c r="CR36" s="230">
        <v>11377975</v>
      </c>
      <c r="CS36" s="230">
        <v>11462900</v>
      </c>
      <c r="CT36" s="230">
        <v>-84925</v>
      </c>
      <c r="CU36" s="229">
        <v>-7.4000000000000003E-3</v>
      </c>
      <c r="CV36" s="230">
        <v>60103200</v>
      </c>
      <c r="CW36" s="230">
        <v>59747700</v>
      </c>
      <c r="CX36" s="230">
        <v>355500</v>
      </c>
      <c r="CY36" s="229">
        <v>6.0000000000000001E-3</v>
      </c>
      <c r="CZ36" s="228">
        <v>23.14</v>
      </c>
      <c r="DA36" s="228">
        <v>24.31</v>
      </c>
      <c r="DB36" s="228">
        <v>-1.17</v>
      </c>
      <c r="DC36" s="228">
        <v>-1.17</v>
      </c>
      <c r="DD36" s="228">
        <v>32.479999999999997</v>
      </c>
      <c r="DE36" s="228">
        <v>32.5</v>
      </c>
      <c r="DF36" s="228">
        <v>-9.34</v>
      </c>
      <c r="DG36" s="228">
        <v>-0.02</v>
      </c>
      <c r="DH36" s="228">
        <v>23.07</v>
      </c>
      <c r="DI36" s="228">
        <v>24.24</v>
      </c>
      <c r="DJ36" s="228">
        <v>-1.17</v>
      </c>
      <c r="DK36" s="228">
        <v>-1.17</v>
      </c>
      <c r="DL36" s="228">
        <v>23.3</v>
      </c>
      <c r="DM36" s="228">
        <v>24.55</v>
      </c>
      <c r="DN36" s="228">
        <v>-1.25</v>
      </c>
      <c r="DO36" s="228">
        <v>-1.25</v>
      </c>
      <c r="DP36" s="228">
        <v>0.56999999999999995</v>
      </c>
      <c r="DQ36" s="228">
        <v>0.56999999999999995</v>
      </c>
      <c r="DR36" s="228">
        <v>0</v>
      </c>
      <c r="DS36" s="229">
        <v>0</v>
      </c>
      <c r="DT36" s="228">
        <v>370</v>
      </c>
      <c r="DU36" s="228">
        <v>320</v>
      </c>
      <c r="DV36" s="228">
        <v>0.42</v>
      </c>
      <c r="DW36" s="228">
        <v>0.27</v>
      </c>
      <c r="DX36" s="228">
        <v>0.15</v>
      </c>
      <c r="DY36" s="229">
        <v>0.55559999999999998</v>
      </c>
      <c r="DZ36" s="229">
        <v>6.0999999999999999E-2</v>
      </c>
      <c r="EA36" s="230">
        <v>1483225</v>
      </c>
      <c r="EB36" s="229">
        <v>4.1000000000000003E-3</v>
      </c>
      <c r="EC36" s="229">
        <v>6.0999999999999999E-2</v>
      </c>
      <c r="ED36" s="228">
        <v>1.41</v>
      </c>
      <c r="EE36" s="229">
        <v>3.8999999999999998E-3</v>
      </c>
      <c r="EF36" s="230">
        <v>2266597</v>
      </c>
      <c r="EG36" s="230">
        <v>3727458</v>
      </c>
      <c r="EH36" s="229">
        <v>-0.39190000000000003</v>
      </c>
      <c r="EI36" s="229">
        <v>0.53369999999999995</v>
      </c>
      <c r="EJ36" s="231">
        <v>76462.820000000007</v>
      </c>
      <c r="EK36" s="231">
        <v>31140.79</v>
      </c>
      <c r="EL36" s="231">
        <v>16894.57</v>
      </c>
      <c r="EM36" s="231">
        <v>3611</v>
      </c>
      <c r="EN36" s="231">
        <v>124498.18</v>
      </c>
      <c r="EO36" s="231">
        <v>254739.8</v>
      </c>
      <c r="EP36" s="231">
        <v>-130241.62</v>
      </c>
      <c r="EQ36" s="229">
        <v>-0.51129999999999998</v>
      </c>
      <c r="ER36" s="231">
        <v>75152</v>
      </c>
      <c r="ES36" s="231">
        <v>39718</v>
      </c>
      <c r="ET36" s="231">
        <v>105149</v>
      </c>
      <c r="EU36" s="231">
        <v>281577339</v>
      </c>
      <c r="EV36" s="231">
        <v>220020</v>
      </c>
      <c r="EW36" s="231">
        <v>219892</v>
      </c>
      <c r="EX36" s="228">
        <v>128</v>
      </c>
      <c r="EY36" s="229">
        <v>5.9999999999999995E-4</v>
      </c>
      <c r="EZ36" s="229">
        <v>0.2135</v>
      </c>
      <c r="FA36" s="227" t="s">
        <v>567</v>
      </c>
      <c r="FB36" s="161">
        <f t="shared" si="0"/>
        <v>1759725</v>
      </c>
    </row>
    <row r="37" spans="1:158" ht="17.25" hidden="1" thickBot="1" x14ac:dyDescent="0.3">
      <c r="A37" s="226">
        <v>46009</v>
      </c>
      <c r="B37" s="227" t="s">
        <v>168</v>
      </c>
      <c r="C37" s="227" t="s">
        <v>195</v>
      </c>
      <c r="D37" s="228">
        <v>125</v>
      </c>
      <c r="E37" s="231">
        <v>6048.5</v>
      </c>
      <c r="F37" s="231">
        <v>6100.5</v>
      </c>
      <c r="G37" s="228">
        <v>-52</v>
      </c>
      <c r="H37" s="229">
        <v>-8.5000000000000006E-3</v>
      </c>
      <c r="I37" s="231">
        <v>6040.5</v>
      </c>
      <c r="J37" s="231">
        <v>6096</v>
      </c>
      <c r="K37" s="228">
        <v>-55.5</v>
      </c>
      <c r="L37" s="229">
        <v>-9.1000000000000004E-3</v>
      </c>
      <c r="M37" s="231">
        <v>6048.5</v>
      </c>
      <c r="N37" s="231">
        <v>6100.5</v>
      </c>
      <c r="O37" s="228">
        <v>-52</v>
      </c>
      <c r="P37" s="229">
        <v>-8.5000000000000006E-3</v>
      </c>
      <c r="Q37" s="231">
        <v>6089</v>
      </c>
      <c r="R37" s="231">
        <v>6137.5</v>
      </c>
      <c r="S37" s="228">
        <v>-48.5</v>
      </c>
      <c r="T37" s="229">
        <v>-7.9000000000000008E-3</v>
      </c>
      <c r="U37" s="231">
        <v>6119</v>
      </c>
      <c r="V37" s="231">
        <v>6175</v>
      </c>
      <c r="W37" s="228">
        <v>-56</v>
      </c>
      <c r="X37" s="229">
        <v>-9.1000000000000004E-3</v>
      </c>
      <c r="Y37" s="228">
        <v>8</v>
      </c>
      <c r="Z37" s="228">
        <v>4.5</v>
      </c>
      <c r="AA37" s="228">
        <v>3.5</v>
      </c>
      <c r="AB37" s="229">
        <v>1.2999999999999999E-3</v>
      </c>
      <c r="AC37" s="228">
        <v>8</v>
      </c>
      <c r="AD37" s="228">
        <v>4.5</v>
      </c>
      <c r="AE37" s="228">
        <v>3.5</v>
      </c>
      <c r="AF37" s="229">
        <v>1.2999999999999999E-3</v>
      </c>
      <c r="AG37" s="228">
        <v>48.5</v>
      </c>
      <c r="AH37" s="228">
        <v>41.5</v>
      </c>
      <c r="AI37" s="228">
        <v>7</v>
      </c>
      <c r="AJ37" s="229">
        <v>8.0000000000000002E-3</v>
      </c>
      <c r="AK37" s="228">
        <v>78.5</v>
      </c>
      <c r="AL37" s="228">
        <v>79</v>
      </c>
      <c r="AM37" s="228">
        <v>-0.5</v>
      </c>
      <c r="AN37" s="229">
        <v>1.2999999999999999E-2</v>
      </c>
      <c r="AO37" s="231">
        <v>6069.08</v>
      </c>
      <c r="AP37" s="231">
        <v>6097.8</v>
      </c>
      <c r="AQ37" s="228">
        <v>0</v>
      </c>
      <c r="AR37" s="230">
        <v>355000</v>
      </c>
      <c r="AS37" s="230">
        <v>247125</v>
      </c>
      <c r="AT37" s="230">
        <v>107875</v>
      </c>
      <c r="AU37" s="229">
        <v>0.4365</v>
      </c>
      <c r="AV37" s="230">
        <v>289250</v>
      </c>
      <c r="AW37" s="230">
        <v>229250</v>
      </c>
      <c r="AX37" s="230">
        <v>60000</v>
      </c>
      <c r="AY37" s="229">
        <v>0.26169999999999999</v>
      </c>
      <c r="AZ37" s="230">
        <v>64500</v>
      </c>
      <c r="BA37" s="230">
        <v>17125</v>
      </c>
      <c r="BB37" s="230">
        <v>47375</v>
      </c>
      <c r="BC37" s="229">
        <v>2.7664</v>
      </c>
      <c r="BD37" s="230">
        <v>1250</v>
      </c>
      <c r="BE37" s="228">
        <v>750</v>
      </c>
      <c r="BF37" s="228">
        <v>500</v>
      </c>
      <c r="BG37" s="229">
        <v>0.66669999999999996</v>
      </c>
      <c r="BH37" s="230">
        <v>2654000</v>
      </c>
      <c r="BI37" s="230">
        <v>1958375</v>
      </c>
      <c r="BJ37" s="230">
        <v>695625</v>
      </c>
      <c r="BK37" s="229">
        <v>0.35520000000000002</v>
      </c>
      <c r="BL37" s="230">
        <v>958875</v>
      </c>
      <c r="BM37" s="230">
        <v>711875</v>
      </c>
      <c r="BN37" s="230">
        <v>247000</v>
      </c>
      <c r="BO37" s="229">
        <v>0.34699999999999998</v>
      </c>
      <c r="BP37" s="230">
        <v>3967875</v>
      </c>
      <c r="BQ37" s="230">
        <v>2917375</v>
      </c>
      <c r="BR37" s="230">
        <v>1050500</v>
      </c>
      <c r="BS37" s="229">
        <v>0.36009999999999998</v>
      </c>
      <c r="BT37" s="230">
        <v>202854</v>
      </c>
      <c r="BU37" s="230">
        <v>303359</v>
      </c>
      <c r="BV37" s="230">
        <v>-100505</v>
      </c>
      <c r="BW37" s="229">
        <v>-0.33129999999999998</v>
      </c>
      <c r="BX37" s="230">
        <v>2752375</v>
      </c>
      <c r="BY37" s="230">
        <v>2704875</v>
      </c>
      <c r="BZ37" s="230">
        <v>47500</v>
      </c>
      <c r="CA37" s="229">
        <v>1.7600000000000001E-2</v>
      </c>
      <c r="CB37" s="230">
        <v>2664125</v>
      </c>
      <c r="CC37" s="230">
        <v>2654500</v>
      </c>
      <c r="CD37" s="230">
        <v>9625</v>
      </c>
      <c r="CE37" s="229">
        <v>3.5999999999999999E-3</v>
      </c>
      <c r="CF37" s="230">
        <v>84250</v>
      </c>
      <c r="CG37" s="230">
        <v>47125</v>
      </c>
      <c r="CH37" s="230">
        <v>37125</v>
      </c>
      <c r="CI37" s="229">
        <v>0.78779999999999994</v>
      </c>
      <c r="CJ37" s="230">
        <v>4000</v>
      </c>
      <c r="CK37" s="230">
        <v>3250</v>
      </c>
      <c r="CL37" s="228">
        <v>750</v>
      </c>
      <c r="CM37" s="229">
        <v>0.23080000000000001</v>
      </c>
      <c r="CN37" s="230">
        <v>1345750</v>
      </c>
      <c r="CO37" s="230">
        <v>1263375</v>
      </c>
      <c r="CP37" s="230">
        <v>82375</v>
      </c>
      <c r="CQ37" s="229">
        <v>6.5199999999999994E-2</v>
      </c>
      <c r="CR37" s="230">
        <v>790625</v>
      </c>
      <c r="CS37" s="230">
        <v>802875</v>
      </c>
      <c r="CT37" s="230">
        <v>-12250</v>
      </c>
      <c r="CU37" s="229">
        <v>-1.5299999999999999E-2</v>
      </c>
      <c r="CV37" s="230">
        <v>4888750</v>
      </c>
      <c r="CW37" s="230">
        <v>4771125</v>
      </c>
      <c r="CX37" s="230">
        <v>117625</v>
      </c>
      <c r="CY37" s="229">
        <v>2.47E-2</v>
      </c>
      <c r="CZ37" s="228">
        <v>17.760000000000002</v>
      </c>
      <c r="DA37" s="228">
        <v>18.75</v>
      </c>
      <c r="DB37" s="228">
        <v>-0.99</v>
      </c>
      <c r="DC37" s="228">
        <v>-0.99</v>
      </c>
      <c r="DD37" s="228">
        <v>24.14</v>
      </c>
      <c r="DE37" s="228">
        <v>24.17</v>
      </c>
      <c r="DF37" s="228">
        <v>-6.38</v>
      </c>
      <c r="DG37" s="228">
        <v>-0.03</v>
      </c>
      <c r="DH37" s="228">
        <v>17.899999999999999</v>
      </c>
      <c r="DI37" s="228">
        <v>18.72</v>
      </c>
      <c r="DJ37" s="228">
        <v>-0.82</v>
      </c>
      <c r="DK37" s="228">
        <v>-0.82</v>
      </c>
      <c r="DL37" s="228">
        <v>17.399999999999999</v>
      </c>
      <c r="DM37" s="228">
        <v>18.809999999999999</v>
      </c>
      <c r="DN37" s="228">
        <v>-1.41</v>
      </c>
      <c r="DO37" s="228">
        <v>-1.41</v>
      </c>
      <c r="DP37" s="228">
        <v>0.59</v>
      </c>
      <c r="DQ37" s="228">
        <v>0.64</v>
      </c>
      <c r="DR37" s="228">
        <v>-0.05</v>
      </c>
      <c r="DS37" s="229">
        <v>-7.8100000000000003E-2</v>
      </c>
      <c r="DT37" s="231">
        <v>6200</v>
      </c>
      <c r="DU37" s="231">
        <v>5800</v>
      </c>
      <c r="DV37" s="228">
        <v>0.36</v>
      </c>
      <c r="DW37" s="228">
        <v>0.36</v>
      </c>
      <c r="DX37" s="228">
        <v>0</v>
      </c>
      <c r="DY37" s="229">
        <v>0</v>
      </c>
      <c r="DZ37" s="229">
        <v>3.2099999999999997E-2</v>
      </c>
      <c r="EA37" s="230">
        <v>50375</v>
      </c>
      <c r="EB37" s="229">
        <v>6.7000000000000002E-3</v>
      </c>
      <c r="EC37" s="229">
        <v>3.2099999999999997E-2</v>
      </c>
      <c r="ED37" s="228">
        <v>28.72</v>
      </c>
      <c r="EE37" s="229">
        <v>4.7000000000000002E-3</v>
      </c>
      <c r="EF37" s="230">
        <v>91203</v>
      </c>
      <c r="EG37" s="230">
        <v>213320</v>
      </c>
      <c r="EH37" s="229">
        <v>-0.57250000000000001</v>
      </c>
      <c r="EI37" s="229">
        <v>0.4496</v>
      </c>
      <c r="EJ37" s="231">
        <v>165275.6</v>
      </c>
      <c r="EK37" s="231">
        <v>57566.81</v>
      </c>
      <c r="EL37" s="231">
        <v>21564.799999999999</v>
      </c>
      <c r="EM37" s="231">
        <v>2473</v>
      </c>
      <c r="EN37" s="231">
        <v>244407.21</v>
      </c>
      <c r="EO37" s="231">
        <v>180261.46</v>
      </c>
      <c r="EP37" s="231">
        <v>64145.75</v>
      </c>
      <c r="EQ37" s="229">
        <v>0.35580000000000001</v>
      </c>
      <c r="ER37" s="231">
        <v>84366</v>
      </c>
      <c r="ES37" s="231">
        <v>45421</v>
      </c>
      <c r="ET37" s="231">
        <v>166514</v>
      </c>
      <c r="EU37" s="231">
        <v>13082978</v>
      </c>
      <c r="EV37" s="231">
        <v>296302</v>
      </c>
      <c r="EW37" s="231">
        <v>290550</v>
      </c>
      <c r="EX37" s="231">
        <v>5752</v>
      </c>
      <c r="EY37" s="229">
        <v>1.9800000000000002E-2</v>
      </c>
      <c r="EZ37" s="229">
        <v>0.37369999999999998</v>
      </c>
      <c r="FA37" s="227" t="s">
        <v>567</v>
      </c>
      <c r="FB37" s="161">
        <f t="shared" si="0"/>
        <v>88250</v>
      </c>
    </row>
    <row r="38" spans="1:158" ht="17.25" hidden="1" thickBot="1" x14ac:dyDescent="0.3">
      <c r="A38" s="226">
        <v>46009</v>
      </c>
      <c r="B38" s="227" t="s">
        <v>175</v>
      </c>
      <c r="C38" s="227" t="s">
        <v>584</v>
      </c>
      <c r="D38" s="228">
        <v>375</v>
      </c>
      <c r="E38" s="231">
        <v>2688.9</v>
      </c>
      <c r="F38" s="231">
        <v>2633.5</v>
      </c>
      <c r="G38" s="228">
        <v>55.4</v>
      </c>
      <c r="H38" s="229">
        <v>2.1000000000000001E-2</v>
      </c>
      <c r="I38" s="231">
        <v>2682.9</v>
      </c>
      <c r="J38" s="231">
        <v>2630.5</v>
      </c>
      <c r="K38" s="228">
        <v>52.4</v>
      </c>
      <c r="L38" s="229">
        <v>1.9900000000000001E-2</v>
      </c>
      <c r="M38" s="231">
        <v>2688.9</v>
      </c>
      <c r="N38" s="231">
        <v>2633.5</v>
      </c>
      <c r="O38" s="228">
        <v>55.4</v>
      </c>
      <c r="P38" s="229">
        <v>2.1000000000000001E-2</v>
      </c>
      <c r="Q38" s="231">
        <v>2706</v>
      </c>
      <c r="R38" s="231">
        <v>2647.1</v>
      </c>
      <c r="S38" s="228">
        <v>58.9</v>
      </c>
      <c r="T38" s="229">
        <v>2.23E-2</v>
      </c>
      <c r="U38" s="231">
        <v>2722.8</v>
      </c>
      <c r="V38" s="231">
        <v>2661.9</v>
      </c>
      <c r="W38" s="228">
        <v>60.9</v>
      </c>
      <c r="X38" s="229">
        <v>2.29E-2</v>
      </c>
      <c r="Y38" s="228">
        <v>6</v>
      </c>
      <c r="Z38" s="228">
        <v>3</v>
      </c>
      <c r="AA38" s="228">
        <v>3</v>
      </c>
      <c r="AB38" s="229">
        <v>2.2000000000000001E-3</v>
      </c>
      <c r="AC38" s="228">
        <v>6</v>
      </c>
      <c r="AD38" s="228">
        <v>3</v>
      </c>
      <c r="AE38" s="228">
        <v>3</v>
      </c>
      <c r="AF38" s="229">
        <v>2.2000000000000001E-3</v>
      </c>
      <c r="AG38" s="228">
        <v>23.1</v>
      </c>
      <c r="AH38" s="228">
        <v>16.600000000000001</v>
      </c>
      <c r="AI38" s="228">
        <v>6.5</v>
      </c>
      <c r="AJ38" s="229">
        <v>8.6E-3</v>
      </c>
      <c r="AK38" s="228">
        <v>39.9</v>
      </c>
      <c r="AL38" s="228">
        <v>31.4</v>
      </c>
      <c r="AM38" s="228">
        <v>8.5</v>
      </c>
      <c r="AN38" s="229">
        <v>1.49E-2</v>
      </c>
      <c r="AO38" s="231">
        <v>2680.96</v>
      </c>
      <c r="AP38" s="231">
        <v>2701.4</v>
      </c>
      <c r="AQ38" s="228">
        <v>0</v>
      </c>
      <c r="AR38" s="230">
        <v>4556250</v>
      </c>
      <c r="AS38" s="230">
        <v>4072500</v>
      </c>
      <c r="AT38" s="230">
        <v>483750</v>
      </c>
      <c r="AU38" s="229">
        <v>0.1188</v>
      </c>
      <c r="AV38" s="230">
        <v>3577875</v>
      </c>
      <c r="AW38" s="230">
        <v>3362250</v>
      </c>
      <c r="AX38" s="230">
        <v>215625</v>
      </c>
      <c r="AY38" s="229">
        <v>6.4100000000000004E-2</v>
      </c>
      <c r="AZ38" s="230">
        <v>936375</v>
      </c>
      <c r="BA38" s="230">
        <v>676125</v>
      </c>
      <c r="BB38" s="230">
        <v>260250</v>
      </c>
      <c r="BC38" s="229">
        <v>0.38490000000000002</v>
      </c>
      <c r="BD38" s="230">
        <v>42000</v>
      </c>
      <c r="BE38" s="230">
        <v>34125</v>
      </c>
      <c r="BF38" s="230">
        <v>7875</v>
      </c>
      <c r="BG38" s="229">
        <v>0.23080000000000001</v>
      </c>
      <c r="BH38" s="230">
        <v>31072125</v>
      </c>
      <c r="BI38" s="230">
        <v>25101000</v>
      </c>
      <c r="BJ38" s="230">
        <v>5971125</v>
      </c>
      <c r="BK38" s="229">
        <v>0.2379</v>
      </c>
      <c r="BL38" s="230">
        <v>14990625</v>
      </c>
      <c r="BM38" s="230">
        <v>13362000</v>
      </c>
      <c r="BN38" s="230">
        <v>1628625</v>
      </c>
      <c r="BO38" s="229">
        <v>0.12189999999999999</v>
      </c>
      <c r="BP38" s="230">
        <v>50619000</v>
      </c>
      <c r="BQ38" s="230">
        <v>42535500</v>
      </c>
      <c r="BR38" s="230">
        <v>8083500</v>
      </c>
      <c r="BS38" s="229">
        <v>0.19</v>
      </c>
      <c r="BT38" s="230">
        <v>4500860</v>
      </c>
      <c r="BU38" s="230">
        <v>4201851</v>
      </c>
      <c r="BV38" s="230">
        <v>299009</v>
      </c>
      <c r="BW38" s="229">
        <v>7.1199999999999999E-2</v>
      </c>
      <c r="BX38" s="230">
        <v>11617500</v>
      </c>
      <c r="BY38" s="230">
        <v>11711625</v>
      </c>
      <c r="BZ38" s="230">
        <v>-94125</v>
      </c>
      <c r="CA38" s="229">
        <v>-8.0000000000000002E-3</v>
      </c>
      <c r="CB38" s="230">
        <v>9771375</v>
      </c>
      <c r="CC38" s="230">
        <v>10194000</v>
      </c>
      <c r="CD38" s="230">
        <v>-422625</v>
      </c>
      <c r="CE38" s="229">
        <v>-4.1500000000000002E-2</v>
      </c>
      <c r="CF38" s="230">
        <v>1659750</v>
      </c>
      <c r="CG38" s="230">
        <v>1328625</v>
      </c>
      <c r="CH38" s="230">
        <v>331125</v>
      </c>
      <c r="CI38" s="229">
        <v>0.2492</v>
      </c>
      <c r="CJ38" s="230">
        <v>186375</v>
      </c>
      <c r="CK38" s="230">
        <v>189000</v>
      </c>
      <c r="CL38" s="230">
        <v>-2625</v>
      </c>
      <c r="CM38" s="229">
        <v>-1.3899999999999999E-2</v>
      </c>
      <c r="CN38" s="230">
        <v>13107750</v>
      </c>
      <c r="CO38" s="230">
        <v>14941875</v>
      </c>
      <c r="CP38" s="230">
        <v>-1834125</v>
      </c>
      <c r="CQ38" s="229">
        <v>-0.12280000000000001</v>
      </c>
      <c r="CR38" s="230">
        <v>7259250</v>
      </c>
      <c r="CS38" s="230">
        <v>7545000</v>
      </c>
      <c r="CT38" s="230">
        <v>-285750</v>
      </c>
      <c r="CU38" s="229">
        <v>-3.7900000000000003E-2</v>
      </c>
      <c r="CV38" s="230">
        <v>31984500</v>
      </c>
      <c r="CW38" s="230">
        <v>34198500</v>
      </c>
      <c r="CX38" s="230">
        <v>-2214000</v>
      </c>
      <c r="CY38" s="229">
        <v>-6.4699999999999994E-2</v>
      </c>
      <c r="CZ38" s="228">
        <v>35.46</v>
      </c>
      <c r="DA38" s="228">
        <v>39.08</v>
      </c>
      <c r="DB38" s="228">
        <v>-3.62</v>
      </c>
      <c r="DC38" s="228">
        <v>-3.62</v>
      </c>
      <c r="DD38" s="228">
        <v>60.53</v>
      </c>
      <c r="DE38" s="228">
        <v>60.62</v>
      </c>
      <c r="DF38" s="228">
        <v>-25.07</v>
      </c>
      <c r="DG38" s="228">
        <v>-0.09</v>
      </c>
      <c r="DH38" s="228">
        <v>35.17</v>
      </c>
      <c r="DI38" s="228">
        <v>39.340000000000003</v>
      </c>
      <c r="DJ38" s="228">
        <v>-4.17</v>
      </c>
      <c r="DK38" s="228">
        <v>-4.17</v>
      </c>
      <c r="DL38" s="228">
        <v>36.06</v>
      </c>
      <c r="DM38" s="228">
        <v>38.57</v>
      </c>
      <c r="DN38" s="228">
        <v>-2.5099999999999998</v>
      </c>
      <c r="DO38" s="228">
        <v>-2.5099999999999998</v>
      </c>
      <c r="DP38" s="228">
        <v>0.55000000000000004</v>
      </c>
      <c r="DQ38" s="228">
        <v>0.5</v>
      </c>
      <c r="DR38" s="228">
        <v>0.05</v>
      </c>
      <c r="DS38" s="229">
        <v>0.1</v>
      </c>
      <c r="DT38" s="231">
        <v>3000</v>
      </c>
      <c r="DU38" s="231">
        <v>2600</v>
      </c>
      <c r="DV38" s="228">
        <v>0.48</v>
      </c>
      <c r="DW38" s="228">
        <v>0.53</v>
      </c>
      <c r="DX38" s="228">
        <v>-0.05</v>
      </c>
      <c r="DY38" s="229">
        <v>-9.4299999999999995E-2</v>
      </c>
      <c r="DZ38" s="229">
        <v>0.15890000000000001</v>
      </c>
      <c r="EA38" s="230">
        <v>1517625</v>
      </c>
      <c r="EB38" s="229">
        <v>6.4000000000000003E-3</v>
      </c>
      <c r="EC38" s="229">
        <v>0.15890000000000001</v>
      </c>
      <c r="ED38" s="228">
        <v>20.440000000000001</v>
      </c>
      <c r="EE38" s="229">
        <v>7.6E-3</v>
      </c>
      <c r="EF38" s="230">
        <v>1089457</v>
      </c>
      <c r="EG38" s="230">
        <v>1141181</v>
      </c>
      <c r="EH38" s="229">
        <v>-4.53E-2</v>
      </c>
      <c r="EI38" s="229">
        <v>0.24210000000000001</v>
      </c>
      <c r="EJ38" s="231">
        <v>879496.59</v>
      </c>
      <c r="EK38" s="231">
        <v>389908.91</v>
      </c>
      <c r="EL38" s="231">
        <v>122357.71</v>
      </c>
      <c r="EM38" s="231">
        <v>11250</v>
      </c>
      <c r="EN38" s="231">
        <v>1391763.21</v>
      </c>
      <c r="EO38" s="231">
        <v>1158428.8700000001</v>
      </c>
      <c r="EP38" s="231">
        <v>233334.34</v>
      </c>
      <c r="EQ38" s="229">
        <v>0.2014</v>
      </c>
      <c r="ER38" s="231">
        <v>378912</v>
      </c>
      <c r="ES38" s="231">
        <v>188762</v>
      </c>
      <c r="ET38" s="231">
        <v>312730</v>
      </c>
      <c r="EU38" s="231">
        <v>48385387</v>
      </c>
      <c r="EV38" s="231">
        <v>880404</v>
      </c>
      <c r="EW38" s="231">
        <v>934344</v>
      </c>
      <c r="EX38" s="231">
        <v>-53940</v>
      </c>
      <c r="EY38" s="229">
        <v>-5.7700000000000001E-2</v>
      </c>
      <c r="EZ38" s="229">
        <v>0.66100000000000003</v>
      </c>
      <c r="FA38" s="227" t="s">
        <v>556</v>
      </c>
      <c r="FB38" s="161">
        <f t="shared" si="0"/>
        <v>1846125</v>
      </c>
    </row>
    <row r="39" spans="1:158" ht="17.25" hidden="1" thickBot="1" x14ac:dyDescent="0.3">
      <c r="A39" s="226">
        <v>46009</v>
      </c>
      <c r="B39" s="227" t="s">
        <v>175</v>
      </c>
      <c r="C39" s="227" t="s">
        <v>611</v>
      </c>
      <c r="D39" s="228">
        <v>750</v>
      </c>
      <c r="E39" s="228">
        <v>754</v>
      </c>
      <c r="F39" s="228">
        <v>735.2</v>
      </c>
      <c r="G39" s="228">
        <v>18.8</v>
      </c>
      <c r="H39" s="229">
        <v>2.5600000000000001E-2</v>
      </c>
      <c r="I39" s="228">
        <v>752.3</v>
      </c>
      <c r="J39" s="228">
        <v>733.8</v>
      </c>
      <c r="K39" s="228">
        <v>18.5</v>
      </c>
      <c r="L39" s="229">
        <v>2.52E-2</v>
      </c>
      <c r="M39" s="228">
        <v>754</v>
      </c>
      <c r="N39" s="228">
        <v>735.2</v>
      </c>
      <c r="O39" s="228">
        <v>18.8</v>
      </c>
      <c r="P39" s="229">
        <v>2.5600000000000001E-2</v>
      </c>
      <c r="Q39" s="228">
        <v>758.4</v>
      </c>
      <c r="R39" s="228">
        <v>740.1</v>
      </c>
      <c r="S39" s="228">
        <v>18.3</v>
      </c>
      <c r="T39" s="229">
        <v>2.47E-2</v>
      </c>
      <c r="U39" s="228">
        <v>758.2</v>
      </c>
      <c r="V39" s="228">
        <v>740.2</v>
      </c>
      <c r="W39" s="228">
        <v>18</v>
      </c>
      <c r="X39" s="229">
        <v>2.4299999999999999E-2</v>
      </c>
      <c r="Y39" s="228">
        <v>1.7</v>
      </c>
      <c r="Z39" s="228">
        <v>1.4</v>
      </c>
      <c r="AA39" s="228">
        <v>0.3</v>
      </c>
      <c r="AB39" s="229">
        <v>2.3E-3</v>
      </c>
      <c r="AC39" s="228">
        <v>1.7</v>
      </c>
      <c r="AD39" s="228">
        <v>1.4</v>
      </c>
      <c r="AE39" s="228">
        <v>0.3</v>
      </c>
      <c r="AF39" s="229">
        <v>2.3E-3</v>
      </c>
      <c r="AG39" s="228">
        <v>6.1</v>
      </c>
      <c r="AH39" s="228">
        <v>6.3</v>
      </c>
      <c r="AI39" s="228">
        <v>-0.2</v>
      </c>
      <c r="AJ39" s="229">
        <v>8.0999999999999996E-3</v>
      </c>
      <c r="AK39" s="228">
        <v>5.9</v>
      </c>
      <c r="AL39" s="228">
        <v>6.4</v>
      </c>
      <c r="AM39" s="228">
        <v>-0.5</v>
      </c>
      <c r="AN39" s="229">
        <v>7.7999999999999996E-3</v>
      </c>
      <c r="AO39" s="228">
        <v>748.12</v>
      </c>
      <c r="AP39" s="228">
        <v>751.32</v>
      </c>
      <c r="AQ39" s="228">
        <v>0</v>
      </c>
      <c r="AR39" s="230">
        <v>4288500</v>
      </c>
      <c r="AS39" s="230">
        <v>2556750</v>
      </c>
      <c r="AT39" s="230">
        <v>1731750</v>
      </c>
      <c r="AU39" s="229">
        <v>0.67730000000000001</v>
      </c>
      <c r="AV39" s="230">
        <v>3303750</v>
      </c>
      <c r="AW39" s="230">
        <v>2242500</v>
      </c>
      <c r="AX39" s="230">
        <v>1061250</v>
      </c>
      <c r="AY39" s="229">
        <v>0.47320000000000001</v>
      </c>
      <c r="AZ39" s="230">
        <v>971250</v>
      </c>
      <c r="BA39" s="230">
        <v>296250</v>
      </c>
      <c r="BB39" s="230">
        <v>675000</v>
      </c>
      <c r="BC39" s="229">
        <v>2.2785000000000002</v>
      </c>
      <c r="BD39" s="230">
        <v>13500</v>
      </c>
      <c r="BE39" s="230">
        <v>18000</v>
      </c>
      <c r="BF39" s="230">
        <v>-4500</v>
      </c>
      <c r="BG39" s="229">
        <v>-0.25</v>
      </c>
      <c r="BH39" s="230">
        <v>12375000</v>
      </c>
      <c r="BI39" s="230">
        <v>3035250</v>
      </c>
      <c r="BJ39" s="230">
        <v>9339750</v>
      </c>
      <c r="BK39" s="229">
        <v>3.0771000000000002</v>
      </c>
      <c r="BL39" s="230">
        <v>3795750</v>
      </c>
      <c r="BM39" s="230">
        <v>2862000</v>
      </c>
      <c r="BN39" s="230">
        <v>933750</v>
      </c>
      <c r="BO39" s="229">
        <v>0.32629999999999998</v>
      </c>
      <c r="BP39" s="230">
        <v>20459250</v>
      </c>
      <c r="BQ39" s="230">
        <v>8454000</v>
      </c>
      <c r="BR39" s="230">
        <v>12005250</v>
      </c>
      <c r="BS39" s="229">
        <v>1.4200999999999999</v>
      </c>
      <c r="BT39" s="230">
        <v>2642150</v>
      </c>
      <c r="BU39" s="230">
        <v>784421</v>
      </c>
      <c r="BV39" s="230">
        <v>1857729</v>
      </c>
      <c r="BW39" s="229">
        <v>2.3683000000000001</v>
      </c>
      <c r="BX39" s="230">
        <v>9354000</v>
      </c>
      <c r="BY39" s="230">
        <v>9324750</v>
      </c>
      <c r="BZ39" s="230">
        <v>29250</v>
      </c>
      <c r="CA39" s="229">
        <v>3.0999999999999999E-3</v>
      </c>
      <c r="CB39" s="230">
        <v>7788000</v>
      </c>
      <c r="CC39" s="230">
        <v>8007750</v>
      </c>
      <c r="CD39" s="230">
        <v>-219750</v>
      </c>
      <c r="CE39" s="229">
        <v>-2.7400000000000001E-2</v>
      </c>
      <c r="CF39" s="230">
        <v>1452750</v>
      </c>
      <c r="CG39" s="230">
        <v>1203000</v>
      </c>
      <c r="CH39" s="230">
        <v>249750</v>
      </c>
      <c r="CI39" s="229">
        <v>0.20760000000000001</v>
      </c>
      <c r="CJ39" s="230">
        <v>113250</v>
      </c>
      <c r="CK39" s="230">
        <v>114000</v>
      </c>
      <c r="CL39" s="228">
        <v>-750</v>
      </c>
      <c r="CM39" s="229">
        <v>-6.6E-3</v>
      </c>
      <c r="CN39" s="230">
        <v>6111750</v>
      </c>
      <c r="CO39" s="230">
        <v>5910000</v>
      </c>
      <c r="CP39" s="230">
        <v>201750</v>
      </c>
      <c r="CQ39" s="229">
        <v>3.4099999999999998E-2</v>
      </c>
      <c r="CR39" s="230">
        <v>3891000</v>
      </c>
      <c r="CS39" s="230">
        <v>3863250</v>
      </c>
      <c r="CT39" s="230">
        <v>27750</v>
      </c>
      <c r="CU39" s="229">
        <v>7.1999999999999998E-3</v>
      </c>
      <c r="CV39" s="230">
        <v>19356750</v>
      </c>
      <c r="CW39" s="230">
        <v>19098000</v>
      </c>
      <c r="CX39" s="230">
        <v>258750</v>
      </c>
      <c r="CY39" s="229">
        <v>1.35E-2</v>
      </c>
      <c r="CZ39" s="228">
        <v>26.28</v>
      </c>
      <c r="DA39" s="228">
        <v>29.44</v>
      </c>
      <c r="DB39" s="228">
        <v>-3.16</v>
      </c>
      <c r="DC39" s="228">
        <v>-3.16</v>
      </c>
      <c r="DD39" s="228">
        <v>40.64</v>
      </c>
      <c r="DE39" s="228">
        <v>40.6</v>
      </c>
      <c r="DF39" s="228">
        <v>-14.36</v>
      </c>
      <c r="DG39" s="228">
        <v>0.04</v>
      </c>
      <c r="DH39" s="228">
        <v>26.22</v>
      </c>
      <c r="DI39" s="228">
        <v>29.9</v>
      </c>
      <c r="DJ39" s="228">
        <v>-3.68</v>
      </c>
      <c r="DK39" s="228">
        <v>-3.68</v>
      </c>
      <c r="DL39" s="228">
        <v>26.46</v>
      </c>
      <c r="DM39" s="228">
        <v>28.96</v>
      </c>
      <c r="DN39" s="228">
        <v>-2.5</v>
      </c>
      <c r="DO39" s="228">
        <v>-2.5</v>
      </c>
      <c r="DP39" s="228">
        <v>0.64</v>
      </c>
      <c r="DQ39" s="228">
        <v>0.65</v>
      </c>
      <c r="DR39" s="228">
        <v>-0.01</v>
      </c>
      <c r="DS39" s="229">
        <v>-1.54E-2</v>
      </c>
      <c r="DT39" s="228">
        <v>800</v>
      </c>
      <c r="DU39" s="228">
        <v>750</v>
      </c>
      <c r="DV39" s="228">
        <v>0.31</v>
      </c>
      <c r="DW39" s="228">
        <v>0.94</v>
      </c>
      <c r="DX39" s="228">
        <v>-0.63</v>
      </c>
      <c r="DY39" s="229">
        <v>-0.67020000000000002</v>
      </c>
      <c r="DZ39" s="229">
        <v>0.16739999999999999</v>
      </c>
      <c r="EA39" s="230">
        <v>1317000</v>
      </c>
      <c r="EB39" s="229">
        <v>5.7999999999999996E-3</v>
      </c>
      <c r="EC39" s="229">
        <v>0.16739999999999999</v>
      </c>
      <c r="ED39" s="228">
        <v>3.2</v>
      </c>
      <c r="EE39" s="229">
        <v>4.3E-3</v>
      </c>
      <c r="EF39" s="230">
        <v>899797</v>
      </c>
      <c r="EG39" s="230">
        <v>336618</v>
      </c>
      <c r="EH39" s="229">
        <v>1.6731</v>
      </c>
      <c r="EI39" s="229">
        <v>0.34060000000000001</v>
      </c>
      <c r="EJ39" s="231">
        <v>96417.39</v>
      </c>
      <c r="EK39" s="231">
        <v>28216.81</v>
      </c>
      <c r="EL39" s="231">
        <v>32115.06</v>
      </c>
      <c r="EM39" s="231">
        <v>2016</v>
      </c>
      <c r="EN39" s="231">
        <v>156749.26</v>
      </c>
      <c r="EO39" s="231">
        <v>64007.77</v>
      </c>
      <c r="EP39" s="231">
        <v>92741.49</v>
      </c>
      <c r="EQ39" s="229">
        <v>1.4489000000000001</v>
      </c>
      <c r="ER39" s="231">
        <v>49010</v>
      </c>
      <c r="ES39" s="231">
        <v>29244</v>
      </c>
      <c r="ET39" s="231">
        <v>70598</v>
      </c>
      <c r="EU39" s="231">
        <v>37106075</v>
      </c>
      <c r="EV39" s="231">
        <v>148852</v>
      </c>
      <c r="EW39" s="231">
        <v>145224</v>
      </c>
      <c r="EX39" s="231">
        <v>3628</v>
      </c>
      <c r="EY39" s="229">
        <v>2.5000000000000001E-2</v>
      </c>
      <c r="EZ39" s="229">
        <v>0.52170000000000005</v>
      </c>
      <c r="FA39" s="227" t="s">
        <v>555</v>
      </c>
      <c r="FB39" s="161">
        <f t="shared" si="0"/>
        <v>1566000</v>
      </c>
    </row>
    <row r="40" spans="1:158" ht="17.25" hidden="1" thickBot="1" x14ac:dyDescent="0.3">
      <c r="A40" s="226">
        <v>46009</v>
      </c>
      <c r="B40" s="227" t="s">
        <v>172</v>
      </c>
      <c r="C40" s="227" t="s">
        <v>196</v>
      </c>
      <c r="D40" s="228">
        <v>6750</v>
      </c>
      <c r="E40" s="228">
        <v>149.69999999999999</v>
      </c>
      <c r="F40" s="228">
        <v>150.35</v>
      </c>
      <c r="G40" s="228">
        <v>-0.65</v>
      </c>
      <c r="H40" s="229">
        <v>-4.3E-3</v>
      </c>
      <c r="I40" s="228">
        <v>149.83000000000001</v>
      </c>
      <c r="J40" s="228">
        <v>150.21</v>
      </c>
      <c r="K40" s="228">
        <v>-0.38</v>
      </c>
      <c r="L40" s="229">
        <v>-2.5000000000000001E-3</v>
      </c>
      <c r="M40" s="228">
        <v>149.69999999999999</v>
      </c>
      <c r="N40" s="228">
        <v>150.35</v>
      </c>
      <c r="O40" s="228">
        <v>-0.65</v>
      </c>
      <c r="P40" s="229">
        <v>-4.3E-3</v>
      </c>
      <c r="Q40" s="228">
        <v>150.41999999999999</v>
      </c>
      <c r="R40" s="228">
        <v>150.99</v>
      </c>
      <c r="S40" s="228">
        <v>-0.56999999999999995</v>
      </c>
      <c r="T40" s="229">
        <v>-3.8E-3</v>
      </c>
      <c r="U40" s="228">
        <v>151.18</v>
      </c>
      <c r="V40" s="228">
        <v>151.75</v>
      </c>
      <c r="W40" s="228">
        <v>-0.56999999999999995</v>
      </c>
      <c r="X40" s="229">
        <v>-3.8E-3</v>
      </c>
      <c r="Y40" s="228">
        <v>-0.13</v>
      </c>
      <c r="Z40" s="228">
        <v>0.14000000000000001</v>
      </c>
      <c r="AA40" s="228">
        <v>-0.27</v>
      </c>
      <c r="AB40" s="229">
        <v>-8.9999999999999998E-4</v>
      </c>
      <c r="AC40" s="228">
        <v>-0.13</v>
      </c>
      <c r="AD40" s="228">
        <v>0.14000000000000001</v>
      </c>
      <c r="AE40" s="228">
        <v>-0.27</v>
      </c>
      <c r="AF40" s="229">
        <v>-8.9999999999999998E-4</v>
      </c>
      <c r="AG40" s="228">
        <v>0.59</v>
      </c>
      <c r="AH40" s="228">
        <v>0.78</v>
      </c>
      <c r="AI40" s="228">
        <v>-0.19</v>
      </c>
      <c r="AJ40" s="229">
        <v>3.8999999999999998E-3</v>
      </c>
      <c r="AK40" s="228">
        <v>1.35</v>
      </c>
      <c r="AL40" s="228">
        <v>1.54</v>
      </c>
      <c r="AM40" s="228">
        <v>-0.19</v>
      </c>
      <c r="AN40" s="229">
        <v>8.9999999999999993E-3</v>
      </c>
      <c r="AO40" s="228">
        <v>149.72</v>
      </c>
      <c r="AP40" s="228">
        <v>150.43</v>
      </c>
      <c r="AQ40" s="228">
        <v>0</v>
      </c>
      <c r="AR40" s="230">
        <v>35862750</v>
      </c>
      <c r="AS40" s="230">
        <v>53905500</v>
      </c>
      <c r="AT40" s="230">
        <v>-18042750</v>
      </c>
      <c r="AU40" s="229">
        <v>-0.3347</v>
      </c>
      <c r="AV40" s="230">
        <v>28458000</v>
      </c>
      <c r="AW40" s="230">
        <v>43530750</v>
      </c>
      <c r="AX40" s="230">
        <v>-15072750</v>
      </c>
      <c r="AY40" s="229">
        <v>-0.3463</v>
      </c>
      <c r="AZ40" s="230">
        <v>6696000</v>
      </c>
      <c r="BA40" s="230">
        <v>9504000</v>
      </c>
      <c r="BB40" s="230">
        <v>-2808000</v>
      </c>
      <c r="BC40" s="229">
        <v>-0.29549999999999998</v>
      </c>
      <c r="BD40" s="230">
        <v>708750</v>
      </c>
      <c r="BE40" s="230">
        <v>870750</v>
      </c>
      <c r="BF40" s="230">
        <v>-162000</v>
      </c>
      <c r="BG40" s="229">
        <v>-0.186</v>
      </c>
      <c r="BH40" s="230">
        <v>143451000</v>
      </c>
      <c r="BI40" s="230">
        <v>228831750</v>
      </c>
      <c r="BJ40" s="230">
        <v>-85380750</v>
      </c>
      <c r="BK40" s="229">
        <v>-0.37309999999999999</v>
      </c>
      <c r="BL40" s="230">
        <v>82053000</v>
      </c>
      <c r="BM40" s="230">
        <v>111793500</v>
      </c>
      <c r="BN40" s="230">
        <v>-29740500</v>
      </c>
      <c r="BO40" s="229">
        <v>-0.26600000000000001</v>
      </c>
      <c r="BP40" s="230">
        <v>261366750</v>
      </c>
      <c r="BQ40" s="230">
        <v>394530750</v>
      </c>
      <c r="BR40" s="230">
        <v>-133164000</v>
      </c>
      <c r="BS40" s="229">
        <v>-0.33750000000000002</v>
      </c>
      <c r="BT40" s="230">
        <v>16606364</v>
      </c>
      <c r="BU40" s="230">
        <v>28010672</v>
      </c>
      <c r="BV40" s="230">
        <v>-11404308</v>
      </c>
      <c r="BW40" s="229">
        <v>-0.40710000000000002</v>
      </c>
      <c r="BX40" s="230">
        <v>146002500</v>
      </c>
      <c r="BY40" s="230">
        <v>145266750</v>
      </c>
      <c r="BZ40" s="230">
        <v>735750</v>
      </c>
      <c r="CA40" s="229">
        <v>5.1000000000000004E-3</v>
      </c>
      <c r="CB40" s="230">
        <v>121277250</v>
      </c>
      <c r="CC40" s="230">
        <v>122377500</v>
      </c>
      <c r="CD40" s="230">
        <v>-1100250</v>
      </c>
      <c r="CE40" s="229">
        <v>-8.9999999999999993E-3</v>
      </c>
      <c r="CF40" s="230">
        <v>22200750</v>
      </c>
      <c r="CG40" s="230">
        <v>20385000</v>
      </c>
      <c r="CH40" s="230">
        <v>1815750</v>
      </c>
      <c r="CI40" s="229">
        <v>8.9099999999999999E-2</v>
      </c>
      <c r="CJ40" s="230">
        <v>2524500</v>
      </c>
      <c r="CK40" s="230">
        <v>2504250</v>
      </c>
      <c r="CL40" s="230">
        <v>20250</v>
      </c>
      <c r="CM40" s="229">
        <v>8.0999999999999996E-3</v>
      </c>
      <c r="CN40" s="230">
        <v>111084750</v>
      </c>
      <c r="CO40" s="230">
        <v>110700000</v>
      </c>
      <c r="CP40" s="230">
        <v>384750</v>
      </c>
      <c r="CQ40" s="229">
        <v>3.5000000000000001E-3</v>
      </c>
      <c r="CR40" s="230">
        <v>90200250</v>
      </c>
      <c r="CS40" s="230">
        <v>90834750</v>
      </c>
      <c r="CT40" s="230">
        <v>-634500</v>
      </c>
      <c r="CU40" s="229">
        <v>-7.0000000000000001E-3</v>
      </c>
      <c r="CV40" s="230">
        <v>347287500</v>
      </c>
      <c r="CW40" s="230">
        <v>346801500</v>
      </c>
      <c r="CX40" s="230">
        <v>486000</v>
      </c>
      <c r="CY40" s="229">
        <v>1.4E-3</v>
      </c>
      <c r="CZ40" s="228">
        <v>23.93</v>
      </c>
      <c r="DA40" s="228">
        <v>25.05</v>
      </c>
      <c r="DB40" s="228">
        <v>-1.1200000000000001</v>
      </c>
      <c r="DC40" s="228">
        <v>-1.1200000000000001</v>
      </c>
      <c r="DD40" s="228">
        <v>36.049999999999997</v>
      </c>
      <c r="DE40" s="228">
        <v>36.14</v>
      </c>
      <c r="DF40" s="228">
        <v>-12.12</v>
      </c>
      <c r="DG40" s="228">
        <v>-0.09</v>
      </c>
      <c r="DH40" s="228">
        <v>23.73</v>
      </c>
      <c r="DI40" s="228">
        <v>24.78</v>
      </c>
      <c r="DJ40" s="228">
        <v>-1.05</v>
      </c>
      <c r="DK40" s="228">
        <v>-1.05</v>
      </c>
      <c r="DL40" s="228">
        <v>24.29</v>
      </c>
      <c r="DM40" s="228">
        <v>25.59</v>
      </c>
      <c r="DN40" s="228">
        <v>-1.3</v>
      </c>
      <c r="DO40" s="228">
        <v>-1.3</v>
      </c>
      <c r="DP40" s="228">
        <v>0.81</v>
      </c>
      <c r="DQ40" s="228">
        <v>0.82</v>
      </c>
      <c r="DR40" s="228">
        <v>-0.01</v>
      </c>
      <c r="DS40" s="229">
        <v>-1.2200000000000001E-2</v>
      </c>
      <c r="DT40" s="228">
        <v>150</v>
      </c>
      <c r="DU40" s="228">
        <v>140</v>
      </c>
      <c r="DV40" s="228">
        <v>0.56999999999999995</v>
      </c>
      <c r="DW40" s="228">
        <v>0.49</v>
      </c>
      <c r="DX40" s="228">
        <v>0.08</v>
      </c>
      <c r="DY40" s="229">
        <v>0.1633</v>
      </c>
      <c r="DZ40" s="229">
        <v>0.16930000000000001</v>
      </c>
      <c r="EA40" s="230">
        <v>22889250</v>
      </c>
      <c r="EB40" s="229">
        <v>4.7999999999999996E-3</v>
      </c>
      <c r="EC40" s="229">
        <v>0.16930000000000001</v>
      </c>
      <c r="ED40" s="228">
        <v>0.71</v>
      </c>
      <c r="EE40" s="229">
        <v>4.7000000000000002E-3</v>
      </c>
      <c r="EF40" s="230">
        <v>6328592</v>
      </c>
      <c r="EG40" s="230">
        <v>12347371</v>
      </c>
      <c r="EH40" s="229">
        <v>-0.48749999999999999</v>
      </c>
      <c r="EI40" s="229">
        <v>0.38109999999999999</v>
      </c>
      <c r="EJ40" s="231">
        <v>221118.75</v>
      </c>
      <c r="EK40" s="231">
        <v>121800.91</v>
      </c>
      <c r="EL40" s="231">
        <v>53750.400000000001</v>
      </c>
      <c r="EM40" s="231">
        <v>5549</v>
      </c>
      <c r="EN40" s="231">
        <v>396670.06</v>
      </c>
      <c r="EO40" s="231">
        <v>599055.15</v>
      </c>
      <c r="EP40" s="231">
        <v>-202385.09</v>
      </c>
      <c r="EQ40" s="229">
        <v>-0.33779999999999999</v>
      </c>
      <c r="ER40" s="231">
        <v>170219</v>
      </c>
      <c r="ES40" s="231">
        <v>129511</v>
      </c>
      <c r="ET40" s="231">
        <v>218763</v>
      </c>
      <c r="EU40" s="231">
        <v>504315430</v>
      </c>
      <c r="EV40" s="231">
        <v>518493</v>
      </c>
      <c r="EW40" s="231">
        <v>518424</v>
      </c>
      <c r="EX40" s="228">
        <v>69</v>
      </c>
      <c r="EY40" s="229">
        <v>1E-4</v>
      </c>
      <c r="EZ40" s="229">
        <v>0.68859999999999999</v>
      </c>
      <c r="FA40" s="227" t="s">
        <v>567</v>
      </c>
      <c r="FB40" s="161">
        <f t="shared" si="0"/>
        <v>24725250</v>
      </c>
    </row>
    <row r="41" spans="1:158" ht="17.25" hidden="1" thickBot="1" x14ac:dyDescent="0.3">
      <c r="A41" s="226">
        <v>46009</v>
      </c>
      <c r="B41" s="227" t="s">
        <v>175</v>
      </c>
      <c r="C41" s="227" t="s">
        <v>597</v>
      </c>
      <c r="D41" s="228">
        <v>475</v>
      </c>
      <c r="E41" s="231">
        <v>1490.8</v>
      </c>
      <c r="F41" s="231">
        <v>1478.4</v>
      </c>
      <c r="G41" s="228">
        <v>12.4</v>
      </c>
      <c r="H41" s="229">
        <v>8.3999999999999995E-3</v>
      </c>
      <c r="I41" s="231">
        <v>1489.6</v>
      </c>
      <c r="J41" s="231">
        <v>1477.3</v>
      </c>
      <c r="K41" s="228">
        <v>12.3</v>
      </c>
      <c r="L41" s="229">
        <v>8.3000000000000001E-3</v>
      </c>
      <c r="M41" s="231">
        <v>1490.8</v>
      </c>
      <c r="N41" s="231">
        <v>1478.4</v>
      </c>
      <c r="O41" s="228">
        <v>12.4</v>
      </c>
      <c r="P41" s="229">
        <v>8.3999999999999995E-3</v>
      </c>
      <c r="Q41" s="231">
        <v>1497.6</v>
      </c>
      <c r="R41" s="231">
        <v>1485.8</v>
      </c>
      <c r="S41" s="228">
        <v>11.8</v>
      </c>
      <c r="T41" s="229">
        <v>7.9000000000000008E-3</v>
      </c>
      <c r="U41" s="231">
        <v>1506.4</v>
      </c>
      <c r="V41" s="231">
        <v>1493.5</v>
      </c>
      <c r="W41" s="228">
        <v>12.9</v>
      </c>
      <c r="X41" s="229">
        <v>8.6E-3</v>
      </c>
      <c r="Y41" s="228">
        <v>1.2</v>
      </c>
      <c r="Z41" s="228">
        <v>1.1000000000000001</v>
      </c>
      <c r="AA41" s="228">
        <v>0.1</v>
      </c>
      <c r="AB41" s="229">
        <v>8.0000000000000004E-4</v>
      </c>
      <c r="AC41" s="228">
        <v>1.2</v>
      </c>
      <c r="AD41" s="228">
        <v>1.1000000000000001</v>
      </c>
      <c r="AE41" s="228">
        <v>0.1</v>
      </c>
      <c r="AF41" s="229">
        <v>8.0000000000000004E-4</v>
      </c>
      <c r="AG41" s="228">
        <v>8</v>
      </c>
      <c r="AH41" s="228">
        <v>8.5</v>
      </c>
      <c r="AI41" s="228">
        <v>-0.5</v>
      </c>
      <c r="AJ41" s="229">
        <v>5.4000000000000003E-3</v>
      </c>
      <c r="AK41" s="228">
        <v>16.8</v>
      </c>
      <c r="AL41" s="228">
        <v>16.2</v>
      </c>
      <c r="AM41" s="228">
        <v>0.6</v>
      </c>
      <c r="AN41" s="229">
        <v>1.1299999999999999E-2</v>
      </c>
      <c r="AO41" s="231">
        <v>1485.59</v>
      </c>
      <c r="AP41" s="231">
        <v>1491.83</v>
      </c>
      <c r="AQ41" s="228">
        <v>0</v>
      </c>
      <c r="AR41" s="230">
        <v>1603125</v>
      </c>
      <c r="AS41" s="230">
        <v>1986450</v>
      </c>
      <c r="AT41" s="230">
        <v>-383325</v>
      </c>
      <c r="AU41" s="229">
        <v>-0.193</v>
      </c>
      <c r="AV41" s="230">
        <v>1187500</v>
      </c>
      <c r="AW41" s="230">
        <v>1453975</v>
      </c>
      <c r="AX41" s="230">
        <v>-266475</v>
      </c>
      <c r="AY41" s="229">
        <v>-0.18329999999999999</v>
      </c>
      <c r="AZ41" s="230">
        <v>369550</v>
      </c>
      <c r="BA41" s="230">
        <v>491150</v>
      </c>
      <c r="BB41" s="230">
        <v>-121600</v>
      </c>
      <c r="BC41" s="229">
        <v>-0.24759999999999999</v>
      </c>
      <c r="BD41" s="230">
        <v>46075</v>
      </c>
      <c r="BE41" s="230">
        <v>41325</v>
      </c>
      <c r="BF41" s="230">
        <v>4750</v>
      </c>
      <c r="BG41" s="229">
        <v>0.1149</v>
      </c>
      <c r="BH41" s="230">
        <v>9153250</v>
      </c>
      <c r="BI41" s="230">
        <v>8439325</v>
      </c>
      <c r="BJ41" s="230">
        <v>713925</v>
      </c>
      <c r="BK41" s="229">
        <v>8.4599999999999995E-2</v>
      </c>
      <c r="BL41" s="230">
        <v>2387350</v>
      </c>
      <c r="BM41" s="230">
        <v>2925050</v>
      </c>
      <c r="BN41" s="230">
        <v>-537700</v>
      </c>
      <c r="BO41" s="229">
        <v>-0.18379999999999999</v>
      </c>
      <c r="BP41" s="230">
        <v>13143725</v>
      </c>
      <c r="BQ41" s="230">
        <v>13350825</v>
      </c>
      <c r="BR41" s="230">
        <v>-207100</v>
      </c>
      <c r="BS41" s="229">
        <v>-1.55E-2</v>
      </c>
      <c r="BT41" s="230">
        <v>1015587</v>
      </c>
      <c r="BU41" s="230">
        <v>1256442</v>
      </c>
      <c r="BV41" s="230">
        <v>-240855</v>
      </c>
      <c r="BW41" s="229">
        <v>-0.19170000000000001</v>
      </c>
      <c r="BX41" s="230">
        <v>10116550</v>
      </c>
      <c r="BY41" s="230">
        <v>10077125</v>
      </c>
      <c r="BZ41" s="230">
        <v>39425</v>
      </c>
      <c r="CA41" s="229">
        <v>3.8999999999999998E-3</v>
      </c>
      <c r="CB41" s="230">
        <v>8707700</v>
      </c>
      <c r="CC41" s="230">
        <v>8790350</v>
      </c>
      <c r="CD41" s="230">
        <v>-82650</v>
      </c>
      <c r="CE41" s="229">
        <v>-9.4000000000000004E-3</v>
      </c>
      <c r="CF41" s="230">
        <v>1246875</v>
      </c>
      <c r="CG41" s="230">
        <v>1134300</v>
      </c>
      <c r="CH41" s="230">
        <v>112575</v>
      </c>
      <c r="CI41" s="229">
        <v>9.9199999999999997E-2</v>
      </c>
      <c r="CJ41" s="230">
        <v>161975</v>
      </c>
      <c r="CK41" s="230">
        <v>152475</v>
      </c>
      <c r="CL41" s="230">
        <v>9500</v>
      </c>
      <c r="CM41" s="229">
        <v>6.2300000000000001E-2</v>
      </c>
      <c r="CN41" s="230">
        <v>11409025</v>
      </c>
      <c r="CO41" s="230">
        <v>11708275</v>
      </c>
      <c r="CP41" s="230">
        <v>-299250</v>
      </c>
      <c r="CQ41" s="229">
        <v>-2.5600000000000001E-2</v>
      </c>
      <c r="CR41" s="230">
        <v>5124775</v>
      </c>
      <c r="CS41" s="230">
        <v>5100550</v>
      </c>
      <c r="CT41" s="230">
        <v>24225</v>
      </c>
      <c r="CU41" s="229">
        <v>4.7000000000000002E-3</v>
      </c>
      <c r="CV41" s="230">
        <v>26650350</v>
      </c>
      <c r="CW41" s="230">
        <v>26885950</v>
      </c>
      <c r="CX41" s="230">
        <v>-235600</v>
      </c>
      <c r="CY41" s="229">
        <v>-8.8000000000000005E-3</v>
      </c>
      <c r="CZ41" s="228">
        <v>27.66</v>
      </c>
      <c r="DA41" s="228">
        <v>29.96</v>
      </c>
      <c r="DB41" s="228">
        <v>-2.2999999999999998</v>
      </c>
      <c r="DC41" s="228">
        <v>-2.2999999999999998</v>
      </c>
      <c r="DD41" s="228">
        <v>44.95</v>
      </c>
      <c r="DE41" s="228">
        <v>45.05</v>
      </c>
      <c r="DF41" s="228">
        <v>-17.29</v>
      </c>
      <c r="DG41" s="228">
        <v>-0.1</v>
      </c>
      <c r="DH41" s="228">
        <v>27.91</v>
      </c>
      <c r="DI41" s="228">
        <v>31.1</v>
      </c>
      <c r="DJ41" s="228">
        <v>-3.19</v>
      </c>
      <c r="DK41" s="228">
        <v>-3.19</v>
      </c>
      <c r="DL41" s="228">
        <v>26.69</v>
      </c>
      <c r="DM41" s="228">
        <v>26.68</v>
      </c>
      <c r="DN41" s="228">
        <v>0.01</v>
      </c>
      <c r="DO41" s="228">
        <v>0.01</v>
      </c>
      <c r="DP41" s="228">
        <v>0.45</v>
      </c>
      <c r="DQ41" s="228">
        <v>0.44</v>
      </c>
      <c r="DR41" s="228">
        <v>0.01</v>
      </c>
      <c r="DS41" s="229">
        <v>2.2700000000000001E-2</v>
      </c>
      <c r="DT41" s="231">
        <v>1600</v>
      </c>
      <c r="DU41" s="231">
        <v>1500</v>
      </c>
      <c r="DV41" s="228">
        <v>0.26</v>
      </c>
      <c r="DW41" s="228">
        <v>0.35</v>
      </c>
      <c r="DX41" s="228">
        <v>-0.09</v>
      </c>
      <c r="DY41" s="229">
        <v>-0.2571</v>
      </c>
      <c r="DZ41" s="229">
        <v>0.13930000000000001</v>
      </c>
      <c r="EA41" s="230">
        <v>1286775</v>
      </c>
      <c r="EB41" s="229">
        <v>4.5999999999999999E-3</v>
      </c>
      <c r="EC41" s="229">
        <v>0.13930000000000001</v>
      </c>
      <c r="ED41" s="228">
        <v>6.24</v>
      </c>
      <c r="EE41" s="229">
        <v>4.1999999999999997E-3</v>
      </c>
      <c r="EF41" s="230">
        <v>272619</v>
      </c>
      <c r="EG41" s="230">
        <v>517636</v>
      </c>
      <c r="EH41" s="229">
        <v>-0.4733</v>
      </c>
      <c r="EI41" s="229">
        <v>0.26840000000000003</v>
      </c>
      <c r="EJ41" s="231">
        <v>144079.01</v>
      </c>
      <c r="EK41" s="231">
        <v>35192.559999999998</v>
      </c>
      <c r="EL41" s="231">
        <v>23844.87</v>
      </c>
      <c r="EM41" s="231">
        <v>3106</v>
      </c>
      <c r="EN41" s="231">
        <v>203116.44</v>
      </c>
      <c r="EO41" s="231">
        <v>207499.83</v>
      </c>
      <c r="EP41" s="231">
        <v>-4383.3900000000003</v>
      </c>
      <c r="EQ41" s="229">
        <v>-2.1100000000000001E-2</v>
      </c>
      <c r="ER41" s="231">
        <v>185927</v>
      </c>
      <c r="ES41" s="231">
        <v>77982</v>
      </c>
      <c r="ET41" s="231">
        <v>150928</v>
      </c>
      <c r="EU41" s="231">
        <v>26647500</v>
      </c>
      <c r="EV41" s="231">
        <v>414837</v>
      </c>
      <c r="EW41" s="231">
        <v>418159</v>
      </c>
      <c r="EX41" s="231">
        <v>-3322</v>
      </c>
      <c r="EY41" s="229">
        <v>-7.9000000000000008E-3</v>
      </c>
      <c r="EZ41" s="229">
        <v>1.0001</v>
      </c>
      <c r="FA41" s="227" t="s">
        <v>555</v>
      </c>
      <c r="FB41" s="161">
        <f t="shared" si="0"/>
        <v>1408850</v>
      </c>
    </row>
    <row r="42" spans="1:158" ht="17.25" hidden="1" thickBot="1" x14ac:dyDescent="0.3">
      <c r="A42" s="226">
        <v>46009</v>
      </c>
      <c r="B42" s="227" t="s">
        <v>161</v>
      </c>
      <c r="C42" s="227" t="s">
        <v>612</v>
      </c>
      <c r="D42" s="228">
        <v>850</v>
      </c>
      <c r="E42" s="228">
        <v>662.55</v>
      </c>
      <c r="F42" s="228">
        <v>670.7</v>
      </c>
      <c r="G42" s="228">
        <v>-8.15</v>
      </c>
      <c r="H42" s="229">
        <v>-1.2200000000000001E-2</v>
      </c>
      <c r="I42" s="228">
        <v>661.8</v>
      </c>
      <c r="J42" s="228">
        <v>670.4</v>
      </c>
      <c r="K42" s="228">
        <v>-8.6</v>
      </c>
      <c r="L42" s="229">
        <v>-1.2800000000000001E-2</v>
      </c>
      <c r="M42" s="228">
        <v>662.55</v>
      </c>
      <c r="N42" s="228">
        <v>670.7</v>
      </c>
      <c r="O42" s="228">
        <v>-8.15</v>
      </c>
      <c r="P42" s="229">
        <v>-1.2200000000000001E-2</v>
      </c>
      <c r="Q42" s="228">
        <v>666.65</v>
      </c>
      <c r="R42" s="228">
        <v>674.35</v>
      </c>
      <c r="S42" s="228">
        <v>-7.7</v>
      </c>
      <c r="T42" s="229">
        <v>-1.14E-2</v>
      </c>
      <c r="U42" s="228">
        <v>670.6</v>
      </c>
      <c r="V42" s="228">
        <v>676.65</v>
      </c>
      <c r="W42" s="228">
        <v>-6.05</v>
      </c>
      <c r="X42" s="229">
        <v>-8.8999999999999999E-3</v>
      </c>
      <c r="Y42" s="228">
        <v>0.75</v>
      </c>
      <c r="Z42" s="228">
        <v>0.3</v>
      </c>
      <c r="AA42" s="228">
        <v>0.45</v>
      </c>
      <c r="AB42" s="229">
        <v>1.1000000000000001E-3</v>
      </c>
      <c r="AC42" s="228">
        <v>0.75</v>
      </c>
      <c r="AD42" s="228">
        <v>0.3</v>
      </c>
      <c r="AE42" s="228">
        <v>0.45</v>
      </c>
      <c r="AF42" s="229">
        <v>1.1000000000000001E-3</v>
      </c>
      <c r="AG42" s="228">
        <v>4.8499999999999996</v>
      </c>
      <c r="AH42" s="228">
        <v>3.95</v>
      </c>
      <c r="AI42" s="228">
        <v>0.9</v>
      </c>
      <c r="AJ42" s="229">
        <v>7.3000000000000001E-3</v>
      </c>
      <c r="AK42" s="228">
        <v>8.8000000000000007</v>
      </c>
      <c r="AL42" s="228">
        <v>6.25</v>
      </c>
      <c r="AM42" s="228">
        <v>2.5499999999999998</v>
      </c>
      <c r="AN42" s="229">
        <v>1.3299999999999999E-2</v>
      </c>
      <c r="AO42" s="228">
        <v>663.39</v>
      </c>
      <c r="AP42" s="228">
        <v>666.91</v>
      </c>
      <c r="AQ42" s="228">
        <v>0</v>
      </c>
      <c r="AR42" s="230">
        <v>2991150</v>
      </c>
      <c r="AS42" s="230">
        <v>5528400</v>
      </c>
      <c r="AT42" s="230">
        <v>-2537250</v>
      </c>
      <c r="AU42" s="229">
        <v>-0.45889999999999997</v>
      </c>
      <c r="AV42" s="230">
        <v>2459900</v>
      </c>
      <c r="AW42" s="230">
        <v>4828000</v>
      </c>
      <c r="AX42" s="230">
        <v>-2368100</v>
      </c>
      <c r="AY42" s="229">
        <v>-0.49049999999999999</v>
      </c>
      <c r="AZ42" s="230">
        <v>500650</v>
      </c>
      <c r="BA42" s="230">
        <v>664700</v>
      </c>
      <c r="BB42" s="230">
        <v>-164050</v>
      </c>
      <c r="BC42" s="229">
        <v>-0.24679999999999999</v>
      </c>
      <c r="BD42" s="230">
        <v>30600</v>
      </c>
      <c r="BE42" s="230">
        <v>35700</v>
      </c>
      <c r="BF42" s="230">
        <v>-5100</v>
      </c>
      <c r="BG42" s="229">
        <v>-0.1429</v>
      </c>
      <c r="BH42" s="230">
        <v>11610150</v>
      </c>
      <c r="BI42" s="230">
        <v>36110550</v>
      </c>
      <c r="BJ42" s="230">
        <v>-24500400</v>
      </c>
      <c r="BK42" s="229">
        <v>-0.67849999999999999</v>
      </c>
      <c r="BL42" s="230">
        <v>4710700</v>
      </c>
      <c r="BM42" s="230">
        <v>7853150</v>
      </c>
      <c r="BN42" s="230">
        <v>-3142450</v>
      </c>
      <c r="BO42" s="229">
        <v>-0.4002</v>
      </c>
      <c r="BP42" s="230">
        <v>19312000</v>
      </c>
      <c r="BQ42" s="230">
        <v>49492100</v>
      </c>
      <c r="BR42" s="230">
        <v>-30180100</v>
      </c>
      <c r="BS42" s="229">
        <v>-0.60980000000000001</v>
      </c>
      <c r="BT42" s="230">
        <v>1965841</v>
      </c>
      <c r="BU42" s="230">
        <v>3716577</v>
      </c>
      <c r="BV42" s="230">
        <v>-1750736</v>
      </c>
      <c r="BW42" s="229">
        <v>-0.47110000000000002</v>
      </c>
      <c r="BX42" s="230">
        <v>14356500</v>
      </c>
      <c r="BY42" s="230">
        <v>14777250</v>
      </c>
      <c r="BZ42" s="230">
        <v>-420750</v>
      </c>
      <c r="CA42" s="229">
        <v>-2.8500000000000001E-2</v>
      </c>
      <c r="CB42" s="230">
        <v>13060250</v>
      </c>
      <c r="CC42" s="230">
        <v>13623800</v>
      </c>
      <c r="CD42" s="230">
        <v>-563550</v>
      </c>
      <c r="CE42" s="229">
        <v>-4.1399999999999999E-2</v>
      </c>
      <c r="CF42" s="230">
        <v>1195100</v>
      </c>
      <c r="CG42" s="230">
        <v>1061650</v>
      </c>
      <c r="CH42" s="230">
        <v>133450</v>
      </c>
      <c r="CI42" s="229">
        <v>0.12570000000000001</v>
      </c>
      <c r="CJ42" s="230">
        <v>101150</v>
      </c>
      <c r="CK42" s="230">
        <v>91800</v>
      </c>
      <c r="CL42" s="230">
        <v>9350</v>
      </c>
      <c r="CM42" s="229">
        <v>0.1019</v>
      </c>
      <c r="CN42" s="230">
        <v>9453700</v>
      </c>
      <c r="CO42" s="230">
        <v>9639000</v>
      </c>
      <c r="CP42" s="230">
        <v>-185300</v>
      </c>
      <c r="CQ42" s="229">
        <v>-1.9199999999999998E-2</v>
      </c>
      <c r="CR42" s="230">
        <v>4167550</v>
      </c>
      <c r="CS42" s="230">
        <v>4280600</v>
      </c>
      <c r="CT42" s="230">
        <v>-113050</v>
      </c>
      <c r="CU42" s="229">
        <v>-2.64E-2</v>
      </c>
      <c r="CV42" s="230">
        <v>27977750</v>
      </c>
      <c r="CW42" s="230">
        <v>28696850</v>
      </c>
      <c r="CX42" s="230">
        <v>-719100</v>
      </c>
      <c r="CY42" s="229">
        <v>-2.5100000000000001E-2</v>
      </c>
      <c r="CZ42" s="228">
        <v>26.49</v>
      </c>
      <c r="DA42" s="228">
        <v>27.94</v>
      </c>
      <c r="DB42" s="228">
        <v>-1.45</v>
      </c>
      <c r="DC42" s="228">
        <v>-1.45</v>
      </c>
      <c r="DD42" s="228">
        <v>39.19</v>
      </c>
      <c r="DE42" s="228">
        <v>39.25</v>
      </c>
      <c r="DF42" s="228">
        <v>-12.7</v>
      </c>
      <c r="DG42" s="228">
        <v>-0.06</v>
      </c>
      <c r="DH42" s="228">
        <v>26.68</v>
      </c>
      <c r="DI42" s="228">
        <v>28.27</v>
      </c>
      <c r="DJ42" s="228">
        <v>-1.59</v>
      </c>
      <c r="DK42" s="228">
        <v>-1.59</v>
      </c>
      <c r="DL42" s="228">
        <v>26.02</v>
      </c>
      <c r="DM42" s="228">
        <v>26.44</v>
      </c>
      <c r="DN42" s="228">
        <v>-0.42</v>
      </c>
      <c r="DO42" s="228">
        <v>-0.42</v>
      </c>
      <c r="DP42" s="228">
        <v>0.44</v>
      </c>
      <c r="DQ42" s="228">
        <v>0.44</v>
      </c>
      <c r="DR42" s="228">
        <v>0</v>
      </c>
      <c r="DS42" s="229">
        <v>0</v>
      </c>
      <c r="DT42" s="228">
        <v>700</v>
      </c>
      <c r="DU42" s="228">
        <v>700</v>
      </c>
      <c r="DV42" s="228">
        <v>0.41</v>
      </c>
      <c r="DW42" s="228">
        <v>0.22</v>
      </c>
      <c r="DX42" s="228">
        <v>0.19</v>
      </c>
      <c r="DY42" s="229">
        <v>0.86360000000000003</v>
      </c>
      <c r="DZ42" s="229">
        <v>9.0300000000000005E-2</v>
      </c>
      <c r="EA42" s="230">
        <v>1153450</v>
      </c>
      <c r="EB42" s="229">
        <v>6.1999999999999998E-3</v>
      </c>
      <c r="EC42" s="229">
        <v>9.0300000000000005E-2</v>
      </c>
      <c r="ED42" s="228">
        <v>3.52</v>
      </c>
      <c r="EE42" s="229">
        <v>5.3E-3</v>
      </c>
      <c r="EF42" s="230">
        <v>932419</v>
      </c>
      <c r="EG42" s="230">
        <v>1090111</v>
      </c>
      <c r="EH42" s="229">
        <v>-0.1447</v>
      </c>
      <c r="EI42" s="229">
        <v>0.4743</v>
      </c>
      <c r="EJ42" s="231">
        <v>80737.960000000006</v>
      </c>
      <c r="EK42" s="231">
        <v>31441.91</v>
      </c>
      <c r="EL42" s="231">
        <v>19862.669999999998</v>
      </c>
      <c r="EM42" s="231">
        <v>3105</v>
      </c>
      <c r="EN42" s="231">
        <v>132042.54</v>
      </c>
      <c r="EO42" s="231">
        <v>346589.54</v>
      </c>
      <c r="EP42" s="231">
        <v>-214547</v>
      </c>
      <c r="EQ42" s="229">
        <v>-0.61899999999999999</v>
      </c>
      <c r="ER42" s="231">
        <v>66991</v>
      </c>
      <c r="ES42" s="231">
        <v>28026</v>
      </c>
      <c r="ET42" s="231">
        <v>95176</v>
      </c>
      <c r="EU42" s="231">
        <v>100245792</v>
      </c>
      <c r="EV42" s="231">
        <v>190193</v>
      </c>
      <c r="EW42" s="231">
        <v>196381</v>
      </c>
      <c r="EX42" s="231">
        <v>-6188</v>
      </c>
      <c r="EY42" s="229">
        <v>-3.15E-2</v>
      </c>
      <c r="EZ42" s="229">
        <v>0.27910000000000001</v>
      </c>
      <c r="FA42" s="227" t="s">
        <v>568</v>
      </c>
      <c r="FB42" s="161">
        <f t="shared" si="0"/>
        <v>1296250</v>
      </c>
    </row>
    <row r="43" spans="1:158" ht="17.25" hidden="1" thickBot="1" x14ac:dyDescent="0.3">
      <c r="A43" s="226">
        <v>46009</v>
      </c>
      <c r="B43" s="227" t="s">
        <v>175</v>
      </c>
      <c r="C43" s="227" t="s">
        <v>198</v>
      </c>
      <c r="D43" s="228">
        <v>625</v>
      </c>
      <c r="E43" s="231">
        <v>1686</v>
      </c>
      <c r="F43" s="231">
        <v>1679.2</v>
      </c>
      <c r="G43" s="228">
        <v>6.8</v>
      </c>
      <c r="H43" s="229">
        <v>4.0000000000000001E-3</v>
      </c>
      <c r="I43" s="231">
        <v>1679</v>
      </c>
      <c r="J43" s="231">
        <v>1673.5</v>
      </c>
      <c r="K43" s="228">
        <v>5.5</v>
      </c>
      <c r="L43" s="229">
        <v>3.3E-3</v>
      </c>
      <c r="M43" s="231">
        <v>1686</v>
      </c>
      <c r="N43" s="231">
        <v>1679.2</v>
      </c>
      <c r="O43" s="228">
        <v>6.8</v>
      </c>
      <c r="P43" s="229">
        <v>4.0000000000000001E-3</v>
      </c>
      <c r="Q43" s="231">
        <v>1693</v>
      </c>
      <c r="R43" s="231">
        <v>1684.8</v>
      </c>
      <c r="S43" s="228">
        <v>8.1999999999999993</v>
      </c>
      <c r="T43" s="229">
        <v>4.8999999999999998E-3</v>
      </c>
      <c r="U43" s="231">
        <v>1693.1</v>
      </c>
      <c r="V43" s="231">
        <v>1681.8</v>
      </c>
      <c r="W43" s="228">
        <v>11.3</v>
      </c>
      <c r="X43" s="229">
        <v>6.7000000000000002E-3</v>
      </c>
      <c r="Y43" s="228">
        <v>7</v>
      </c>
      <c r="Z43" s="228">
        <v>5.7</v>
      </c>
      <c r="AA43" s="228">
        <v>1.3</v>
      </c>
      <c r="AB43" s="229">
        <v>4.1999999999999997E-3</v>
      </c>
      <c r="AC43" s="228">
        <v>7</v>
      </c>
      <c r="AD43" s="228">
        <v>5.7</v>
      </c>
      <c r="AE43" s="228">
        <v>1.3</v>
      </c>
      <c r="AF43" s="229">
        <v>4.1999999999999997E-3</v>
      </c>
      <c r="AG43" s="228">
        <v>14</v>
      </c>
      <c r="AH43" s="228">
        <v>11.3</v>
      </c>
      <c r="AI43" s="228">
        <v>2.7</v>
      </c>
      <c r="AJ43" s="229">
        <v>8.3000000000000001E-3</v>
      </c>
      <c r="AK43" s="228">
        <v>14.1</v>
      </c>
      <c r="AL43" s="228">
        <v>8.3000000000000007</v>
      </c>
      <c r="AM43" s="228">
        <v>5.8</v>
      </c>
      <c r="AN43" s="229">
        <v>8.3999999999999995E-3</v>
      </c>
      <c r="AO43" s="231">
        <v>1682.61</v>
      </c>
      <c r="AP43" s="231">
        <v>1689.98</v>
      </c>
      <c r="AQ43" s="228">
        <v>0</v>
      </c>
      <c r="AR43" s="230">
        <v>1877500</v>
      </c>
      <c r="AS43" s="230">
        <v>3037500</v>
      </c>
      <c r="AT43" s="230">
        <v>-1160000</v>
      </c>
      <c r="AU43" s="229">
        <v>-0.38190000000000002</v>
      </c>
      <c r="AV43" s="230">
        <v>1626875</v>
      </c>
      <c r="AW43" s="230">
        <v>2638125</v>
      </c>
      <c r="AX43" s="230">
        <v>-1011250</v>
      </c>
      <c r="AY43" s="229">
        <v>-0.38329999999999997</v>
      </c>
      <c r="AZ43" s="230">
        <v>241875</v>
      </c>
      <c r="BA43" s="230">
        <v>392500</v>
      </c>
      <c r="BB43" s="230">
        <v>-150625</v>
      </c>
      <c r="BC43" s="229">
        <v>-0.38379999999999997</v>
      </c>
      <c r="BD43" s="230">
        <v>8750</v>
      </c>
      <c r="BE43" s="230">
        <v>6875</v>
      </c>
      <c r="BF43" s="230">
        <v>1875</v>
      </c>
      <c r="BG43" s="229">
        <v>0.2727</v>
      </c>
      <c r="BH43" s="230">
        <v>5519375</v>
      </c>
      <c r="BI43" s="230">
        <v>13011250</v>
      </c>
      <c r="BJ43" s="230">
        <v>-7491875</v>
      </c>
      <c r="BK43" s="229">
        <v>-0.57579999999999998</v>
      </c>
      <c r="BL43" s="230">
        <v>5006250</v>
      </c>
      <c r="BM43" s="230">
        <v>8265625</v>
      </c>
      <c r="BN43" s="230">
        <v>-3259375</v>
      </c>
      <c r="BO43" s="229">
        <v>-0.39429999999999998</v>
      </c>
      <c r="BP43" s="230">
        <v>12403125</v>
      </c>
      <c r="BQ43" s="230">
        <v>24314375</v>
      </c>
      <c r="BR43" s="230">
        <v>-11911250</v>
      </c>
      <c r="BS43" s="229">
        <v>-0.4899</v>
      </c>
      <c r="BT43" s="230">
        <v>758381</v>
      </c>
      <c r="BU43" s="230">
        <v>1402017</v>
      </c>
      <c r="BV43" s="230">
        <v>-643636</v>
      </c>
      <c r="BW43" s="229">
        <v>-0.45910000000000001</v>
      </c>
      <c r="BX43" s="230">
        <v>14582500</v>
      </c>
      <c r="BY43" s="230">
        <v>14370625</v>
      </c>
      <c r="BZ43" s="230">
        <v>211875</v>
      </c>
      <c r="CA43" s="229">
        <v>1.47E-2</v>
      </c>
      <c r="CB43" s="230">
        <v>13666250</v>
      </c>
      <c r="CC43" s="230">
        <v>13539375</v>
      </c>
      <c r="CD43" s="230">
        <v>126875</v>
      </c>
      <c r="CE43" s="229">
        <v>9.4000000000000004E-3</v>
      </c>
      <c r="CF43" s="230">
        <v>878750</v>
      </c>
      <c r="CG43" s="230">
        <v>796250</v>
      </c>
      <c r="CH43" s="230">
        <v>82500</v>
      </c>
      <c r="CI43" s="229">
        <v>0.1036</v>
      </c>
      <c r="CJ43" s="230">
        <v>37500</v>
      </c>
      <c r="CK43" s="230">
        <v>35000</v>
      </c>
      <c r="CL43" s="230">
        <v>2500</v>
      </c>
      <c r="CM43" s="229">
        <v>7.1400000000000005E-2</v>
      </c>
      <c r="CN43" s="230">
        <v>5990000</v>
      </c>
      <c r="CO43" s="230">
        <v>5844375</v>
      </c>
      <c r="CP43" s="230">
        <v>145625</v>
      </c>
      <c r="CQ43" s="229">
        <v>2.4899999999999999E-2</v>
      </c>
      <c r="CR43" s="230">
        <v>5344375</v>
      </c>
      <c r="CS43" s="230">
        <v>4307500</v>
      </c>
      <c r="CT43" s="230">
        <v>1036875</v>
      </c>
      <c r="CU43" s="229">
        <v>0.2407</v>
      </c>
      <c r="CV43" s="230">
        <v>25916875</v>
      </c>
      <c r="CW43" s="230">
        <v>24522500</v>
      </c>
      <c r="CX43" s="230">
        <v>1394375</v>
      </c>
      <c r="CY43" s="229">
        <v>5.6899999999999999E-2</v>
      </c>
      <c r="CZ43" s="228">
        <v>25.48</v>
      </c>
      <c r="DA43" s="228">
        <v>25.71</v>
      </c>
      <c r="DB43" s="228">
        <v>-0.23</v>
      </c>
      <c r="DC43" s="228">
        <v>-0.23</v>
      </c>
      <c r="DD43" s="228">
        <v>36.89</v>
      </c>
      <c r="DE43" s="228">
        <v>36.979999999999997</v>
      </c>
      <c r="DF43" s="228">
        <v>-11.41</v>
      </c>
      <c r="DG43" s="228">
        <v>-0.09</v>
      </c>
      <c r="DH43" s="228">
        <v>24.59</v>
      </c>
      <c r="DI43" s="228">
        <v>25.51</v>
      </c>
      <c r="DJ43" s="228">
        <v>-0.92</v>
      </c>
      <c r="DK43" s="228">
        <v>-0.92</v>
      </c>
      <c r="DL43" s="228">
        <v>26.46</v>
      </c>
      <c r="DM43" s="228">
        <v>26.04</v>
      </c>
      <c r="DN43" s="228">
        <v>0.42</v>
      </c>
      <c r="DO43" s="228">
        <v>0.42</v>
      </c>
      <c r="DP43" s="228">
        <v>0.89</v>
      </c>
      <c r="DQ43" s="228">
        <v>0.74</v>
      </c>
      <c r="DR43" s="228">
        <v>0.15</v>
      </c>
      <c r="DS43" s="229">
        <v>0.20269999999999999</v>
      </c>
      <c r="DT43" s="231">
        <v>1740</v>
      </c>
      <c r="DU43" s="231">
        <v>1700</v>
      </c>
      <c r="DV43" s="228">
        <v>0.91</v>
      </c>
      <c r="DW43" s="228">
        <v>0.64</v>
      </c>
      <c r="DX43" s="228">
        <v>0.27</v>
      </c>
      <c r="DY43" s="229">
        <v>0.4219</v>
      </c>
      <c r="DZ43" s="229">
        <v>6.2799999999999995E-2</v>
      </c>
      <c r="EA43" s="230">
        <v>831250</v>
      </c>
      <c r="EB43" s="229">
        <v>4.1999999999999997E-3</v>
      </c>
      <c r="EC43" s="229">
        <v>6.2799999999999995E-2</v>
      </c>
      <c r="ED43" s="228">
        <v>7.37</v>
      </c>
      <c r="EE43" s="229">
        <v>4.4000000000000003E-3</v>
      </c>
      <c r="EF43" s="230">
        <v>390892</v>
      </c>
      <c r="EG43" s="230">
        <v>858693</v>
      </c>
      <c r="EH43" s="229">
        <v>-0.54479999999999995</v>
      </c>
      <c r="EI43" s="229">
        <v>0.51539999999999997</v>
      </c>
      <c r="EJ43" s="231">
        <v>96219.64</v>
      </c>
      <c r="EK43" s="231">
        <v>83758.929999999993</v>
      </c>
      <c r="EL43" s="231">
        <v>31608.98</v>
      </c>
      <c r="EM43" s="231">
        <v>3797</v>
      </c>
      <c r="EN43" s="231">
        <v>211587.55</v>
      </c>
      <c r="EO43" s="231">
        <v>419987.67</v>
      </c>
      <c r="EP43" s="231">
        <v>-208400.12</v>
      </c>
      <c r="EQ43" s="229">
        <v>-0.49619999999999997</v>
      </c>
      <c r="ER43" s="231">
        <v>105279</v>
      </c>
      <c r="ES43" s="231">
        <v>88562</v>
      </c>
      <c r="ET43" s="231">
        <v>245925</v>
      </c>
      <c r="EU43" s="231">
        <v>63212268</v>
      </c>
      <c r="EV43" s="231">
        <v>439766</v>
      </c>
      <c r="EW43" s="231">
        <v>415703</v>
      </c>
      <c r="EX43" s="231">
        <v>24063</v>
      </c>
      <c r="EY43" s="229">
        <v>5.79E-2</v>
      </c>
      <c r="EZ43" s="229">
        <v>0.41</v>
      </c>
      <c r="FA43" s="227" t="s">
        <v>555</v>
      </c>
      <c r="FB43" s="161">
        <f t="shared" si="0"/>
        <v>916250</v>
      </c>
    </row>
    <row r="44" spans="1:158" ht="17.25" hidden="1" thickBot="1" x14ac:dyDescent="0.3">
      <c r="A44" s="226">
        <v>46009</v>
      </c>
      <c r="B44" s="227" t="s">
        <v>170</v>
      </c>
      <c r="C44" s="227" t="s">
        <v>199</v>
      </c>
      <c r="D44" s="228">
        <v>375</v>
      </c>
      <c r="E44" s="231">
        <v>1502.5</v>
      </c>
      <c r="F44" s="231">
        <v>1498.5</v>
      </c>
      <c r="G44" s="228">
        <v>4</v>
      </c>
      <c r="H44" s="229">
        <v>2.7000000000000001E-3</v>
      </c>
      <c r="I44" s="231">
        <v>1498.9</v>
      </c>
      <c r="J44" s="231">
        <v>1496.9</v>
      </c>
      <c r="K44" s="228">
        <v>2</v>
      </c>
      <c r="L44" s="229">
        <v>1.2999999999999999E-3</v>
      </c>
      <c r="M44" s="231">
        <v>1502.5</v>
      </c>
      <c r="N44" s="231">
        <v>1498.5</v>
      </c>
      <c r="O44" s="228">
        <v>4</v>
      </c>
      <c r="P44" s="229">
        <v>2.7000000000000001E-3</v>
      </c>
      <c r="Q44" s="231">
        <v>1512.9</v>
      </c>
      <c r="R44" s="231">
        <v>1508.8</v>
      </c>
      <c r="S44" s="228">
        <v>4.0999999999999996</v>
      </c>
      <c r="T44" s="229">
        <v>2.7000000000000001E-3</v>
      </c>
      <c r="U44" s="231">
        <v>1520</v>
      </c>
      <c r="V44" s="231">
        <v>1517</v>
      </c>
      <c r="W44" s="228">
        <v>3</v>
      </c>
      <c r="X44" s="229">
        <v>2E-3</v>
      </c>
      <c r="Y44" s="228">
        <v>3.6</v>
      </c>
      <c r="Z44" s="228">
        <v>1.6</v>
      </c>
      <c r="AA44" s="228">
        <v>2</v>
      </c>
      <c r="AB44" s="229">
        <v>2.3999999999999998E-3</v>
      </c>
      <c r="AC44" s="228">
        <v>3.6</v>
      </c>
      <c r="AD44" s="228">
        <v>1.6</v>
      </c>
      <c r="AE44" s="228">
        <v>2</v>
      </c>
      <c r="AF44" s="229">
        <v>2.3999999999999998E-3</v>
      </c>
      <c r="AG44" s="228">
        <v>14</v>
      </c>
      <c r="AH44" s="228">
        <v>11.9</v>
      </c>
      <c r="AI44" s="228">
        <v>2.1</v>
      </c>
      <c r="AJ44" s="229">
        <v>9.2999999999999992E-3</v>
      </c>
      <c r="AK44" s="228">
        <v>21.1</v>
      </c>
      <c r="AL44" s="228">
        <v>20.100000000000001</v>
      </c>
      <c r="AM44" s="228">
        <v>1</v>
      </c>
      <c r="AN44" s="229">
        <v>1.41E-2</v>
      </c>
      <c r="AO44" s="231">
        <v>1503.58</v>
      </c>
      <c r="AP44" s="231">
        <v>1512.77</v>
      </c>
      <c r="AQ44" s="228">
        <v>0</v>
      </c>
      <c r="AR44" s="230">
        <v>1325625</v>
      </c>
      <c r="AS44" s="230">
        <v>1416750</v>
      </c>
      <c r="AT44" s="230">
        <v>-91125</v>
      </c>
      <c r="AU44" s="229">
        <v>-6.4299999999999996E-2</v>
      </c>
      <c r="AV44" s="230">
        <v>931875</v>
      </c>
      <c r="AW44" s="230">
        <v>1004625</v>
      </c>
      <c r="AX44" s="230">
        <v>-72750</v>
      </c>
      <c r="AY44" s="229">
        <v>-7.2400000000000006E-2</v>
      </c>
      <c r="AZ44" s="230">
        <v>381750</v>
      </c>
      <c r="BA44" s="230">
        <v>404250</v>
      </c>
      <c r="BB44" s="230">
        <v>-22500</v>
      </c>
      <c r="BC44" s="229">
        <v>-5.57E-2</v>
      </c>
      <c r="BD44" s="230">
        <v>12000</v>
      </c>
      <c r="BE44" s="230">
        <v>7875</v>
      </c>
      <c r="BF44" s="230">
        <v>4125</v>
      </c>
      <c r="BG44" s="229">
        <v>0.52380000000000004</v>
      </c>
      <c r="BH44" s="230">
        <v>4437750</v>
      </c>
      <c r="BI44" s="230">
        <v>3576000</v>
      </c>
      <c r="BJ44" s="230">
        <v>861750</v>
      </c>
      <c r="BK44" s="229">
        <v>0.24099999999999999</v>
      </c>
      <c r="BL44" s="230">
        <v>1773375</v>
      </c>
      <c r="BM44" s="230">
        <v>1348125</v>
      </c>
      <c r="BN44" s="230">
        <v>425250</v>
      </c>
      <c r="BO44" s="229">
        <v>0.31540000000000001</v>
      </c>
      <c r="BP44" s="230">
        <v>7536750</v>
      </c>
      <c r="BQ44" s="230">
        <v>6340875</v>
      </c>
      <c r="BR44" s="230">
        <v>1195875</v>
      </c>
      <c r="BS44" s="229">
        <v>0.18859999999999999</v>
      </c>
      <c r="BT44" s="230">
        <v>1178332</v>
      </c>
      <c r="BU44" s="230">
        <v>1014318</v>
      </c>
      <c r="BV44" s="230">
        <v>164014</v>
      </c>
      <c r="BW44" s="229">
        <v>0.16170000000000001</v>
      </c>
      <c r="BX44" s="230">
        <v>13831500</v>
      </c>
      <c r="BY44" s="230">
        <v>13770000</v>
      </c>
      <c r="BZ44" s="230">
        <v>61500</v>
      </c>
      <c r="CA44" s="229">
        <v>4.4999999999999997E-3</v>
      </c>
      <c r="CB44" s="230">
        <v>12183750</v>
      </c>
      <c r="CC44" s="230">
        <v>12388125</v>
      </c>
      <c r="CD44" s="230">
        <v>-204375</v>
      </c>
      <c r="CE44" s="229">
        <v>-1.6500000000000001E-2</v>
      </c>
      <c r="CF44" s="230">
        <v>1581000</v>
      </c>
      <c r="CG44" s="230">
        <v>1317000</v>
      </c>
      <c r="CH44" s="230">
        <v>264000</v>
      </c>
      <c r="CI44" s="229">
        <v>0.20050000000000001</v>
      </c>
      <c r="CJ44" s="230">
        <v>66750</v>
      </c>
      <c r="CK44" s="230">
        <v>64875</v>
      </c>
      <c r="CL44" s="230">
        <v>1875</v>
      </c>
      <c r="CM44" s="229">
        <v>2.8899999999999999E-2</v>
      </c>
      <c r="CN44" s="230">
        <v>5991375</v>
      </c>
      <c r="CO44" s="230">
        <v>6142875</v>
      </c>
      <c r="CP44" s="230">
        <v>-151500</v>
      </c>
      <c r="CQ44" s="229">
        <v>-2.47E-2</v>
      </c>
      <c r="CR44" s="230">
        <v>3982125</v>
      </c>
      <c r="CS44" s="230">
        <v>3974625</v>
      </c>
      <c r="CT44" s="230">
        <v>7500</v>
      </c>
      <c r="CU44" s="229">
        <v>1.9E-3</v>
      </c>
      <c r="CV44" s="230">
        <v>23805000</v>
      </c>
      <c r="CW44" s="230">
        <v>23887500</v>
      </c>
      <c r="CX44" s="230">
        <v>-82500</v>
      </c>
      <c r="CY44" s="229">
        <v>-3.5000000000000001E-3</v>
      </c>
      <c r="CZ44" s="228">
        <v>15.04</v>
      </c>
      <c r="DA44" s="228">
        <v>15.48</v>
      </c>
      <c r="DB44" s="228">
        <v>-0.44</v>
      </c>
      <c r="DC44" s="228">
        <v>-0.44</v>
      </c>
      <c r="DD44" s="228">
        <v>25.62</v>
      </c>
      <c r="DE44" s="228">
        <v>25.68</v>
      </c>
      <c r="DF44" s="228">
        <v>-10.58</v>
      </c>
      <c r="DG44" s="228">
        <v>-0.06</v>
      </c>
      <c r="DH44" s="228">
        <v>15.08</v>
      </c>
      <c r="DI44" s="228">
        <v>15.67</v>
      </c>
      <c r="DJ44" s="228">
        <v>-0.59</v>
      </c>
      <c r="DK44" s="228">
        <v>-0.59</v>
      </c>
      <c r="DL44" s="228">
        <v>14.94</v>
      </c>
      <c r="DM44" s="228">
        <v>14.99</v>
      </c>
      <c r="DN44" s="228">
        <v>-0.05</v>
      </c>
      <c r="DO44" s="228">
        <v>-0.05</v>
      </c>
      <c r="DP44" s="228">
        <v>0.66</v>
      </c>
      <c r="DQ44" s="228">
        <v>0.65</v>
      </c>
      <c r="DR44" s="228">
        <v>0.01</v>
      </c>
      <c r="DS44" s="229">
        <v>1.54E-2</v>
      </c>
      <c r="DT44" s="231">
        <v>1660</v>
      </c>
      <c r="DU44" s="231">
        <v>1400</v>
      </c>
      <c r="DV44" s="228">
        <v>0.4</v>
      </c>
      <c r="DW44" s="228">
        <v>0.38</v>
      </c>
      <c r="DX44" s="228">
        <v>0.02</v>
      </c>
      <c r="DY44" s="229">
        <v>5.2600000000000001E-2</v>
      </c>
      <c r="DZ44" s="229">
        <v>0.1191</v>
      </c>
      <c r="EA44" s="230">
        <v>1381875</v>
      </c>
      <c r="EB44" s="229">
        <v>6.8999999999999999E-3</v>
      </c>
      <c r="EC44" s="229">
        <v>0.1191</v>
      </c>
      <c r="ED44" s="228">
        <v>9.19</v>
      </c>
      <c r="EE44" s="229">
        <v>6.1000000000000004E-3</v>
      </c>
      <c r="EF44" s="230">
        <v>696304</v>
      </c>
      <c r="EG44" s="230">
        <v>592763</v>
      </c>
      <c r="EH44" s="229">
        <v>0.17469999999999999</v>
      </c>
      <c r="EI44" s="229">
        <v>0.59089999999999998</v>
      </c>
      <c r="EJ44" s="231">
        <v>68311.3</v>
      </c>
      <c r="EK44" s="231">
        <v>26494.95</v>
      </c>
      <c r="EL44" s="231">
        <v>19969.09</v>
      </c>
      <c r="EM44" s="231">
        <v>3116</v>
      </c>
      <c r="EN44" s="231">
        <v>114775.34</v>
      </c>
      <c r="EO44" s="231">
        <v>96428.32</v>
      </c>
      <c r="EP44" s="231">
        <v>18347.02</v>
      </c>
      <c r="EQ44" s="229">
        <v>0.1903</v>
      </c>
      <c r="ER44" s="231">
        <v>94719</v>
      </c>
      <c r="ES44" s="231">
        <v>58304</v>
      </c>
      <c r="ET44" s="231">
        <v>207994</v>
      </c>
      <c r="EU44" s="231">
        <v>57073940</v>
      </c>
      <c r="EV44" s="231">
        <v>361018</v>
      </c>
      <c r="EW44" s="231">
        <v>361739</v>
      </c>
      <c r="EX44" s="228">
        <v>-721</v>
      </c>
      <c r="EY44" s="229">
        <v>-2E-3</v>
      </c>
      <c r="EZ44" s="229">
        <v>0.41710000000000003</v>
      </c>
      <c r="FA44" s="227" t="s">
        <v>555</v>
      </c>
      <c r="FB44" s="161">
        <f t="shared" si="0"/>
        <v>1647750</v>
      </c>
    </row>
    <row r="45" spans="1:158" ht="17.25" hidden="1" thickBot="1" x14ac:dyDescent="0.3">
      <c r="A45" s="226">
        <v>46009</v>
      </c>
      <c r="B45" s="227" t="s">
        <v>227</v>
      </c>
      <c r="C45" s="227" t="s">
        <v>200</v>
      </c>
      <c r="D45" s="228">
        <v>1350</v>
      </c>
      <c r="E45" s="228">
        <v>386.5</v>
      </c>
      <c r="F45" s="228">
        <v>385.85</v>
      </c>
      <c r="G45" s="228">
        <v>0.65</v>
      </c>
      <c r="H45" s="229">
        <v>1.6999999999999999E-3</v>
      </c>
      <c r="I45" s="228">
        <v>385.3</v>
      </c>
      <c r="J45" s="228">
        <v>384.75</v>
      </c>
      <c r="K45" s="228">
        <v>0.55000000000000004</v>
      </c>
      <c r="L45" s="229">
        <v>1.4E-3</v>
      </c>
      <c r="M45" s="228">
        <v>386.5</v>
      </c>
      <c r="N45" s="228">
        <v>385.85</v>
      </c>
      <c r="O45" s="228">
        <v>0.65</v>
      </c>
      <c r="P45" s="229">
        <v>1.6999999999999999E-3</v>
      </c>
      <c r="Q45" s="228">
        <v>388.85</v>
      </c>
      <c r="R45" s="228">
        <v>388</v>
      </c>
      <c r="S45" s="228">
        <v>0.85</v>
      </c>
      <c r="T45" s="229">
        <v>2.2000000000000001E-3</v>
      </c>
      <c r="U45" s="228">
        <v>387.05</v>
      </c>
      <c r="V45" s="228">
        <v>386.3</v>
      </c>
      <c r="W45" s="228">
        <v>0.75</v>
      </c>
      <c r="X45" s="229">
        <v>1.9E-3</v>
      </c>
      <c r="Y45" s="228">
        <v>1.2</v>
      </c>
      <c r="Z45" s="228">
        <v>1.1000000000000001</v>
      </c>
      <c r="AA45" s="228">
        <v>0.1</v>
      </c>
      <c r="AB45" s="229">
        <v>3.0999999999999999E-3</v>
      </c>
      <c r="AC45" s="228">
        <v>1.2</v>
      </c>
      <c r="AD45" s="228">
        <v>1.1000000000000001</v>
      </c>
      <c r="AE45" s="228">
        <v>0.1</v>
      </c>
      <c r="AF45" s="229">
        <v>3.0999999999999999E-3</v>
      </c>
      <c r="AG45" s="228">
        <v>3.55</v>
      </c>
      <c r="AH45" s="228">
        <v>3.25</v>
      </c>
      <c r="AI45" s="228">
        <v>0.3</v>
      </c>
      <c r="AJ45" s="229">
        <v>9.1999999999999998E-3</v>
      </c>
      <c r="AK45" s="228">
        <v>1.75</v>
      </c>
      <c r="AL45" s="228">
        <v>1.55</v>
      </c>
      <c r="AM45" s="228">
        <v>0.2</v>
      </c>
      <c r="AN45" s="229">
        <v>4.4999999999999997E-3</v>
      </c>
      <c r="AO45" s="228">
        <v>386.34</v>
      </c>
      <c r="AP45" s="228">
        <v>388.78</v>
      </c>
      <c r="AQ45" s="228">
        <v>0</v>
      </c>
      <c r="AR45" s="230">
        <v>6894450</v>
      </c>
      <c r="AS45" s="230">
        <v>4444200</v>
      </c>
      <c r="AT45" s="230">
        <v>2450250</v>
      </c>
      <c r="AU45" s="229">
        <v>0.55130000000000001</v>
      </c>
      <c r="AV45" s="230">
        <v>4503600</v>
      </c>
      <c r="AW45" s="230">
        <v>3531600</v>
      </c>
      <c r="AX45" s="230">
        <v>972000</v>
      </c>
      <c r="AY45" s="229">
        <v>0.2752</v>
      </c>
      <c r="AZ45" s="230">
        <v>2334150</v>
      </c>
      <c r="BA45" s="230">
        <v>866700</v>
      </c>
      <c r="BB45" s="230">
        <v>1467450</v>
      </c>
      <c r="BC45" s="229">
        <v>1.6931</v>
      </c>
      <c r="BD45" s="230">
        <v>56700</v>
      </c>
      <c r="BE45" s="230">
        <v>45900</v>
      </c>
      <c r="BF45" s="230">
        <v>10800</v>
      </c>
      <c r="BG45" s="229">
        <v>0.23530000000000001</v>
      </c>
      <c r="BH45" s="230">
        <v>7997400</v>
      </c>
      <c r="BI45" s="230">
        <v>11956950</v>
      </c>
      <c r="BJ45" s="230">
        <v>-3959550</v>
      </c>
      <c r="BK45" s="229">
        <v>-0.33119999999999999</v>
      </c>
      <c r="BL45" s="230">
        <v>5976450</v>
      </c>
      <c r="BM45" s="230">
        <v>6883650</v>
      </c>
      <c r="BN45" s="230">
        <v>-907200</v>
      </c>
      <c r="BO45" s="229">
        <v>-0.1318</v>
      </c>
      <c r="BP45" s="230">
        <v>20868300</v>
      </c>
      <c r="BQ45" s="230">
        <v>23284800</v>
      </c>
      <c r="BR45" s="230">
        <v>-2416500</v>
      </c>
      <c r="BS45" s="229">
        <v>-0.1038</v>
      </c>
      <c r="BT45" s="230">
        <v>2623922</v>
      </c>
      <c r="BU45" s="230">
        <v>4163488</v>
      </c>
      <c r="BV45" s="230">
        <v>-1539566</v>
      </c>
      <c r="BW45" s="229">
        <v>-0.36980000000000002</v>
      </c>
      <c r="BX45" s="230">
        <v>54684450</v>
      </c>
      <c r="BY45" s="230">
        <v>55823850</v>
      </c>
      <c r="BZ45" s="230">
        <v>-1139400</v>
      </c>
      <c r="CA45" s="229">
        <v>-2.0400000000000001E-2</v>
      </c>
      <c r="CB45" s="230">
        <v>46828800</v>
      </c>
      <c r="CC45" s="230">
        <v>48726900</v>
      </c>
      <c r="CD45" s="230">
        <v>-1898100</v>
      </c>
      <c r="CE45" s="229">
        <v>-3.9E-2</v>
      </c>
      <c r="CF45" s="230">
        <v>7318350</v>
      </c>
      <c r="CG45" s="230">
        <v>6578550</v>
      </c>
      <c r="CH45" s="230">
        <v>739800</v>
      </c>
      <c r="CI45" s="229">
        <v>0.1125</v>
      </c>
      <c r="CJ45" s="230">
        <v>537300</v>
      </c>
      <c r="CK45" s="230">
        <v>518400</v>
      </c>
      <c r="CL45" s="230">
        <v>18900</v>
      </c>
      <c r="CM45" s="229">
        <v>3.6499999999999998E-2</v>
      </c>
      <c r="CN45" s="230">
        <v>19554750</v>
      </c>
      <c r="CO45" s="230">
        <v>19695150</v>
      </c>
      <c r="CP45" s="230">
        <v>-140400</v>
      </c>
      <c r="CQ45" s="229">
        <v>-7.1000000000000004E-3</v>
      </c>
      <c r="CR45" s="230">
        <v>18974250</v>
      </c>
      <c r="CS45" s="230">
        <v>18767700</v>
      </c>
      <c r="CT45" s="230">
        <v>206550</v>
      </c>
      <c r="CU45" s="229">
        <v>1.0999999999999999E-2</v>
      </c>
      <c r="CV45" s="230">
        <v>93213450</v>
      </c>
      <c r="CW45" s="230">
        <v>94286700</v>
      </c>
      <c r="CX45" s="230">
        <v>-1073250</v>
      </c>
      <c r="CY45" s="229">
        <v>-1.14E-2</v>
      </c>
      <c r="CZ45" s="228">
        <v>14.08</v>
      </c>
      <c r="DA45" s="228">
        <v>13.7</v>
      </c>
      <c r="DB45" s="228">
        <v>0.38</v>
      </c>
      <c r="DC45" s="228">
        <v>0.38</v>
      </c>
      <c r="DD45" s="228">
        <v>26.78</v>
      </c>
      <c r="DE45" s="228">
        <v>26.85</v>
      </c>
      <c r="DF45" s="228">
        <v>-12.7</v>
      </c>
      <c r="DG45" s="228">
        <v>-7.0000000000000007E-2</v>
      </c>
      <c r="DH45" s="228">
        <v>13.1</v>
      </c>
      <c r="DI45" s="228">
        <v>13.31</v>
      </c>
      <c r="DJ45" s="228">
        <v>-0.21</v>
      </c>
      <c r="DK45" s="228">
        <v>-0.21</v>
      </c>
      <c r="DL45" s="228">
        <v>15.38</v>
      </c>
      <c r="DM45" s="228">
        <v>14.39</v>
      </c>
      <c r="DN45" s="228">
        <v>0.99</v>
      </c>
      <c r="DO45" s="228">
        <v>0.99</v>
      </c>
      <c r="DP45" s="228">
        <v>0.97</v>
      </c>
      <c r="DQ45" s="228">
        <v>0.95</v>
      </c>
      <c r="DR45" s="228">
        <v>0.02</v>
      </c>
      <c r="DS45" s="229">
        <v>2.1100000000000001E-2</v>
      </c>
      <c r="DT45" s="228">
        <v>380</v>
      </c>
      <c r="DU45" s="228">
        <v>440</v>
      </c>
      <c r="DV45" s="228">
        <v>0.75</v>
      </c>
      <c r="DW45" s="228">
        <v>0.57999999999999996</v>
      </c>
      <c r="DX45" s="228">
        <v>0.17</v>
      </c>
      <c r="DY45" s="229">
        <v>0.29310000000000003</v>
      </c>
      <c r="DZ45" s="229">
        <v>0.14369999999999999</v>
      </c>
      <c r="EA45" s="230">
        <v>7096950</v>
      </c>
      <c r="EB45" s="229">
        <v>6.1000000000000004E-3</v>
      </c>
      <c r="EC45" s="229">
        <v>0.14369999999999999</v>
      </c>
      <c r="ED45" s="228">
        <v>2.44</v>
      </c>
      <c r="EE45" s="229">
        <v>6.3E-3</v>
      </c>
      <c r="EF45" s="230">
        <v>1609788</v>
      </c>
      <c r="EG45" s="230">
        <v>2435788</v>
      </c>
      <c r="EH45" s="229">
        <v>-0.33910000000000001</v>
      </c>
      <c r="EI45" s="229">
        <v>0.61350000000000005</v>
      </c>
      <c r="EJ45" s="231">
        <v>31388.49</v>
      </c>
      <c r="EK45" s="231">
        <v>22731.91</v>
      </c>
      <c r="EL45" s="231">
        <v>26693.11</v>
      </c>
      <c r="EM45" s="231">
        <v>3144</v>
      </c>
      <c r="EN45" s="231">
        <v>80813.509999999995</v>
      </c>
      <c r="EO45" s="231">
        <v>90215.5</v>
      </c>
      <c r="EP45" s="231">
        <v>-9401.99</v>
      </c>
      <c r="EQ45" s="229">
        <v>-0.1042</v>
      </c>
      <c r="ER45" s="231">
        <v>76642</v>
      </c>
      <c r="ES45" s="231">
        <v>72187</v>
      </c>
      <c r="ET45" s="231">
        <v>211530</v>
      </c>
      <c r="EU45" s="231">
        <v>227199238</v>
      </c>
      <c r="EV45" s="231">
        <v>360359</v>
      </c>
      <c r="EW45" s="231">
        <v>364132</v>
      </c>
      <c r="EX45" s="231">
        <v>-3773</v>
      </c>
      <c r="EY45" s="229">
        <v>-1.04E-2</v>
      </c>
      <c r="EZ45" s="229">
        <v>0.4103</v>
      </c>
      <c r="FA45" s="227" t="s">
        <v>556</v>
      </c>
      <c r="FB45" s="161">
        <f t="shared" si="0"/>
        <v>7855650</v>
      </c>
    </row>
    <row r="46" spans="1:158" ht="17.25" hidden="1" thickBot="1" x14ac:dyDescent="0.3">
      <c r="A46" s="226">
        <v>46009</v>
      </c>
      <c r="B46" s="227" t="s">
        <v>221</v>
      </c>
      <c r="C46" s="227" t="s">
        <v>470</v>
      </c>
      <c r="D46" s="228">
        <v>375</v>
      </c>
      <c r="E46" s="231">
        <v>1859.2</v>
      </c>
      <c r="F46" s="231">
        <v>1851.5</v>
      </c>
      <c r="G46" s="228">
        <v>7.7</v>
      </c>
      <c r="H46" s="229">
        <v>4.1999999999999997E-3</v>
      </c>
      <c r="I46" s="231">
        <v>1854.8</v>
      </c>
      <c r="J46" s="231">
        <v>1844.7</v>
      </c>
      <c r="K46" s="228">
        <v>10.1</v>
      </c>
      <c r="L46" s="229">
        <v>5.4999999999999997E-3</v>
      </c>
      <c r="M46" s="231">
        <v>1859.2</v>
      </c>
      <c r="N46" s="231">
        <v>1851.5</v>
      </c>
      <c r="O46" s="228">
        <v>7.7</v>
      </c>
      <c r="P46" s="229">
        <v>4.1999999999999997E-3</v>
      </c>
      <c r="Q46" s="231">
        <v>1861.6</v>
      </c>
      <c r="R46" s="231">
        <v>1858.2</v>
      </c>
      <c r="S46" s="228">
        <v>3.4</v>
      </c>
      <c r="T46" s="229">
        <v>1.8E-3</v>
      </c>
      <c r="U46" s="231">
        <v>1864</v>
      </c>
      <c r="V46" s="231">
        <v>1858.6</v>
      </c>
      <c r="W46" s="228">
        <v>5.4</v>
      </c>
      <c r="X46" s="229">
        <v>2.8999999999999998E-3</v>
      </c>
      <c r="Y46" s="228">
        <v>4.4000000000000004</v>
      </c>
      <c r="Z46" s="228">
        <v>6.8</v>
      </c>
      <c r="AA46" s="228">
        <v>-2.4</v>
      </c>
      <c r="AB46" s="229">
        <v>2.3999999999999998E-3</v>
      </c>
      <c r="AC46" s="228">
        <v>4.4000000000000004</v>
      </c>
      <c r="AD46" s="228">
        <v>6.8</v>
      </c>
      <c r="AE46" s="228">
        <v>-2.4</v>
      </c>
      <c r="AF46" s="229">
        <v>2.3999999999999998E-3</v>
      </c>
      <c r="AG46" s="228">
        <v>6.8</v>
      </c>
      <c r="AH46" s="228">
        <v>13.5</v>
      </c>
      <c r="AI46" s="228">
        <v>-6.7</v>
      </c>
      <c r="AJ46" s="229">
        <v>3.7000000000000002E-3</v>
      </c>
      <c r="AK46" s="228">
        <v>9.1999999999999993</v>
      </c>
      <c r="AL46" s="228">
        <v>13.9</v>
      </c>
      <c r="AM46" s="228">
        <v>-4.7</v>
      </c>
      <c r="AN46" s="229">
        <v>5.0000000000000001E-3</v>
      </c>
      <c r="AO46" s="231">
        <v>1853.26</v>
      </c>
      <c r="AP46" s="231">
        <v>1858.67</v>
      </c>
      <c r="AQ46" s="228">
        <v>0</v>
      </c>
      <c r="AR46" s="230">
        <v>2265375</v>
      </c>
      <c r="AS46" s="230">
        <v>2319750</v>
      </c>
      <c r="AT46" s="230">
        <v>-54375</v>
      </c>
      <c r="AU46" s="229">
        <v>-2.3400000000000001E-2</v>
      </c>
      <c r="AV46" s="230">
        <v>2067750</v>
      </c>
      <c r="AW46" s="230">
        <v>2038875</v>
      </c>
      <c r="AX46" s="230">
        <v>28875</v>
      </c>
      <c r="AY46" s="229">
        <v>1.4200000000000001E-2</v>
      </c>
      <c r="AZ46" s="230">
        <v>180375</v>
      </c>
      <c r="BA46" s="230">
        <v>250500</v>
      </c>
      <c r="BB46" s="230">
        <v>-70125</v>
      </c>
      <c r="BC46" s="229">
        <v>-0.27989999999999998</v>
      </c>
      <c r="BD46" s="230">
        <v>17250</v>
      </c>
      <c r="BE46" s="230">
        <v>30375</v>
      </c>
      <c r="BF46" s="230">
        <v>-13125</v>
      </c>
      <c r="BG46" s="229">
        <v>-0.43209999999999998</v>
      </c>
      <c r="BH46" s="230">
        <v>10963125</v>
      </c>
      <c r="BI46" s="230">
        <v>9087000</v>
      </c>
      <c r="BJ46" s="230">
        <v>1876125</v>
      </c>
      <c r="BK46" s="229">
        <v>0.20649999999999999</v>
      </c>
      <c r="BL46" s="230">
        <v>3638625</v>
      </c>
      <c r="BM46" s="230">
        <v>3701625</v>
      </c>
      <c r="BN46" s="230">
        <v>-63000</v>
      </c>
      <c r="BO46" s="229">
        <v>-1.7000000000000001E-2</v>
      </c>
      <c r="BP46" s="230">
        <v>16867125</v>
      </c>
      <c r="BQ46" s="230">
        <v>15108375</v>
      </c>
      <c r="BR46" s="230">
        <v>1758750</v>
      </c>
      <c r="BS46" s="229">
        <v>0.1164</v>
      </c>
      <c r="BT46" s="230">
        <v>1005557</v>
      </c>
      <c r="BU46" s="230">
        <v>751652</v>
      </c>
      <c r="BV46" s="230">
        <v>253905</v>
      </c>
      <c r="BW46" s="229">
        <v>0.33779999999999999</v>
      </c>
      <c r="BX46" s="230">
        <v>12620250</v>
      </c>
      <c r="BY46" s="230">
        <v>12476250</v>
      </c>
      <c r="BZ46" s="230">
        <v>144000</v>
      </c>
      <c r="CA46" s="229">
        <v>1.15E-2</v>
      </c>
      <c r="CB46" s="230">
        <v>11876250</v>
      </c>
      <c r="CC46" s="230">
        <v>11776125</v>
      </c>
      <c r="CD46" s="230">
        <v>100125</v>
      </c>
      <c r="CE46" s="229">
        <v>8.5000000000000006E-3</v>
      </c>
      <c r="CF46" s="230">
        <v>680625</v>
      </c>
      <c r="CG46" s="230">
        <v>634875</v>
      </c>
      <c r="CH46" s="230">
        <v>45750</v>
      </c>
      <c r="CI46" s="229">
        <v>7.2099999999999997E-2</v>
      </c>
      <c r="CJ46" s="230">
        <v>63375</v>
      </c>
      <c r="CK46" s="230">
        <v>65250</v>
      </c>
      <c r="CL46" s="230">
        <v>-1875</v>
      </c>
      <c r="CM46" s="229">
        <v>-2.87E-2</v>
      </c>
      <c r="CN46" s="230">
        <v>7731750</v>
      </c>
      <c r="CO46" s="230">
        <v>7752375</v>
      </c>
      <c r="CP46" s="230">
        <v>-20625</v>
      </c>
      <c r="CQ46" s="229">
        <v>-2.7000000000000001E-3</v>
      </c>
      <c r="CR46" s="230">
        <v>3554250</v>
      </c>
      <c r="CS46" s="230">
        <v>3547500</v>
      </c>
      <c r="CT46" s="230">
        <v>6750</v>
      </c>
      <c r="CU46" s="229">
        <v>1.9E-3</v>
      </c>
      <c r="CV46" s="230">
        <v>23906250</v>
      </c>
      <c r="CW46" s="230">
        <v>23776125</v>
      </c>
      <c r="CX46" s="230">
        <v>130125</v>
      </c>
      <c r="CY46" s="229">
        <v>5.4999999999999997E-3</v>
      </c>
      <c r="CZ46" s="228">
        <v>26.48</v>
      </c>
      <c r="DA46" s="228">
        <v>27.9</v>
      </c>
      <c r="DB46" s="228">
        <v>-1.42</v>
      </c>
      <c r="DC46" s="228">
        <v>-1.42</v>
      </c>
      <c r="DD46" s="228">
        <v>41.02</v>
      </c>
      <c r="DE46" s="228">
        <v>41.11</v>
      </c>
      <c r="DF46" s="228">
        <v>-14.54</v>
      </c>
      <c r="DG46" s="228">
        <v>-0.09</v>
      </c>
      <c r="DH46" s="228">
        <v>26.54</v>
      </c>
      <c r="DI46" s="228">
        <v>28.21</v>
      </c>
      <c r="DJ46" s="228">
        <v>-1.67</v>
      </c>
      <c r="DK46" s="228">
        <v>-1.67</v>
      </c>
      <c r="DL46" s="228">
        <v>26.28</v>
      </c>
      <c r="DM46" s="228">
        <v>27.16</v>
      </c>
      <c r="DN46" s="228">
        <v>-0.88</v>
      </c>
      <c r="DO46" s="228">
        <v>-0.88</v>
      </c>
      <c r="DP46" s="228">
        <v>0.46</v>
      </c>
      <c r="DQ46" s="228">
        <v>0.46</v>
      </c>
      <c r="DR46" s="228">
        <v>0</v>
      </c>
      <c r="DS46" s="229">
        <v>0</v>
      </c>
      <c r="DT46" s="231">
        <v>2000</v>
      </c>
      <c r="DU46" s="231">
        <v>1800</v>
      </c>
      <c r="DV46" s="228">
        <v>0.33</v>
      </c>
      <c r="DW46" s="228">
        <v>0.41</v>
      </c>
      <c r="DX46" s="228">
        <v>-0.08</v>
      </c>
      <c r="DY46" s="229">
        <v>-0.1951</v>
      </c>
      <c r="DZ46" s="229">
        <v>5.8999999999999997E-2</v>
      </c>
      <c r="EA46" s="230">
        <v>700125</v>
      </c>
      <c r="EB46" s="229">
        <v>1.2999999999999999E-3</v>
      </c>
      <c r="EC46" s="229">
        <v>5.8999999999999997E-2</v>
      </c>
      <c r="ED46" s="228">
        <v>5.41</v>
      </c>
      <c r="EE46" s="229">
        <v>2.8999999999999998E-3</v>
      </c>
      <c r="EF46" s="230">
        <v>393429</v>
      </c>
      <c r="EG46" s="230">
        <v>288420</v>
      </c>
      <c r="EH46" s="229">
        <v>0.36409999999999998</v>
      </c>
      <c r="EI46" s="229">
        <v>0.39129999999999998</v>
      </c>
      <c r="EJ46" s="231">
        <v>211374.86</v>
      </c>
      <c r="EK46" s="231">
        <v>66933.399999999994</v>
      </c>
      <c r="EL46" s="231">
        <v>41994.41</v>
      </c>
      <c r="EM46" s="231">
        <v>5888</v>
      </c>
      <c r="EN46" s="231">
        <v>320302.67</v>
      </c>
      <c r="EO46" s="231">
        <v>288706.2</v>
      </c>
      <c r="EP46" s="231">
        <v>31596.47</v>
      </c>
      <c r="EQ46" s="229">
        <v>0.1094</v>
      </c>
      <c r="ER46" s="231">
        <v>150157</v>
      </c>
      <c r="ES46" s="231">
        <v>64576</v>
      </c>
      <c r="ET46" s="231">
        <v>234655</v>
      </c>
      <c r="EU46" s="231">
        <v>50163899</v>
      </c>
      <c r="EV46" s="231">
        <v>449388</v>
      </c>
      <c r="EW46" s="231">
        <v>446171</v>
      </c>
      <c r="EX46" s="231">
        <v>3217</v>
      </c>
      <c r="EY46" s="229">
        <v>7.1999999999999998E-3</v>
      </c>
      <c r="EZ46" s="229">
        <v>0.47660000000000002</v>
      </c>
      <c r="FA46" s="227" t="s">
        <v>555</v>
      </c>
      <c r="FB46" s="161">
        <f t="shared" si="0"/>
        <v>744000</v>
      </c>
    </row>
    <row r="47" spans="1:158" ht="17.25" hidden="1" thickBot="1" x14ac:dyDescent="0.3">
      <c r="A47" s="226">
        <v>46009</v>
      </c>
      <c r="B47" s="227" t="s">
        <v>168</v>
      </c>
      <c r="C47" s="227" t="s">
        <v>201</v>
      </c>
      <c r="D47" s="228">
        <v>225</v>
      </c>
      <c r="E47" s="231">
        <v>2095.8000000000002</v>
      </c>
      <c r="F47" s="231">
        <v>2089.6999999999998</v>
      </c>
      <c r="G47" s="228">
        <v>6.1</v>
      </c>
      <c r="H47" s="229">
        <v>2.8999999999999998E-3</v>
      </c>
      <c r="I47" s="231">
        <v>2090</v>
      </c>
      <c r="J47" s="231">
        <v>2087.4</v>
      </c>
      <c r="K47" s="228">
        <v>2.6</v>
      </c>
      <c r="L47" s="229">
        <v>1.1999999999999999E-3</v>
      </c>
      <c r="M47" s="231">
        <v>2095.8000000000002</v>
      </c>
      <c r="N47" s="231">
        <v>2089.6999999999998</v>
      </c>
      <c r="O47" s="228">
        <v>6.1</v>
      </c>
      <c r="P47" s="229">
        <v>2.8999999999999998E-3</v>
      </c>
      <c r="Q47" s="231">
        <v>2104.8000000000002</v>
      </c>
      <c r="R47" s="231">
        <v>2101.3000000000002</v>
      </c>
      <c r="S47" s="228">
        <v>3.5</v>
      </c>
      <c r="T47" s="229">
        <v>1.6999999999999999E-3</v>
      </c>
      <c r="U47" s="231">
        <v>2117.8000000000002</v>
      </c>
      <c r="V47" s="231">
        <v>2112.6999999999998</v>
      </c>
      <c r="W47" s="228">
        <v>5.0999999999999996</v>
      </c>
      <c r="X47" s="229">
        <v>2.3999999999999998E-3</v>
      </c>
      <c r="Y47" s="228">
        <v>5.8</v>
      </c>
      <c r="Z47" s="228">
        <v>2.2999999999999998</v>
      </c>
      <c r="AA47" s="228">
        <v>3.5</v>
      </c>
      <c r="AB47" s="229">
        <v>2.8E-3</v>
      </c>
      <c r="AC47" s="228">
        <v>5.8</v>
      </c>
      <c r="AD47" s="228">
        <v>2.2999999999999998</v>
      </c>
      <c r="AE47" s="228">
        <v>3.5</v>
      </c>
      <c r="AF47" s="229">
        <v>2.8E-3</v>
      </c>
      <c r="AG47" s="228">
        <v>14.8</v>
      </c>
      <c r="AH47" s="228">
        <v>13.9</v>
      </c>
      <c r="AI47" s="228">
        <v>0.9</v>
      </c>
      <c r="AJ47" s="229">
        <v>7.1000000000000004E-3</v>
      </c>
      <c r="AK47" s="228">
        <v>27.8</v>
      </c>
      <c r="AL47" s="228">
        <v>25.3</v>
      </c>
      <c r="AM47" s="228">
        <v>2.5</v>
      </c>
      <c r="AN47" s="229">
        <v>1.3299999999999999E-2</v>
      </c>
      <c r="AO47" s="231">
        <v>2082.36</v>
      </c>
      <c r="AP47" s="231">
        <v>2093.0500000000002</v>
      </c>
      <c r="AQ47" s="228">
        <v>0</v>
      </c>
      <c r="AR47" s="230">
        <v>1120950</v>
      </c>
      <c r="AS47" s="230">
        <v>1998900</v>
      </c>
      <c r="AT47" s="230">
        <v>-877950</v>
      </c>
      <c r="AU47" s="229">
        <v>-0.43919999999999998</v>
      </c>
      <c r="AV47" s="230">
        <v>769725</v>
      </c>
      <c r="AW47" s="230">
        <v>1350900</v>
      </c>
      <c r="AX47" s="230">
        <v>-581175</v>
      </c>
      <c r="AY47" s="229">
        <v>-0.43020000000000003</v>
      </c>
      <c r="AZ47" s="230">
        <v>339525</v>
      </c>
      <c r="BA47" s="230">
        <v>608850</v>
      </c>
      <c r="BB47" s="230">
        <v>-269325</v>
      </c>
      <c r="BC47" s="229">
        <v>-0.44240000000000002</v>
      </c>
      <c r="BD47" s="230">
        <v>11700</v>
      </c>
      <c r="BE47" s="230">
        <v>39150</v>
      </c>
      <c r="BF47" s="230">
        <v>-27450</v>
      </c>
      <c r="BG47" s="229">
        <v>-0.70109999999999995</v>
      </c>
      <c r="BH47" s="230">
        <v>2848725</v>
      </c>
      <c r="BI47" s="230">
        <v>3636225</v>
      </c>
      <c r="BJ47" s="230">
        <v>-787500</v>
      </c>
      <c r="BK47" s="229">
        <v>-0.21659999999999999</v>
      </c>
      <c r="BL47" s="230">
        <v>1548675</v>
      </c>
      <c r="BM47" s="230">
        <v>2749275</v>
      </c>
      <c r="BN47" s="230">
        <v>-1200600</v>
      </c>
      <c r="BO47" s="229">
        <v>-0.43669999999999998</v>
      </c>
      <c r="BP47" s="230">
        <v>5518350</v>
      </c>
      <c r="BQ47" s="230">
        <v>8384400</v>
      </c>
      <c r="BR47" s="230">
        <v>-2866050</v>
      </c>
      <c r="BS47" s="229">
        <v>-0.34179999999999999</v>
      </c>
      <c r="BT47" s="230">
        <v>234174</v>
      </c>
      <c r="BU47" s="230">
        <v>399103</v>
      </c>
      <c r="BV47" s="230">
        <v>-164929</v>
      </c>
      <c r="BW47" s="229">
        <v>-0.41320000000000001</v>
      </c>
      <c r="BX47" s="230">
        <v>7391250</v>
      </c>
      <c r="BY47" s="230">
        <v>7190775</v>
      </c>
      <c r="BZ47" s="230">
        <v>200475</v>
      </c>
      <c r="CA47" s="229">
        <v>2.7900000000000001E-2</v>
      </c>
      <c r="CB47" s="230">
        <v>6328800</v>
      </c>
      <c r="CC47" s="230">
        <v>6347475</v>
      </c>
      <c r="CD47" s="230">
        <v>-18675</v>
      </c>
      <c r="CE47" s="229">
        <v>-2.8999999999999998E-3</v>
      </c>
      <c r="CF47" s="230">
        <v>996975</v>
      </c>
      <c r="CG47" s="230">
        <v>781650</v>
      </c>
      <c r="CH47" s="230">
        <v>215325</v>
      </c>
      <c r="CI47" s="229">
        <v>0.27550000000000002</v>
      </c>
      <c r="CJ47" s="230">
        <v>65475</v>
      </c>
      <c r="CK47" s="230">
        <v>61650</v>
      </c>
      <c r="CL47" s="230">
        <v>3825</v>
      </c>
      <c r="CM47" s="229">
        <v>6.2E-2</v>
      </c>
      <c r="CN47" s="230">
        <v>2995425</v>
      </c>
      <c r="CO47" s="230">
        <v>3096000</v>
      </c>
      <c r="CP47" s="230">
        <v>-100575</v>
      </c>
      <c r="CQ47" s="229">
        <v>-3.2500000000000001E-2</v>
      </c>
      <c r="CR47" s="230">
        <v>1922625</v>
      </c>
      <c r="CS47" s="230">
        <v>1939275</v>
      </c>
      <c r="CT47" s="230">
        <v>-16650</v>
      </c>
      <c r="CU47" s="229">
        <v>-8.6E-3</v>
      </c>
      <c r="CV47" s="230">
        <v>12309300</v>
      </c>
      <c r="CW47" s="230">
        <v>12226050</v>
      </c>
      <c r="CX47" s="230">
        <v>83250</v>
      </c>
      <c r="CY47" s="229">
        <v>6.7999999999999996E-3</v>
      </c>
      <c r="CZ47" s="228">
        <v>20.5</v>
      </c>
      <c r="DA47" s="228">
        <v>22.16</v>
      </c>
      <c r="DB47" s="228">
        <v>-1.66</v>
      </c>
      <c r="DC47" s="228">
        <v>-1.66</v>
      </c>
      <c r="DD47" s="228">
        <v>27.07</v>
      </c>
      <c r="DE47" s="228">
        <v>27.14</v>
      </c>
      <c r="DF47" s="228">
        <v>-6.57</v>
      </c>
      <c r="DG47" s="228">
        <v>-7.0000000000000007E-2</v>
      </c>
      <c r="DH47" s="228">
        <v>20.54</v>
      </c>
      <c r="DI47" s="228">
        <v>23.06</v>
      </c>
      <c r="DJ47" s="228">
        <v>-2.52</v>
      </c>
      <c r="DK47" s="228">
        <v>-2.52</v>
      </c>
      <c r="DL47" s="228">
        <v>20.43</v>
      </c>
      <c r="DM47" s="228">
        <v>20.97</v>
      </c>
      <c r="DN47" s="228">
        <v>-0.54</v>
      </c>
      <c r="DO47" s="228">
        <v>-0.54</v>
      </c>
      <c r="DP47" s="228">
        <v>0.64</v>
      </c>
      <c r="DQ47" s="228">
        <v>0.63</v>
      </c>
      <c r="DR47" s="228">
        <v>0.01</v>
      </c>
      <c r="DS47" s="229">
        <v>1.5900000000000001E-2</v>
      </c>
      <c r="DT47" s="231">
        <v>2200</v>
      </c>
      <c r="DU47" s="231">
        <v>2200</v>
      </c>
      <c r="DV47" s="228">
        <v>0.54</v>
      </c>
      <c r="DW47" s="228">
        <v>0.76</v>
      </c>
      <c r="DX47" s="228">
        <v>-0.22</v>
      </c>
      <c r="DY47" s="229">
        <v>-0.28949999999999998</v>
      </c>
      <c r="DZ47" s="229">
        <v>0.14369999999999999</v>
      </c>
      <c r="EA47" s="230">
        <v>843300</v>
      </c>
      <c r="EB47" s="229">
        <v>4.3E-3</v>
      </c>
      <c r="EC47" s="229">
        <v>0.14369999999999999</v>
      </c>
      <c r="ED47" s="228">
        <v>10.69</v>
      </c>
      <c r="EE47" s="229">
        <v>5.1000000000000004E-3</v>
      </c>
      <c r="EF47" s="230">
        <v>111547</v>
      </c>
      <c r="EG47" s="230">
        <v>206101</v>
      </c>
      <c r="EH47" s="229">
        <v>-0.45879999999999999</v>
      </c>
      <c r="EI47" s="229">
        <v>0.4763</v>
      </c>
      <c r="EJ47" s="231">
        <v>62077.27</v>
      </c>
      <c r="EK47" s="231">
        <v>31860.31</v>
      </c>
      <c r="EL47" s="231">
        <v>23381.22</v>
      </c>
      <c r="EM47" s="231">
        <v>3670</v>
      </c>
      <c r="EN47" s="231">
        <v>117318.8</v>
      </c>
      <c r="EO47" s="231">
        <v>180412.77</v>
      </c>
      <c r="EP47" s="231">
        <v>-63093.97</v>
      </c>
      <c r="EQ47" s="229">
        <v>-0.34970000000000001</v>
      </c>
      <c r="ER47" s="231">
        <v>66524</v>
      </c>
      <c r="ES47" s="231">
        <v>40789</v>
      </c>
      <c r="ET47" s="231">
        <v>155010</v>
      </c>
      <c r="EU47" s="231">
        <v>19990944</v>
      </c>
      <c r="EV47" s="231">
        <v>262324</v>
      </c>
      <c r="EW47" s="231">
        <v>260496</v>
      </c>
      <c r="EX47" s="231">
        <v>1828</v>
      </c>
      <c r="EY47" s="229">
        <v>7.0000000000000001E-3</v>
      </c>
      <c r="EZ47" s="229">
        <v>0.61570000000000003</v>
      </c>
      <c r="FA47" s="227" t="s">
        <v>555</v>
      </c>
      <c r="FB47" s="161">
        <f t="shared" si="0"/>
        <v>1062450</v>
      </c>
    </row>
    <row r="48" spans="1:158" ht="17.25" hidden="1" thickBot="1" x14ac:dyDescent="0.3">
      <c r="A48" s="226">
        <v>46009</v>
      </c>
      <c r="B48" s="227" t="s">
        <v>215</v>
      </c>
      <c r="C48" s="227" t="s">
        <v>202</v>
      </c>
      <c r="D48" s="228">
        <v>1250</v>
      </c>
      <c r="E48" s="228">
        <v>498.8</v>
      </c>
      <c r="F48" s="228">
        <v>496.75</v>
      </c>
      <c r="G48" s="228">
        <v>2.0499999999999998</v>
      </c>
      <c r="H48" s="229">
        <v>4.1000000000000003E-3</v>
      </c>
      <c r="I48" s="228">
        <v>498.25</v>
      </c>
      <c r="J48" s="228">
        <v>496.35</v>
      </c>
      <c r="K48" s="228">
        <v>1.9</v>
      </c>
      <c r="L48" s="229">
        <v>3.8E-3</v>
      </c>
      <c r="M48" s="228">
        <v>498.8</v>
      </c>
      <c r="N48" s="228">
        <v>496.75</v>
      </c>
      <c r="O48" s="228">
        <v>2.0499999999999998</v>
      </c>
      <c r="P48" s="229">
        <v>4.1000000000000003E-3</v>
      </c>
      <c r="Q48" s="228">
        <v>502.1</v>
      </c>
      <c r="R48" s="228">
        <v>499.85</v>
      </c>
      <c r="S48" s="228">
        <v>2.25</v>
      </c>
      <c r="T48" s="229">
        <v>4.4999999999999997E-3</v>
      </c>
      <c r="U48" s="228">
        <v>502.35</v>
      </c>
      <c r="V48" s="228">
        <v>500.2</v>
      </c>
      <c r="W48" s="228">
        <v>2.15</v>
      </c>
      <c r="X48" s="229">
        <v>4.3E-3</v>
      </c>
      <c r="Y48" s="228">
        <v>0.55000000000000004</v>
      </c>
      <c r="Z48" s="228">
        <v>0.4</v>
      </c>
      <c r="AA48" s="228">
        <v>0.15</v>
      </c>
      <c r="AB48" s="229">
        <v>1.1000000000000001E-3</v>
      </c>
      <c r="AC48" s="228">
        <v>0.55000000000000004</v>
      </c>
      <c r="AD48" s="228">
        <v>0.4</v>
      </c>
      <c r="AE48" s="228">
        <v>0.15</v>
      </c>
      <c r="AF48" s="229">
        <v>1.1000000000000001E-3</v>
      </c>
      <c r="AG48" s="228">
        <v>3.85</v>
      </c>
      <c r="AH48" s="228">
        <v>3.5</v>
      </c>
      <c r="AI48" s="228">
        <v>0.35</v>
      </c>
      <c r="AJ48" s="229">
        <v>7.7000000000000002E-3</v>
      </c>
      <c r="AK48" s="228">
        <v>4.0999999999999996</v>
      </c>
      <c r="AL48" s="228">
        <v>3.85</v>
      </c>
      <c r="AM48" s="228">
        <v>0.25</v>
      </c>
      <c r="AN48" s="229">
        <v>8.2000000000000007E-3</v>
      </c>
      <c r="AO48" s="228">
        <v>495.62</v>
      </c>
      <c r="AP48" s="228">
        <v>497.96</v>
      </c>
      <c r="AQ48" s="228">
        <v>0</v>
      </c>
      <c r="AR48" s="230">
        <v>3027500</v>
      </c>
      <c r="AS48" s="230">
        <v>2678750</v>
      </c>
      <c r="AT48" s="230">
        <v>348750</v>
      </c>
      <c r="AU48" s="229">
        <v>0.13020000000000001</v>
      </c>
      <c r="AV48" s="230">
        <v>2277500</v>
      </c>
      <c r="AW48" s="230">
        <v>2013750</v>
      </c>
      <c r="AX48" s="230">
        <v>263750</v>
      </c>
      <c r="AY48" s="229">
        <v>0.13100000000000001</v>
      </c>
      <c r="AZ48" s="230">
        <v>655000</v>
      </c>
      <c r="BA48" s="230">
        <v>545000</v>
      </c>
      <c r="BB48" s="230">
        <v>110000</v>
      </c>
      <c r="BC48" s="229">
        <v>0.20180000000000001</v>
      </c>
      <c r="BD48" s="230">
        <v>95000</v>
      </c>
      <c r="BE48" s="230">
        <v>120000</v>
      </c>
      <c r="BF48" s="230">
        <v>-25000</v>
      </c>
      <c r="BG48" s="229">
        <v>-0.20830000000000001</v>
      </c>
      <c r="BH48" s="230">
        <v>7768750</v>
      </c>
      <c r="BI48" s="230">
        <v>5351250</v>
      </c>
      <c r="BJ48" s="230">
        <v>2417500</v>
      </c>
      <c r="BK48" s="229">
        <v>0.45179999999999998</v>
      </c>
      <c r="BL48" s="230">
        <v>2491250</v>
      </c>
      <c r="BM48" s="230">
        <v>2355000</v>
      </c>
      <c r="BN48" s="230">
        <v>136250</v>
      </c>
      <c r="BO48" s="229">
        <v>5.79E-2</v>
      </c>
      <c r="BP48" s="230">
        <v>13287500</v>
      </c>
      <c r="BQ48" s="230">
        <v>10385000</v>
      </c>
      <c r="BR48" s="230">
        <v>2902500</v>
      </c>
      <c r="BS48" s="229">
        <v>0.27950000000000003</v>
      </c>
      <c r="BT48" s="230">
        <v>1060008</v>
      </c>
      <c r="BU48" s="230">
        <v>664182</v>
      </c>
      <c r="BV48" s="230">
        <v>395826</v>
      </c>
      <c r="BW48" s="229">
        <v>0.59599999999999997</v>
      </c>
      <c r="BX48" s="230">
        <v>39982500</v>
      </c>
      <c r="BY48" s="230">
        <v>40350000</v>
      </c>
      <c r="BZ48" s="230">
        <v>-367500</v>
      </c>
      <c r="CA48" s="229">
        <v>-9.1000000000000004E-3</v>
      </c>
      <c r="CB48" s="230">
        <v>36167500</v>
      </c>
      <c r="CC48" s="230">
        <v>36812500</v>
      </c>
      <c r="CD48" s="230">
        <v>-645000</v>
      </c>
      <c r="CE48" s="229">
        <v>-1.7500000000000002E-2</v>
      </c>
      <c r="CF48" s="230">
        <v>3290000</v>
      </c>
      <c r="CG48" s="230">
        <v>3053750</v>
      </c>
      <c r="CH48" s="230">
        <v>236250</v>
      </c>
      <c r="CI48" s="229">
        <v>7.7399999999999997E-2</v>
      </c>
      <c r="CJ48" s="230">
        <v>525000</v>
      </c>
      <c r="CK48" s="230">
        <v>483750</v>
      </c>
      <c r="CL48" s="230">
        <v>41250</v>
      </c>
      <c r="CM48" s="229">
        <v>8.5300000000000001E-2</v>
      </c>
      <c r="CN48" s="230">
        <v>13766250</v>
      </c>
      <c r="CO48" s="230">
        <v>13928750</v>
      </c>
      <c r="CP48" s="230">
        <v>-162500</v>
      </c>
      <c r="CQ48" s="229">
        <v>-1.17E-2</v>
      </c>
      <c r="CR48" s="230">
        <v>10165000</v>
      </c>
      <c r="CS48" s="230">
        <v>10150000</v>
      </c>
      <c r="CT48" s="230">
        <v>15000</v>
      </c>
      <c r="CU48" s="229">
        <v>1.5E-3</v>
      </c>
      <c r="CV48" s="230">
        <v>63913750</v>
      </c>
      <c r="CW48" s="230">
        <v>64428750</v>
      </c>
      <c r="CX48" s="230">
        <v>-515000</v>
      </c>
      <c r="CY48" s="229">
        <v>-8.0000000000000002E-3</v>
      </c>
      <c r="CZ48" s="228">
        <v>20.36</v>
      </c>
      <c r="DA48" s="228">
        <v>20.81</v>
      </c>
      <c r="DB48" s="228">
        <v>-0.45</v>
      </c>
      <c r="DC48" s="228">
        <v>-0.45</v>
      </c>
      <c r="DD48" s="228">
        <v>34</v>
      </c>
      <c r="DE48" s="228">
        <v>34.08</v>
      </c>
      <c r="DF48" s="228">
        <v>-13.64</v>
      </c>
      <c r="DG48" s="228">
        <v>-0.08</v>
      </c>
      <c r="DH48" s="228">
        <v>20.65</v>
      </c>
      <c r="DI48" s="228">
        <v>21.45</v>
      </c>
      <c r="DJ48" s="228">
        <v>-0.8</v>
      </c>
      <c r="DK48" s="228">
        <v>-0.8</v>
      </c>
      <c r="DL48" s="228">
        <v>19.43</v>
      </c>
      <c r="DM48" s="228">
        <v>19.37</v>
      </c>
      <c r="DN48" s="228">
        <v>0.06</v>
      </c>
      <c r="DO48" s="228">
        <v>0.06</v>
      </c>
      <c r="DP48" s="228">
        <v>0.74</v>
      </c>
      <c r="DQ48" s="228">
        <v>0.73</v>
      </c>
      <c r="DR48" s="228">
        <v>0.01</v>
      </c>
      <c r="DS48" s="229">
        <v>1.37E-2</v>
      </c>
      <c r="DT48" s="228">
        <v>520</v>
      </c>
      <c r="DU48" s="228">
        <v>500</v>
      </c>
      <c r="DV48" s="228">
        <v>0.32</v>
      </c>
      <c r="DW48" s="228">
        <v>0.44</v>
      </c>
      <c r="DX48" s="228">
        <v>-0.12</v>
      </c>
      <c r="DY48" s="229">
        <v>-0.2727</v>
      </c>
      <c r="DZ48" s="229">
        <v>9.5399999999999999E-2</v>
      </c>
      <c r="EA48" s="230">
        <v>3537500</v>
      </c>
      <c r="EB48" s="229">
        <v>6.6E-3</v>
      </c>
      <c r="EC48" s="229">
        <v>9.5399999999999999E-2</v>
      </c>
      <c r="ED48" s="228">
        <v>2.34</v>
      </c>
      <c r="EE48" s="229">
        <v>4.7000000000000002E-3</v>
      </c>
      <c r="EF48" s="230">
        <v>550083</v>
      </c>
      <c r="EG48" s="230">
        <v>371675</v>
      </c>
      <c r="EH48" s="229">
        <v>0.48</v>
      </c>
      <c r="EI48" s="229">
        <v>0.51890000000000003</v>
      </c>
      <c r="EJ48" s="231">
        <v>39998.42</v>
      </c>
      <c r="EK48" s="231">
        <v>12479.95</v>
      </c>
      <c r="EL48" s="231">
        <v>15022.67</v>
      </c>
      <c r="EM48" s="231">
        <v>2387</v>
      </c>
      <c r="EN48" s="231">
        <v>67501.039999999994</v>
      </c>
      <c r="EO48" s="231">
        <v>53031.75</v>
      </c>
      <c r="EP48" s="231">
        <v>14469.29</v>
      </c>
      <c r="EQ48" s="229">
        <v>0.27279999999999999</v>
      </c>
      <c r="ER48" s="231">
        <v>73226</v>
      </c>
      <c r="ES48" s="231">
        <v>52350</v>
      </c>
      <c r="ET48" s="231">
        <v>199560</v>
      </c>
      <c r="EU48" s="231">
        <v>48077012</v>
      </c>
      <c r="EV48" s="231">
        <v>325135</v>
      </c>
      <c r="EW48" s="231">
        <v>327007</v>
      </c>
      <c r="EX48" s="231">
        <v>-1872</v>
      </c>
      <c r="EY48" s="229">
        <v>-5.7000000000000002E-3</v>
      </c>
      <c r="EZ48" s="229">
        <v>1.3293999999999999</v>
      </c>
      <c r="FA48" s="227" t="s">
        <v>556</v>
      </c>
      <c r="FB48" s="161">
        <f t="shared" si="0"/>
        <v>3815000</v>
      </c>
    </row>
    <row r="49" spans="1:158" ht="17.25" hidden="1" thickBot="1" x14ac:dyDescent="0.3">
      <c r="A49" s="226">
        <v>46009</v>
      </c>
      <c r="B49" s="227" t="s">
        <v>184</v>
      </c>
      <c r="C49" s="227" t="s">
        <v>523</v>
      </c>
      <c r="D49" s="228">
        <v>1800</v>
      </c>
      <c r="E49" s="228">
        <v>256.35000000000002</v>
      </c>
      <c r="F49" s="228">
        <v>249.5</v>
      </c>
      <c r="G49" s="228">
        <v>6.85</v>
      </c>
      <c r="H49" s="229">
        <v>2.75E-2</v>
      </c>
      <c r="I49" s="228">
        <v>255.65</v>
      </c>
      <c r="J49" s="228">
        <v>249.15</v>
      </c>
      <c r="K49" s="228">
        <v>6.5</v>
      </c>
      <c r="L49" s="229">
        <v>2.6100000000000002E-2</v>
      </c>
      <c r="M49" s="228">
        <v>256.35000000000002</v>
      </c>
      <c r="N49" s="228">
        <v>249.5</v>
      </c>
      <c r="O49" s="228">
        <v>6.85</v>
      </c>
      <c r="P49" s="229">
        <v>2.75E-2</v>
      </c>
      <c r="Q49" s="228">
        <v>258.05</v>
      </c>
      <c r="R49" s="228">
        <v>251.05</v>
      </c>
      <c r="S49" s="228">
        <v>7</v>
      </c>
      <c r="T49" s="229">
        <v>2.7900000000000001E-2</v>
      </c>
      <c r="U49" s="228">
        <v>259.64999999999998</v>
      </c>
      <c r="V49" s="228">
        <v>252.25</v>
      </c>
      <c r="W49" s="228">
        <v>7.4</v>
      </c>
      <c r="X49" s="229">
        <v>2.93E-2</v>
      </c>
      <c r="Y49" s="228">
        <v>0.7</v>
      </c>
      <c r="Z49" s="228">
        <v>0.35</v>
      </c>
      <c r="AA49" s="228">
        <v>0.35</v>
      </c>
      <c r="AB49" s="229">
        <v>2.7000000000000001E-3</v>
      </c>
      <c r="AC49" s="228">
        <v>0.7</v>
      </c>
      <c r="AD49" s="228">
        <v>0.35</v>
      </c>
      <c r="AE49" s="228">
        <v>0.35</v>
      </c>
      <c r="AF49" s="229">
        <v>2.7000000000000001E-3</v>
      </c>
      <c r="AG49" s="228">
        <v>2.4</v>
      </c>
      <c r="AH49" s="228">
        <v>1.9</v>
      </c>
      <c r="AI49" s="228">
        <v>0.5</v>
      </c>
      <c r="AJ49" s="229">
        <v>9.4000000000000004E-3</v>
      </c>
      <c r="AK49" s="228">
        <v>4</v>
      </c>
      <c r="AL49" s="228">
        <v>3.1</v>
      </c>
      <c r="AM49" s="228">
        <v>0.9</v>
      </c>
      <c r="AN49" s="229">
        <v>1.5599999999999999E-2</v>
      </c>
      <c r="AO49" s="228">
        <v>258.67</v>
      </c>
      <c r="AP49" s="228">
        <v>259.13</v>
      </c>
      <c r="AQ49" s="228">
        <v>0</v>
      </c>
      <c r="AR49" s="230">
        <v>18387000</v>
      </c>
      <c r="AS49" s="230">
        <v>4588200</v>
      </c>
      <c r="AT49" s="230">
        <v>13798800</v>
      </c>
      <c r="AU49" s="229">
        <v>3.0074999999999998</v>
      </c>
      <c r="AV49" s="230">
        <v>14666400</v>
      </c>
      <c r="AW49" s="230">
        <v>3834000</v>
      </c>
      <c r="AX49" s="230">
        <v>10832400</v>
      </c>
      <c r="AY49" s="229">
        <v>2.8254000000000001</v>
      </c>
      <c r="AZ49" s="230">
        <v>3249000</v>
      </c>
      <c r="BA49" s="230">
        <v>649800</v>
      </c>
      <c r="BB49" s="230">
        <v>2599200</v>
      </c>
      <c r="BC49" s="229">
        <v>4</v>
      </c>
      <c r="BD49" s="230">
        <v>471600</v>
      </c>
      <c r="BE49" s="230">
        <v>104400</v>
      </c>
      <c r="BF49" s="230">
        <v>367200</v>
      </c>
      <c r="BG49" s="229">
        <v>3.5171999999999999</v>
      </c>
      <c r="BH49" s="230">
        <v>104715000</v>
      </c>
      <c r="BI49" s="230">
        <v>12891600</v>
      </c>
      <c r="BJ49" s="230">
        <v>91823400</v>
      </c>
      <c r="BK49" s="229">
        <v>7.1227</v>
      </c>
      <c r="BL49" s="230">
        <v>36486000</v>
      </c>
      <c r="BM49" s="230">
        <v>3772800</v>
      </c>
      <c r="BN49" s="230">
        <v>32713200</v>
      </c>
      <c r="BO49" s="229">
        <v>8.6707999999999998</v>
      </c>
      <c r="BP49" s="230">
        <v>159588000</v>
      </c>
      <c r="BQ49" s="230">
        <v>21252600</v>
      </c>
      <c r="BR49" s="230">
        <v>138335400</v>
      </c>
      <c r="BS49" s="229">
        <v>6.5091000000000001</v>
      </c>
      <c r="BT49" s="230">
        <v>16008382</v>
      </c>
      <c r="BU49" s="230">
        <v>2187099</v>
      </c>
      <c r="BV49" s="230">
        <v>13821283</v>
      </c>
      <c r="BW49" s="229">
        <v>6.3194999999999997</v>
      </c>
      <c r="BX49" s="230">
        <v>57735000</v>
      </c>
      <c r="BY49" s="230">
        <v>56968200</v>
      </c>
      <c r="BZ49" s="230">
        <v>766800</v>
      </c>
      <c r="CA49" s="229">
        <v>1.35E-2</v>
      </c>
      <c r="CB49" s="230">
        <v>52074000</v>
      </c>
      <c r="CC49" s="230">
        <v>52635600</v>
      </c>
      <c r="CD49" s="230">
        <v>-561600</v>
      </c>
      <c r="CE49" s="229">
        <v>-1.0699999999999999E-2</v>
      </c>
      <c r="CF49" s="230">
        <v>4798800</v>
      </c>
      <c r="CG49" s="230">
        <v>3519000</v>
      </c>
      <c r="CH49" s="230">
        <v>1279800</v>
      </c>
      <c r="CI49" s="229">
        <v>0.36370000000000002</v>
      </c>
      <c r="CJ49" s="230">
        <v>862200</v>
      </c>
      <c r="CK49" s="230">
        <v>813600</v>
      </c>
      <c r="CL49" s="230">
        <v>48600</v>
      </c>
      <c r="CM49" s="229">
        <v>5.9700000000000003E-2</v>
      </c>
      <c r="CN49" s="230">
        <v>28319400</v>
      </c>
      <c r="CO49" s="230">
        <v>24476400</v>
      </c>
      <c r="CP49" s="230">
        <v>3843000</v>
      </c>
      <c r="CQ49" s="229">
        <v>0.157</v>
      </c>
      <c r="CR49" s="230">
        <v>13581000</v>
      </c>
      <c r="CS49" s="230">
        <v>11948400</v>
      </c>
      <c r="CT49" s="230">
        <v>1632600</v>
      </c>
      <c r="CU49" s="229">
        <v>0.1366</v>
      </c>
      <c r="CV49" s="230">
        <v>99635400</v>
      </c>
      <c r="CW49" s="230">
        <v>93393000</v>
      </c>
      <c r="CX49" s="230">
        <v>6242400</v>
      </c>
      <c r="CY49" s="229">
        <v>6.6799999999999998E-2</v>
      </c>
      <c r="CZ49" s="228">
        <v>27.49</v>
      </c>
      <c r="DA49" s="228">
        <v>26.22</v>
      </c>
      <c r="DB49" s="228">
        <v>1.27</v>
      </c>
      <c r="DC49" s="228">
        <v>1.27</v>
      </c>
      <c r="DD49" s="228">
        <v>30.93</v>
      </c>
      <c r="DE49" s="228">
        <v>30.79</v>
      </c>
      <c r="DF49" s="228">
        <v>-3.44</v>
      </c>
      <c r="DG49" s="228">
        <v>0.14000000000000001</v>
      </c>
      <c r="DH49" s="228">
        <v>28.33</v>
      </c>
      <c r="DI49" s="228">
        <v>26.6</v>
      </c>
      <c r="DJ49" s="228">
        <v>1.73</v>
      </c>
      <c r="DK49" s="228">
        <v>1.73</v>
      </c>
      <c r="DL49" s="228">
        <v>25.09</v>
      </c>
      <c r="DM49" s="228">
        <v>24.93</v>
      </c>
      <c r="DN49" s="228">
        <v>0.16</v>
      </c>
      <c r="DO49" s="228">
        <v>0.16</v>
      </c>
      <c r="DP49" s="228">
        <v>0.48</v>
      </c>
      <c r="DQ49" s="228">
        <v>0.49</v>
      </c>
      <c r="DR49" s="228">
        <v>-0.01</v>
      </c>
      <c r="DS49" s="229">
        <v>-2.0400000000000001E-2</v>
      </c>
      <c r="DT49" s="228">
        <v>280</v>
      </c>
      <c r="DU49" s="228">
        <v>250</v>
      </c>
      <c r="DV49" s="228">
        <v>0.35</v>
      </c>
      <c r="DW49" s="228">
        <v>0.28999999999999998</v>
      </c>
      <c r="DX49" s="228">
        <v>0.06</v>
      </c>
      <c r="DY49" s="229">
        <v>0.2069</v>
      </c>
      <c r="DZ49" s="229">
        <v>9.8100000000000007E-2</v>
      </c>
      <c r="EA49" s="230">
        <v>4332600</v>
      </c>
      <c r="EB49" s="229">
        <v>6.6E-3</v>
      </c>
      <c r="EC49" s="229">
        <v>9.8100000000000007E-2</v>
      </c>
      <c r="ED49" s="228">
        <v>0.46</v>
      </c>
      <c r="EE49" s="229">
        <v>1.8E-3</v>
      </c>
      <c r="EF49" s="230">
        <v>3201195</v>
      </c>
      <c r="EG49" s="230">
        <v>1333924</v>
      </c>
      <c r="EH49" s="229">
        <v>1.3997999999999999</v>
      </c>
      <c r="EI49" s="229">
        <v>0.2</v>
      </c>
      <c r="EJ49" s="231">
        <v>283467.40000000002</v>
      </c>
      <c r="EK49" s="231">
        <v>93554.52</v>
      </c>
      <c r="EL49" s="231">
        <v>47588.99</v>
      </c>
      <c r="EM49" s="231">
        <v>1978</v>
      </c>
      <c r="EN49" s="231">
        <v>424610.91</v>
      </c>
      <c r="EO49" s="231">
        <v>56340.04</v>
      </c>
      <c r="EP49" s="231">
        <v>368270.87</v>
      </c>
      <c r="EQ49" s="229">
        <v>6.5366</v>
      </c>
      <c r="ER49" s="231">
        <v>78625</v>
      </c>
      <c r="ES49" s="231">
        <v>35660</v>
      </c>
      <c r="ET49" s="231">
        <v>148114</v>
      </c>
      <c r="EU49" s="231">
        <v>81400589</v>
      </c>
      <c r="EV49" s="231">
        <v>262399</v>
      </c>
      <c r="EW49" s="231">
        <v>241434</v>
      </c>
      <c r="EX49" s="231">
        <v>20965</v>
      </c>
      <c r="EY49" s="229">
        <v>8.6800000000000002E-2</v>
      </c>
      <c r="EZ49" s="229">
        <v>1.224</v>
      </c>
      <c r="FA49" s="227" t="s">
        <v>555</v>
      </c>
      <c r="FB49" s="161">
        <f t="shared" si="0"/>
        <v>5661000</v>
      </c>
    </row>
    <row r="50" spans="1:158" ht="17.25" hidden="1" thickBot="1" x14ac:dyDescent="0.3">
      <c r="A50" s="226">
        <v>46009</v>
      </c>
      <c r="B50" s="227" t="s">
        <v>184</v>
      </c>
      <c r="C50" s="227" t="s">
        <v>203</v>
      </c>
      <c r="D50" s="228">
        <v>200</v>
      </c>
      <c r="E50" s="231">
        <v>4389.8</v>
      </c>
      <c r="F50" s="231">
        <v>4521.1000000000004</v>
      </c>
      <c r="G50" s="228">
        <v>-131.30000000000001</v>
      </c>
      <c r="H50" s="229">
        <v>-2.9000000000000001E-2</v>
      </c>
      <c r="I50" s="231">
        <v>4385.3999999999996</v>
      </c>
      <c r="J50" s="231">
        <v>4512.7</v>
      </c>
      <c r="K50" s="228">
        <v>-127.3</v>
      </c>
      <c r="L50" s="229">
        <v>-2.8199999999999999E-2</v>
      </c>
      <c r="M50" s="231">
        <v>4389.8</v>
      </c>
      <c r="N50" s="231">
        <v>4521.1000000000004</v>
      </c>
      <c r="O50" s="228">
        <v>-131.30000000000001</v>
      </c>
      <c r="P50" s="229">
        <v>-2.9000000000000001E-2</v>
      </c>
      <c r="Q50" s="231">
        <v>4417.5</v>
      </c>
      <c r="R50" s="231">
        <v>4550.3999999999996</v>
      </c>
      <c r="S50" s="228">
        <v>-132.9</v>
      </c>
      <c r="T50" s="229">
        <v>-2.92E-2</v>
      </c>
      <c r="U50" s="231">
        <v>4418</v>
      </c>
      <c r="V50" s="231">
        <v>4563.7</v>
      </c>
      <c r="W50" s="228">
        <v>-145.69999999999999</v>
      </c>
      <c r="X50" s="229">
        <v>-3.1899999999999998E-2</v>
      </c>
      <c r="Y50" s="228">
        <v>4.4000000000000004</v>
      </c>
      <c r="Z50" s="228">
        <v>8.4</v>
      </c>
      <c r="AA50" s="228">
        <v>-4</v>
      </c>
      <c r="AB50" s="229">
        <v>1E-3</v>
      </c>
      <c r="AC50" s="228">
        <v>4.4000000000000004</v>
      </c>
      <c r="AD50" s="228">
        <v>8.4</v>
      </c>
      <c r="AE50" s="228">
        <v>-4</v>
      </c>
      <c r="AF50" s="229">
        <v>1E-3</v>
      </c>
      <c r="AG50" s="228">
        <v>32.1</v>
      </c>
      <c r="AH50" s="228">
        <v>37.700000000000003</v>
      </c>
      <c r="AI50" s="228">
        <v>-5.6</v>
      </c>
      <c r="AJ50" s="229">
        <v>7.3000000000000001E-3</v>
      </c>
      <c r="AK50" s="228">
        <v>32.6</v>
      </c>
      <c r="AL50" s="228">
        <v>51</v>
      </c>
      <c r="AM50" s="228">
        <v>-18.399999999999999</v>
      </c>
      <c r="AN50" s="229">
        <v>7.4000000000000003E-3</v>
      </c>
      <c r="AO50" s="231">
        <v>4408.5600000000004</v>
      </c>
      <c r="AP50" s="231">
        <v>4427.0600000000004</v>
      </c>
      <c r="AQ50" s="228">
        <v>0</v>
      </c>
      <c r="AR50" s="230">
        <v>811600</v>
      </c>
      <c r="AS50" s="230">
        <v>276600</v>
      </c>
      <c r="AT50" s="230">
        <v>535000</v>
      </c>
      <c r="AU50" s="229">
        <v>1.9341999999999999</v>
      </c>
      <c r="AV50" s="230">
        <v>649000</v>
      </c>
      <c r="AW50" s="230">
        <v>252400</v>
      </c>
      <c r="AX50" s="230">
        <v>396600</v>
      </c>
      <c r="AY50" s="229">
        <v>1.5712999999999999</v>
      </c>
      <c r="AZ50" s="230">
        <v>155200</v>
      </c>
      <c r="BA50" s="230">
        <v>23400</v>
      </c>
      <c r="BB50" s="230">
        <v>131800</v>
      </c>
      <c r="BC50" s="229">
        <v>5.6325000000000003</v>
      </c>
      <c r="BD50" s="230">
        <v>7400</v>
      </c>
      <c r="BE50" s="228">
        <v>800</v>
      </c>
      <c r="BF50" s="230">
        <v>6600</v>
      </c>
      <c r="BG50" s="229">
        <v>8.25</v>
      </c>
      <c r="BH50" s="230">
        <v>4124600</v>
      </c>
      <c r="BI50" s="230">
        <v>1767600</v>
      </c>
      <c r="BJ50" s="230">
        <v>2357000</v>
      </c>
      <c r="BK50" s="229">
        <v>1.3333999999999999</v>
      </c>
      <c r="BL50" s="230">
        <v>3282600</v>
      </c>
      <c r="BM50" s="230">
        <v>590400</v>
      </c>
      <c r="BN50" s="230">
        <v>2692200</v>
      </c>
      <c r="BO50" s="229">
        <v>4.5599999999999996</v>
      </c>
      <c r="BP50" s="230">
        <v>8218800</v>
      </c>
      <c r="BQ50" s="230">
        <v>2634600</v>
      </c>
      <c r="BR50" s="230">
        <v>5584200</v>
      </c>
      <c r="BS50" s="229">
        <v>2.1196000000000002</v>
      </c>
      <c r="BT50" s="230">
        <v>526684</v>
      </c>
      <c r="BU50" s="230">
        <v>261622</v>
      </c>
      <c r="BV50" s="230">
        <v>265062</v>
      </c>
      <c r="BW50" s="229">
        <v>1.0130999999999999</v>
      </c>
      <c r="BX50" s="230">
        <v>2961000</v>
      </c>
      <c r="BY50" s="230">
        <v>2904600</v>
      </c>
      <c r="BZ50" s="230">
        <v>56400</v>
      </c>
      <c r="CA50" s="229">
        <v>1.9400000000000001E-2</v>
      </c>
      <c r="CB50" s="230">
        <v>2819800</v>
      </c>
      <c r="CC50" s="230">
        <v>2821200</v>
      </c>
      <c r="CD50" s="230">
        <v>-1400</v>
      </c>
      <c r="CE50" s="229">
        <v>-5.0000000000000001E-4</v>
      </c>
      <c r="CF50" s="230">
        <v>131200</v>
      </c>
      <c r="CG50" s="230">
        <v>74600</v>
      </c>
      <c r="CH50" s="230">
        <v>56600</v>
      </c>
      <c r="CI50" s="229">
        <v>0.75870000000000004</v>
      </c>
      <c r="CJ50" s="230">
        <v>10000</v>
      </c>
      <c r="CK50" s="230">
        <v>8800</v>
      </c>
      <c r="CL50" s="230">
        <v>1200</v>
      </c>
      <c r="CM50" s="229">
        <v>0.13639999999999999</v>
      </c>
      <c r="CN50" s="230">
        <v>1308200</v>
      </c>
      <c r="CO50" s="230">
        <v>1072200</v>
      </c>
      <c r="CP50" s="230">
        <v>236000</v>
      </c>
      <c r="CQ50" s="229">
        <v>0.22009999999999999</v>
      </c>
      <c r="CR50" s="230">
        <v>814000</v>
      </c>
      <c r="CS50" s="230">
        <v>799800</v>
      </c>
      <c r="CT50" s="230">
        <v>14200</v>
      </c>
      <c r="CU50" s="229">
        <v>1.78E-2</v>
      </c>
      <c r="CV50" s="230">
        <v>5083200</v>
      </c>
      <c r="CW50" s="230">
        <v>4776600</v>
      </c>
      <c r="CX50" s="230">
        <v>306600</v>
      </c>
      <c r="CY50" s="229">
        <v>6.4199999999999993E-2</v>
      </c>
      <c r="CZ50" s="228">
        <v>22.88</v>
      </c>
      <c r="DA50" s="228">
        <v>20.47</v>
      </c>
      <c r="DB50" s="228">
        <v>2.41</v>
      </c>
      <c r="DC50" s="228">
        <v>2.41</v>
      </c>
      <c r="DD50" s="228">
        <v>33.61</v>
      </c>
      <c r="DE50" s="228">
        <v>33.47</v>
      </c>
      <c r="DF50" s="228">
        <v>-10.73</v>
      </c>
      <c r="DG50" s="228">
        <v>0.14000000000000001</v>
      </c>
      <c r="DH50" s="228">
        <v>22.99</v>
      </c>
      <c r="DI50" s="228">
        <v>20.25</v>
      </c>
      <c r="DJ50" s="228">
        <v>2.74</v>
      </c>
      <c r="DK50" s="228">
        <v>2.74</v>
      </c>
      <c r="DL50" s="228">
        <v>22.73</v>
      </c>
      <c r="DM50" s="228">
        <v>21.15</v>
      </c>
      <c r="DN50" s="228">
        <v>1.58</v>
      </c>
      <c r="DO50" s="228">
        <v>1.58</v>
      </c>
      <c r="DP50" s="228">
        <v>0.62</v>
      </c>
      <c r="DQ50" s="228">
        <v>0.75</v>
      </c>
      <c r="DR50" s="228">
        <v>-0.13</v>
      </c>
      <c r="DS50" s="229">
        <v>-0.17330000000000001</v>
      </c>
      <c r="DT50" s="231">
        <v>4500</v>
      </c>
      <c r="DU50" s="231">
        <v>4400</v>
      </c>
      <c r="DV50" s="228">
        <v>0.8</v>
      </c>
      <c r="DW50" s="228">
        <v>0.33</v>
      </c>
      <c r="DX50" s="228">
        <v>0.47</v>
      </c>
      <c r="DY50" s="229">
        <v>1.4241999999999999</v>
      </c>
      <c r="DZ50" s="229">
        <v>4.7699999999999999E-2</v>
      </c>
      <c r="EA50" s="230">
        <v>83400</v>
      </c>
      <c r="EB50" s="229">
        <v>6.3E-3</v>
      </c>
      <c r="EC50" s="229">
        <v>4.7699999999999999E-2</v>
      </c>
      <c r="ED50" s="228">
        <v>18.5</v>
      </c>
      <c r="EE50" s="229">
        <v>4.1999999999999997E-3</v>
      </c>
      <c r="EF50" s="230">
        <v>276834</v>
      </c>
      <c r="EG50" s="230">
        <v>179797</v>
      </c>
      <c r="EH50" s="229">
        <v>0.53969999999999996</v>
      </c>
      <c r="EI50" s="229">
        <v>0.52559999999999996</v>
      </c>
      <c r="EJ50" s="231">
        <v>187874</v>
      </c>
      <c r="EK50" s="231">
        <v>144221.51</v>
      </c>
      <c r="EL50" s="231">
        <v>35810.81</v>
      </c>
      <c r="EM50" s="231">
        <v>2180</v>
      </c>
      <c r="EN50" s="231">
        <v>367906.32</v>
      </c>
      <c r="EO50" s="231">
        <v>120732.46</v>
      </c>
      <c r="EP50" s="231">
        <v>247173.86</v>
      </c>
      <c r="EQ50" s="229">
        <v>2.0472999999999999</v>
      </c>
      <c r="ER50" s="231">
        <v>60023</v>
      </c>
      <c r="ES50" s="231">
        <v>34997</v>
      </c>
      <c r="ET50" s="231">
        <v>130021</v>
      </c>
      <c r="EU50" s="231">
        <v>20374200</v>
      </c>
      <c r="EV50" s="231">
        <v>225041</v>
      </c>
      <c r="EW50" s="231">
        <v>215521</v>
      </c>
      <c r="EX50" s="231">
        <v>9520</v>
      </c>
      <c r="EY50" s="229">
        <v>4.4200000000000003E-2</v>
      </c>
      <c r="EZ50" s="229">
        <v>0.2495</v>
      </c>
      <c r="FA50" s="227" t="s">
        <v>567</v>
      </c>
      <c r="FB50" s="161">
        <f t="shared" si="0"/>
        <v>141200</v>
      </c>
    </row>
    <row r="51" spans="1:158" ht="17.25" hidden="1" thickBot="1" x14ac:dyDescent="0.3">
      <c r="A51" s="226">
        <v>46009</v>
      </c>
      <c r="B51" s="227" t="s">
        <v>221</v>
      </c>
      <c r="C51" s="227" t="s">
        <v>572</v>
      </c>
      <c r="D51" s="228">
        <v>425</v>
      </c>
      <c r="E51" s="231">
        <v>1144.0999999999999</v>
      </c>
      <c r="F51" s="231">
        <v>1142.3</v>
      </c>
      <c r="G51" s="228">
        <v>1.8</v>
      </c>
      <c r="H51" s="229">
        <v>1.6000000000000001E-3</v>
      </c>
      <c r="I51" s="231">
        <v>1141.3</v>
      </c>
      <c r="J51" s="231">
        <v>1138.8</v>
      </c>
      <c r="K51" s="228">
        <v>2.5</v>
      </c>
      <c r="L51" s="229">
        <v>2.2000000000000001E-3</v>
      </c>
      <c r="M51" s="231">
        <v>1144.0999999999999</v>
      </c>
      <c r="N51" s="231">
        <v>1142.3</v>
      </c>
      <c r="O51" s="228">
        <v>1.8</v>
      </c>
      <c r="P51" s="229">
        <v>1.6000000000000001E-3</v>
      </c>
      <c r="Q51" s="228">
        <v>0</v>
      </c>
      <c r="R51" s="228">
        <v>0</v>
      </c>
      <c r="S51" s="228">
        <v>0</v>
      </c>
      <c r="T51" s="229">
        <v>0</v>
      </c>
      <c r="U51" s="228">
        <v>0</v>
      </c>
      <c r="V51" s="228">
        <v>0</v>
      </c>
      <c r="W51" s="228">
        <v>0</v>
      </c>
      <c r="X51" s="229">
        <v>0</v>
      </c>
      <c r="Y51" s="228">
        <v>2.8</v>
      </c>
      <c r="Z51" s="228">
        <v>3.5</v>
      </c>
      <c r="AA51" s="228">
        <v>-0.7</v>
      </c>
      <c r="AB51" s="229">
        <v>2.5000000000000001E-3</v>
      </c>
      <c r="AC51" s="228">
        <v>2.8</v>
      </c>
      <c r="AD51" s="228">
        <v>3.5</v>
      </c>
      <c r="AE51" s="228">
        <v>-0.7</v>
      </c>
      <c r="AF51" s="229">
        <v>2.5000000000000001E-3</v>
      </c>
      <c r="AG51" s="228">
        <v>0</v>
      </c>
      <c r="AH51" s="228">
        <v>0</v>
      </c>
      <c r="AI51" s="228">
        <v>0</v>
      </c>
      <c r="AJ51" s="229">
        <v>0</v>
      </c>
      <c r="AK51" s="228">
        <v>0</v>
      </c>
      <c r="AL51" s="228">
        <v>0</v>
      </c>
      <c r="AM51" s="228">
        <v>0</v>
      </c>
      <c r="AN51" s="229">
        <v>0</v>
      </c>
      <c r="AO51" s="231">
        <v>1142.8699999999999</v>
      </c>
      <c r="AP51" s="228">
        <v>0</v>
      </c>
      <c r="AQ51" s="228">
        <v>0</v>
      </c>
      <c r="AR51" s="230">
        <v>435200</v>
      </c>
      <c r="AS51" s="230">
        <v>2452250</v>
      </c>
      <c r="AT51" s="230">
        <v>-2017050</v>
      </c>
      <c r="AU51" s="229">
        <v>-0.82250000000000001</v>
      </c>
      <c r="AV51" s="230">
        <v>435200</v>
      </c>
      <c r="AW51" s="230">
        <v>2452250</v>
      </c>
      <c r="AX51" s="230">
        <v>-2017050</v>
      </c>
      <c r="AY51" s="229">
        <v>-0.82250000000000001</v>
      </c>
      <c r="AZ51" s="228">
        <v>0</v>
      </c>
      <c r="BA51" s="228">
        <v>0</v>
      </c>
      <c r="BB51" s="228">
        <v>0</v>
      </c>
      <c r="BC51" s="229">
        <v>0</v>
      </c>
      <c r="BD51" s="228">
        <v>0</v>
      </c>
      <c r="BE51" s="228">
        <v>0</v>
      </c>
      <c r="BF51" s="228">
        <v>0</v>
      </c>
      <c r="BG51" s="229">
        <v>0</v>
      </c>
      <c r="BH51" s="230">
        <v>2587825</v>
      </c>
      <c r="BI51" s="230">
        <v>7228825</v>
      </c>
      <c r="BJ51" s="230">
        <v>-4641000</v>
      </c>
      <c r="BK51" s="229">
        <v>-0.64200000000000002</v>
      </c>
      <c r="BL51" s="230">
        <v>501075</v>
      </c>
      <c r="BM51" s="230">
        <v>5451475</v>
      </c>
      <c r="BN51" s="230">
        <v>-4950400</v>
      </c>
      <c r="BO51" s="229">
        <v>-0.90810000000000002</v>
      </c>
      <c r="BP51" s="230">
        <v>3524100</v>
      </c>
      <c r="BQ51" s="230">
        <v>15132550</v>
      </c>
      <c r="BR51" s="230">
        <v>-11608450</v>
      </c>
      <c r="BS51" s="229">
        <v>-0.7671</v>
      </c>
      <c r="BT51" s="230">
        <v>496006</v>
      </c>
      <c r="BU51" s="230">
        <v>921032</v>
      </c>
      <c r="BV51" s="230">
        <v>-425026</v>
      </c>
      <c r="BW51" s="229">
        <v>-0.46150000000000002</v>
      </c>
      <c r="BX51" s="230">
        <v>3117375</v>
      </c>
      <c r="BY51" s="230">
        <v>3137350</v>
      </c>
      <c r="BZ51" s="230">
        <v>-19975</v>
      </c>
      <c r="CA51" s="229">
        <v>-6.4000000000000003E-3</v>
      </c>
      <c r="CB51" s="230">
        <v>3117375</v>
      </c>
      <c r="CC51" s="230">
        <v>3137350</v>
      </c>
      <c r="CD51" s="230">
        <v>-19975</v>
      </c>
      <c r="CE51" s="229">
        <v>-6.4000000000000003E-3</v>
      </c>
      <c r="CF51" s="228">
        <v>0</v>
      </c>
      <c r="CG51" s="228">
        <v>0</v>
      </c>
      <c r="CH51" s="228">
        <v>0</v>
      </c>
      <c r="CI51" s="229">
        <v>0</v>
      </c>
      <c r="CJ51" s="228">
        <v>0</v>
      </c>
      <c r="CK51" s="228">
        <v>0</v>
      </c>
      <c r="CL51" s="228">
        <v>0</v>
      </c>
      <c r="CM51" s="229">
        <v>0</v>
      </c>
      <c r="CN51" s="230">
        <v>1563150</v>
      </c>
      <c r="CO51" s="230">
        <v>1475600</v>
      </c>
      <c r="CP51" s="230">
        <v>87550</v>
      </c>
      <c r="CQ51" s="229">
        <v>5.9299999999999999E-2</v>
      </c>
      <c r="CR51" s="230">
        <v>1001725</v>
      </c>
      <c r="CS51" s="230">
        <v>1007250</v>
      </c>
      <c r="CT51" s="230">
        <v>-5525</v>
      </c>
      <c r="CU51" s="229">
        <v>-5.4999999999999997E-3</v>
      </c>
      <c r="CV51" s="230">
        <v>5682250</v>
      </c>
      <c r="CW51" s="230">
        <v>5620200</v>
      </c>
      <c r="CX51" s="230">
        <v>62050</v>
      </c>
      <c r="CY51" s="229">
        <v>1.0999999999999999E-2</v>
      </c>
      <c r="CZ51" s="228">
        <v>26.9</v>
      </c>
      <c r="DA51" s="228">
        <v>26.27</v>
      </c>
      <c r="DB51" s="228">
        <v>0.63</v>
      </c>
      <c r="DC51" s="228">
        <v>0.63</v>
      </c>
      <c r="DD51" s="228">
        <v>41.74</v>
      </c>
      <c r="DE51" s="228">
        <v>41.84</v>
      </c>
      <c r="DF51" s="228">
        <v>-14.84</v>
      </c>
      <c r="DG51" s="228">
        <v>-0.1</v>
      </c>
      <c r="DH51" s="228">
        <v>26.87</v>
      </c>
      <c r="DI51" s="228">
        <v>27.27</v>
      </c>
      <c r="DJ51" s="228">
        <v>-0.4</v>
      </c>
      <c r="DK51" s="228">
        <v>-0.4</v>
      </c>
      <c r="DL51" s="228">
        <v>27.03</v>
      </c>
      <c r="DM51" s="228">
        <v>24.96</v>
      </c>
      <c r="DN51" s="228">
        <v>2.0699999999999998</v>
      </c>
      <c r="DO51" s="228">
        <v>2.0699999999999998</v>
      </c>
      <c r="DP51" s="228">
        <v>0.64</v>
      </c>
      <c r="DQ51" s="228">
        <v>0.68</v>
      </c>
      <c r="DR51" s="228">
        <v>-0.04</v>
      </c>
      <c r="DS51" s="229">
        <v>-5.8799999999999998E-2</v>
      </c>
      <c r="DT51" s="231">
        <v>1200</v>
      </c>
      <c r="DU51" s="231">
        <v>1160</v>
      </c>
      <c r="DV51" s="228">
        <v>0.19</v>
      </c>
      <c r="DW51" s="228">
        <v>0.75</v>
      </c>
      <c r="DX51" s="228">
        <v>-0.56000000000000005</v>
      </c>
      <c r="DY51" s="229">
        <v>-0.74670000000000003</v>
      </c>
      <c r="DZ51" s="229">
        <v>0</v>
      </c>
      <c r="EA51" s="228">
        <v>0</v>
      </c>
      <c r="EB51" s="229">
        <v>0</v>
      </c>
      <c r="EC51" s="229">
        <v>0</v>
      </c>
      <c r="ED51" s="228">
        <v>0</v>
      </c>
      <c r="EE51" s="229">
        <v>0</v>
      </c>
      <c r="EF51" s="230">
        <v>158827</v>
      </c>
      <c r="EG51" s="230">
        <v>150813</v>
      </c>
      <c r="EH51" s="229">
        <v>5.3100000000000001E-2</v>
      </c>
      <c r="EI51" s="229">
        <v>0.32019999999999998</v>
      </c>
      <c r="EJ51" s="231">
        <v>30581.98</v>
      </c>
      <c r="EK51" s="231">
        <v>5702.79</v>
      </c>
      <c r="EL51" s="231">
        <v>4973.76</v>
      </c>
      <c r="EM51" s="231">
        <v>2050</v>
      </c>
      <c r="EN51" s="231">
        <v>41258.53</v>
      </c>
      <c r="EO51" s="231">
        <v>176669.27</v>
      </c>
      <c r="EP51" s="231">
        <v>-135410.74</v>
      </c>
      <c r="EQ51" s="229">
        <v>-0.76649999999999996</v>
      </c>
      <c r="ER51" s="231">
        <v>18527</v>
      </c>
      <c r="ES51" s="231">
        <v>11252</v>
      </c>
      <c r="ET51" s="231">
        <v>35666</v>
      </c>
      <c r="EU51" s="231">
        <v>12039544</v>
      </c>
      <c r="EV51" s="231">
        <v>65445</v>
      </c>
      <c r="EW51" s="231">
        <v>64691</v>
      </c>
      <c r="EX51" s="228">
        <v>754</v>
      </c>
      <c r="EY51" s="229">
        <v>1.17E-2</v>
      </c>
      <c r="EZ51" s="229">
        <v>0.47199999999999998</v>
      </c>
      <c r="FA51" s="227" t="s">
        <v>556</v>
      </c>
      <c r="FB51" s="161">
        <f t="shared" si="0"/>
        <v>0</v>
      </c>
    </row>
    <row r="52" spans="1:158" ht="17.25" hidden="1" thickBot="1" x14ac:dyDescent="0.3">
      <c r="A52" s="226">
        <v>46009</v>
      </c>
      <c r="B52" s="227" t="s">
        <v>168</v>
      </c>
      <c r="C52" s="227" t="s">
        <v>204</v>
      </c>
      <c r="D52" s="228">
        <v>1250</v>
      </c>
      <c r="E52" s="228">
        <v>493.6</v>
      </c>
      <c r="F52" s="228">
        <v>494.5</v>
      </c>
      <c r="G52" s="228">
        <v>-0.9</v>
      </c>
      <c r="H52" s="229">
        <v>-1.8E-3</v>
      </c>
      <c r="I52" s="228">
        <v>492.55</v>
      </c>
      <c r="J52" s="228">
        <v>494.15</v>
      </c>
      <c r="K52" s="228">
        <v>-1.6</v>
      </c>
      <c r="L52" s="229">
        <v>-3.2000000000000002E-3</v>
      </c>
      <c r="M52" s="228">
        <v>493.6</v>
      </c>
      <c r="N52" s="228">
        <v>494.5</v>
      </c>
      <c r="O52" s="228">
        <v>-0.9</v>
      </c>
      <c r="P52" s="229">
        <v>-1.8E-3</v>
      </c>
      <c r="Q52" s="228">
        <v>496.6</v>
      </c>
      <c r="R52" s="228">
        <v>497.45</v>
      </c>
      <c r="S52" s="228">
        <v>-0.85</v>
      </c>
      <c r="T52" s="229">
        <v>-1.6999999999999999E-3</v>
      </c>
      <c r="U52" s="228">
        <v>499.25</v>
      </c>
      <c r="V52" s="228">
        <v>500.75</v>
      </c>
      <c r="W52" s="228">
        <v>-1.5</v>
      </c>
      <c r="X52" s="229">
        <v>-3.0000000000000001E-3</v>
      </c>
      <c r="Y52" s="228">
        <v>1.05</v>
      </c>
      <c r="Z52" s="228">
        <v>0.35</v>
      </c>
      <c r="AA52" s="228">
        <v>0.7</v>
      </c>
      <c r="AB52" s="229">
        <v>2.0999999999999999E-3</v>
      </c>
      <c r="AC52" s="228">
        <v>1.05</v>
      </c>
      <c r="AD52" s="228">
        <v>0.35</v>
      </c>
      <c r="AE52" s="228">
        <v>0.7</v>
      </c>
      <c r="AF52" s="229">
        <v>2.0999999999999999E-3</v>
      </c>
      <c r="AG52" s="228">
        <v>4.05</v>
      </c>
      <c r="AH52" s="228">
        <v>3.3</v>
      </c>
      <c r="AI52" s="228">
        <v>0.75</v>
      </c>
      <c r="AJ52" s="229">
        <v>8.2000000000000007E-3</v>
      </c>
      <c r="AK52" s="228">
        <v>6.7</v>
      </c>
      <c r="AL52" s="228">
        <v>6.6</v>
      </c>
      <c r="AM52" s="228">
        <v>0.1</v>
      </c>
      <c r="AN52" s="229">
        <v>1.3599999999999999E-2</v>
      </c>
      <c r="AO52" s="228">
        <v>492.86</v>
      </c>
      <c r="AP52" s="228">
        <v>495.83</v>
      </c>
      <c r="AQ52" s="228">
        <v>0</v>
      </c>
      <c r="AR52" s="230">
        <v>2333750</v>
      </c>
      <c r="AS52" s="230">
        <v>2035000</v>
      </c>
      <c r="AT52" s="230">
        <v>298750</v>
      </c>
      <c r="AU52" s="229">
        <v>0.14680000000000001</v>
      </c>
      <c r="AV52" s="230">
        <v>1705000</v>
      </c>
      <c r="AW52" s="230">
        <v>1675000</v>
      </c>
      <c r="AX52" s="230">
        <v>30000</v>
      </c>
      <c r="AY52" s="229">
        <v>1.7899999999999999E-2</v>
      </c>
      <c r="AZ52" s="230">
        <v>591250</v>
      </c>
      <c r="BA52" s="230">
        <v>343750</v>
      </c>
      <c r="BB52" s="230">
        <v>247500</v>
      </c>
      <c r="BC52" s="229">
        <v>0.72</v>
      </c>
      <c r="BD52" s="230">
        <v>37500</v>
      </c>
      <c r="BE52" s="230">
        <v>16250</v>
      </c>
      <c r="BF52" s="230">
        <v>21250</v>
      </c>
      <c r="BG52" s="229">
        <v>1.3077000000000001</v>
      </c>
      <c r="BH52" s="230">
        <v>8413750</v>
      </c>
      <c r="BI52" s="230">
        <v>7313750</v>
      </c>
      <c r="BJ52" s="230">
        <v>1100000</v>
      </c>
      <c r="BK52" s="229">
        <v>0.15040000000000001</v>
      </c>
      <c r="BL52" s="230">
        <v>3056250</v>
      </c>
      <c r="BM52" s="230">
        <v>2627500</v>
      </c>
      <c r="BN52" s="230">
        <v>428750</v>
      </c>
      <c r="BO52" s="229">
        <v>0.16320000000000001</v>
      </c>
      <c r="BP52" s="230">
        <v>13803750</v>
      </c>
      <c r="BQ52" s="230">
        <v>11976250</v>
      </c>
      <c r="BR52" s="230">
        <v>1827500</v>
      </c>
      <c r="BS52" s="229">
        <v>0.15260000000000001</v>
      </c>
      <c r="BT52" s="230">
        <v>693206</v>
      </c>
      <c r="BU52" s="230">
        <v>569561</v>
      </c>
      <c r="BV52" s="230">
        <v>123645</v>
      </c>
      <c r="BW52" s="229">
        <v>0.21709999999999999</v>
      </c>
      <c r="BX52" s="230">
        <v>19831250</v>
      </c>
      <c r="BY52" s="230">
        <v>19296250</v>
      </c>
      <c r="BZ52" s="230">
        <v>535000</v>
      </c>
      <c r="CA52" s="229">
        <v>2.7699999999999999E-2</v>
      </c>
      <c r="CB52" s="230">
        <v>18212500</v>
      </c>
      <c r="CC52" s="230">
        <v>18082500</v>
      </c>
      <c r="CD52" s="230">
        <v>130000</v>
      </c>
      <c r="CE52" s="229">
        <v>7.1999999999999998E-3</v>
      </c>
      <c r="CF52" s="230">
        <v>1495000</v>
      </c>
      <c r="CG52" s="230">
        <v>1097500</v>
      </c>
      <c r="CH52" s="230">
        <v>397500</v>
      </c>
      <c r="CI52" s="229">
        <v>0.36220000000000002</v>
      </c>
      <c r="CJ52" s="230">
        <v>123750</v>
      </c>
      <c r="CK52" s="230">
        <v>116250</v>
      </c>
      <c r="CL52" s="230">
        <v>7500</v>
      </c>
      <c r="CM52" s="229">
        <v>6.4500000000000002E-2</v>
      </c>
      <c r="CN52" s="230">
        <v>15478750</v>
      </c>
      <c r="CO52" s="230">
        <v>15480000</v>
      </c>
      <c r="CP52" s="230">
        <v>-1250</v>
      </c>
      <c r="CQ52" s="229">
        <v>-1E-4</v>
      </c>
      <c r="CR52" s="230">
        <v>8703750</v>
      </c>
      <c r="CS52" s="230">
        <v>8366250</v>
      </c>
      <c r="CT52" s="230">
        <v>337500</v>
      </c>
      <c r="CU52" s="229">
        <v>4.0300000000000002E-2</v>
      </c>
      <c r="CV52" s="230">
        <v>44013750</v>
      </c>
      <c r="CW52" s="230">
        <v>43142500</v>
      </c>
      <c r="CX52" s="230">
        <v>871250</v>
      </c>
      <c r="CY52" s="229">
        <v>2.0199999999999999E-2</v>
      </c>
      <c r="CZ52" s="228">
        <v>19.579999999999998</v>
      </c>
      <c r="DA52" s="228">
        <v>20.47</v>
      </c>
      <c r="DB52" s="228">
        <v>-0.89</v>
      </c>
      <c r="DC52" s="228">
        <v>-0.89</v>
      </c>
      <c r="DD52" s="228">
        <v>24.58</v>
      </c>
      <c r="DE52" s="228">
        <v>24.64</v>
      </c>
      <c r="DF52" s="228">
        <v>-5</v>
      </c>
      <c r="DG52" s="228">
        <v>-0.06</v>
      </c>
      <c r="DH52" s="228">
        <v>19.78</v>
      </c>
      <c r="DI52" s="228">
        <v>20.76</v>
      </c>
      <c r="DJ52" s="228">
        <v>-0.98</v>
      </c>
      <c r="DK52" s="228">
        <v>-0.98</v>
      </c>
      <c r="DL52" s="228">
        <v>19.04</v>
      </c>
      <c r="DM52" s="228">
        <v>19.68</v>
      </c>
      <c r="DN52" s="228">
        <v>-0.64</v>
      </c>
      <c r="DO52" s="228">
        <v>-0.64</v>
      </c>
      <c r="DP52" s="228">
        <v>0.56000000000000005</v>
      </c>
      <c r="DQ52" s="228">
        <v>0.54</v>
      </c>
      <c r="DR52" s="228">
        <v>0.02</v>
      </c>
      <c r="DS52" s="229">
        <v>3.6999999999999998E-2</v>
      </c>
      <c r="DT52" s="228">
        <v>550</v>
      </c>
      <c r="DU52" s="228">
        <v>460</v>
      </c>
      <c r="DV52" s="228">
        <v>0.36</v>
      </c>
      <c r="DW52" s="228">
        <v>0.36</v>
      </c>
      <c r="DX52" s="228">
        <v>0</v>
      </c>
      <c r="DY52" s="229">
        <v>0</v>
      </c>
      <c r="DZ52" s="229">
        <v>8.1600000000000006E-2</v>
      </c>
      <c r="EA52" s="230">
        <v>1213750</v>
      </c>
      <c r="EB52" s="229">
        <v>6.1000000000000004E-3</v>
      </c>
      <c r="EC52" s="229">
        <v>8.1600000000000006E-2</v>
      </c>
      <c r="ED52" s="228">
        <v>2.97</v>
      </c>
      <c r="EE52" s="229">
        <v>6.0000000000000001E-3</v>
      </c>
      <c r="EF52" s="230">
        <v>359611</v>
      </c>
      <c r="EG52" s="230">
        <v>294672</v>
      </c>
      <c r="EH52" s="229">
        <v>0.22040000000000001</v>
      </c>
      <c r="EI52" s="229">
        <v>0.51880000000000004</v>
      </c>
      <c r="EJ52" s="231">
        <v>43302.7</v>
      </c>
      <c r="EK52" s="231">
        <v>14927.33</v>
      </c>
      <c r="EL52" s="231">
        <v>11522.04</v>
      </c>
      <c r="EM52" s="231">
        <v>2158</v>
      </c>
      <c r="EN52" s="231">
        <v>69752.070000000007</v>
      </c>
      <c r="EO52" s="231">
        <v>60649.39</v>
      </c>
      <c r="EP52" s="231">
        <v>9102.68</v>
      </c>
      <c r="EQ52" s="229">
        <v>0.15010000000000001</v>
      </c>
      <c r="ER52" s="231">
        <v>81944</v>
      </c>
      <c r="ES52" s="231">
        <v>42484</v>
      </c>
      <c r="ET52" s="231">
        <v>97939</v>
      </c>
      <c r="EU52" s="231">
        <v>89873278</v>
      </c>
      <c r="EV52" s="231">
        <v>222366</v>
      </c>
      <c r="EW52" s="231">
        <v>218391</v>
      </c>
      <c r="EX52" s="231">
        <v>3975</v>
      </c>
      <c r="EY52" s="229">
        <v>1.8200000000000001E-2</v>
      </c>
      <c r="EZ52" s="229">
        <v>0.48970000000000002</v>
      </c>
      <c r="FA52" s="227" t="s">
        <v>567</v>
      </c>
      <c r="FB52" s="161">
        <f t="shared" si="0"/>
        <v>1618750</v>
      </c>
    </row>
    <row r="53" spans="1:158" ht="17.25" hidden="1" thickBot="1" x14ac:dyDescent="0.3">
      <c r="A53" s="226">
        <v>46009</v>
      </c>
      <c r="B53" s="227" t="s">
        <v>157</v>
      </c>
      <c r="C53" s="227" t="s">
        <v>524</v>
      </c>
      <c r="D53" s="228">
        <v>325</v>
      </c>
      <c r="E53" s="231">
        <v>2028.1</v>
      </c>
      <c r="F53" s="231">
        <v>2077.6</v>
      </c>
      <c r="G53" s="228">
        <v>-49.5</v>
      </c>
      <c r="H53" s="229">
        <v>-2.3800000000000002E-2</v>
      </c>
      <c r="I53" s="231">
        <v>2024.4</v>
      </c>
      <c r="J53" s="231">
        <v>2073.9</v>
      </c>
      <c r="K53" s="228">
        <v>-49.5</v>
      </c>
      <c r="L53" s="229">
        <v>-2.3900000000000001E-2</v>
      </c>
      <c r="M53" s="231">
        <v>2028.1</v>
      </c>
      <c r="N53" s="231">
        <v>2077.6</v>
      </c>
      <c r="O53" s="228">
        <v>-49.5</v>
      </c>
      <c r="P53" s="229">
        <v>-2.3800000000000002E-2</v>
      </c>
      <c r="Q53" s="231">
        <v>2041.4</v>
      </c>
      <c r="R53" s="231">
        <v>2091.1999999999998</v>
      </c>
      <c r="S53" s="228">
        <v>-49.8</v>
      </c>
      <c r="T53" s="229">
        <v>-2.3800000000000002E-2</v>
      </c>
      <c r="U53" s="231">
        <v>2056.5</v>
      </c>
      <c r="V53" s="231">
        <v>2090</v>
      </c>
      <c r="W53" s="228">
        <v>-33.5</v>
      </c>
      <c r="X53" s="229">
        <v>-1.6E-2</v>
      </c>
      <c r="Y53" s="228">
        <v>3.7</v>
      </c>
      <c r="Z53" s="228">
        <v>3.7</v>
      </c>
      <c r="AA53" s="228">
        <v>0</v>
      </c>
      <c r="AB53" s="229">
        <v>1.8E-3</v>
      </c>
      <c r="AC53" s="228">
        <v>3.7</v>
      </c>
      <c r="AD53" s="228">
        <v>3.7</v>
      </c>
      <c r="AE53" s="228">
        <v>0</v>
      </c>
      <c r="AF53" s="229">
        <v>1.8E-3</v>
      </c>
      <c r="AG53" s="228">
        <v>17</v>
      </c>
      <c r="AH53" s="228">
        <v>17.3</v>
      </c>
      <c r="AI53" s="228">
        <v>-0.3</v>
      </c>
      <c r="AJ53" s="229">
        <v>8.3999999999999995E-3</v>
      </c>
      <c r="AK53" s="228">
        <v>32.1</v>
      </c>
      <c r="AL53" s="228">
        <v>16.100000000000001</v>
      </c>
      <c r="AM53" s="228">
        <v>16</v>
      </c>
      <c r="AN53" s="229">
        <v>1.5900000000000001E-2</v>
      </c>
      <c r="AO53" s="231">
        <v>2041.61</v>
      </c>
      <c r="AP53" s="231">
        <v>2056.41</v>
      </c>
      <c r="AQ53" s="228">
        <v>0</v>
      </c>
      <c r="AR53" s="230">
        <v>743925</v>
      </c>
      <c r="AS53" s="230">
        <v>610350</v>
      </c>
      <c r="AT53" s="230">
        <v>133575</v>
      </c>
      <c r="AU53" s="229">
        <v>0.21879999999999999</v>
      </c>
      <c r="AV53" s="230">
        <v>577850</v>
      </c>
      <c r="AW53" s="230">
        <v>427700</v>
      </c>
      <c r="AX53" s="230">
        <v>150150</v>
      </c>
      <c r="AY53" s="229">
        <v>0.35110000000000002</v>
      </c>
      <c r="AZ53" s="230">
        <v>163475</v>
      </c>
      <c r="BA53" s="230">
        <v>182650</v>
      </c>
      <c r="BB53" s="230">
        <v>-19175</v>
      </c>
      <c r="BC53" s="229">
        <v>-0.105</v>
      </c>
      <c r="BD53" s="230">
        <v>2600</v>
      </c>
      <c r="BE53" s="228">
        <v>0</v>
      </c>
      <c r="BF53" s="230">
        <v>2600</v>
      </c>
      <c r="BG53" s="229">
        <v>0</v>
      </c>
      <c r="BH53" s="230">
        <v>1365000</v>
      </c>
      <c r="BI53" s="230">
        <v>1201850</v>
      </c>
      <c r="BJ53" s="230">
        <v>163150</v>
      </c>
      <c r="BK53" s="229">
        <v>0.13569999999999999</v>
      </c>
      <c r="BL53" s="230">
        <v>1148875</v>
      </c>
      <c r="BM53" s="230">
        <v>478075</v>
      </c>
      <c r="BN53" s="230">
        <v>670800</v>
      </c>
      <c r="BO53" s="229">
        <v>1.4031</v>
      </c>
      <c r="BP53" s="230">
        <v>3257800</v>
      </c>
      <c r="BQ53" s="230">
        <v>2290275</v>
      </c>
      <c r="BR53" s="230">
        <v>967525</v>
      </c>
      <c r="BS53" s="229">
        <v>0.4224</v>
      </c>
      <c r="BT53" s="230">
        <v>144232</v>
      </c>
      <c r="BU53" s="230">
        <v>144195</v>
      </c>
      <c r="BV53" s="228">
        <v>37</v>
      </c>
      <c r="BW53" s="229">
        <v>2.9999999999999997E-4</v>
      </c>
      <c r="BX53" s="230">
        <v>2471300</v>
      </c>
      <c r="BY53" s="230">
        <v>2441725</v>
      </c>
      <c r="BZ53" s="230">
        <v>29575</v>
      </c>
      <c r="CA53" s="229">
        <v>1.21E-2</v>
      </c>
      <c r="CB53" s="230">
        <v>2156050</v>
      </c>
      <c r="CC53" s="230">
        <v>2205450</v>
      </c>
      <c r="CD53" s="230">
        <v>-49400</v>
      </c>
      <c r="CE53" s="229">
        <v>-2.24E-2</v>
      </c>
      <c r="CF53" s="230">
        <v>306150</v>
      </c>
      <c r="CG53" s="230">
        <v>227500</v>
      </c>
      <c r="CH53" s="230">
        <v>78650</v>
      </c>
      <c r="CI53" s="229">
        <v>0.34570000000000001</v>
      </c>
      <c r="CJ53" s="230">
        <v>9100</v>
      </c>
      <c r="CK53" s="230">
        <v>8775</v>
      </c>
      <c r="CL53" s="228">
        <v>325</v>
      </c>
      <c r="CM53" s="229">
        <v>3.6999999999999998E-2</v>
      </c>
      <c r="CN53" s="230">
        <v>1474850</v>
      </c>
      <c r="CO53" s="230">
        <v>1326325</v>
      </c>
      <c r="CP53" s="230">
        <v>148525</v>
      </c>
      <c r="CQ53" s="229">
        <v>0.112</v>
      </c>
      <c r="CR53" s="230">
        <v>979875</v>
      </c>
      <c r="CS53" s="230">
        <v>1003925</v>
      </c>
      <c r="CT53" s="230">
        <v>-24050</v>
      </c>
      <c r="CU53" s="229">
        <v>-2.4E-2</v>
      </c>
      <c r="CV53" s="230">
        <v>4926025</v>
      </c>
      <c r="CW53" s="230">
        <v>4771975</v>
      </c>
      <c r="CX53" s="230">
        <v>154050</v>
      </c>
      <c r="CY53" s="229">
        <v>3.2300000000000002E-2</v>
      </c>
      <c r="CZ53" s="228">
        <v>22.49</v>
      </c>
      <c r="DA53" s="228">
        <v>21.57</v>
      </c>
      <c r="DB53" s="228">
        <v>0.92</v>
      </c>
      <c r="DC53" s="228">
        <v>0.92</v>
      </c>
      <c r="DD53" s="228">
        <v>29.19</v>
      </c>
      <c r="DE53" s="228">
        <v>29.08</v>
      </c>
      <c r="DF53" s="228">
        <v>-6.7</v>
      </c>
      <c r="DG53" s="228">
        <v>0.11</v>
      </c>
      <c r="DH53" s="228">
        <v>23.28</v>
      </c>
      <c r="DI53" s="228">
        <v>21.42</v>
      </c>
      <c r="DJ53" s="228">
        <v>1.86</v>
      </c>
      <c r="DK53" s="228">
        <v>1.86</v>
      </c>
      <c r="DL53" s="228">
        <v>21.54</v>
      </c>
      <c r="DM53" s="228">
        <v>21.95</v>
      </c>
      <c r="DN53" s="228">
        <v>-0.41</v>
      </c>
      <c r="DO53" s="228">
        <v>-0.41</v>
      </c>
      <c r="DP53" s="228">
        <v>0.66</v>
      </c>
      <c r="DQ53" s="228">
        <v>0.76</v>
      </c>
      <c r="DR53" s="228">
        <v>-0.1</v>
      </c>
      <c r="DS53" s="229">
        <v>-0.13159999999999999</v>
      </c>
      <c r="DT53" s="231">
        <v>2200</v>
      </c>
      <c r="DU53" s="231">
        <v>1960</v>
      </c>
      <c r="DV53" s="228">
        <v>0.84</v>
      </c>
      <c r="DW53" s="228">
        <v>0.4</v>
      </c>
      <c r="DX53" s="228">
        <v>0.44</v>
      </c>
      <c r="DY53" s="229">
        <v>1.1000000000000001</v>
      </c>
      <c r="DZ53" s="229">
        <v>0.12759999999999999</v>
      </c>
      <c r="EA53" s="230">
        <v>236275</v>
      </c>
      <c r="EB53" s="229">
        <v>6.6E-3</v>
      </c>
      <c r="EC53" s="229">
        <v>0.12759999999999999</v>
      </c>
      <c r="ED53" s="228">
        <v>14.8</v>
      </c>
      <c r="EE53" s="229">
        <v>7.1999999999999998E-3</v>
      </c>
      <c r="EF53" s="230">
        <v>67899</v>
      </c>
      <c r="EG53" s="230">
        <v>67189</v>
      </c>
      <c r="EH53" s="229">
        <v>1.06E-2</v>
      </c>
      <c r="EI53" s="229">
        <v>0.4708</v>
      </c>
      <c r="EJ53" s="231">
        <v>29261.97</v>
      </c>
      <c r="EK53" s="231">
        <v>22861.61</v>
      </c>
      <c r="EL53" s="231">
        <v>15212.81</v>
      </c>
      <c r="EM53" s="231">
        <v>2772</v>
      </c>
      <c r="EN53" s="231">
        <v>67336.39</v>
      </c>
      <c r="EO53" s="231">
        <v>47978.61</v>
      </c>
      <c r="EP53" s="231">
        <v>19357.78</v>
      </c>
      <c r="EQ53" s="229">
        <v>0.40350000000000003</v>
      </c>
      <c r="ER53" s="231">
        <v>31617</v>
      </c>
      <c r="ES53" s="231">
        <v>19398</v>
      </c>
      <c r="ET53" s="231">
        <v>50164</v>
      </c>
      <c r="EU53" s="231">
        <v>12425041</v>
      </c>
      <c r="EV53" s="231">
        <v>101179</v>
      </c>
      <c r="EW53" s="231">
        <v>99177</v>
      </c>
      <c r="EX53" s="231">
        <v>2002</v>
      </c>
      <c r="EY53" s="229">
        <v>2.0199999999999999E-2</v>
      </c>
      <c r="EZ53" s="229">
        <v>0.39650000000000002</v>
      </c>
      <c r="FA53" s="227" t="s">
        <v>567</v>
      </c>
      <c r="FB53" s="161">
        <f t="shared" si="0"/>
        <v>315250</v>
      </c>
    </row>
    <row r="54" spans="1:158" ht="17.25" hidden="1" thickBot="1" x14ac:dyDescent="0.3">
      <c r="A54" s="226">
        <v>46009</v>
      </c>
      <c r="B54" s="227" t="s">
        <v>615</v>
      </c>
      <c r="C54" s="227" t="s">
        <v>600</v>
      </c>
      <c r="D54" s="228">
        <v>2075</v>
      </c>
      <c r="E54" s="228">
        <v>402.6</v>
      </c>
      <c r="F54" s="228">
        <v>400.3</v>
      </c>
      <c r="G54" s="228">
        <v>2.2999999999999998</v>
      </c>
      <c r="H54" s="229">
        <v>5.7000000000000002E-3</v>
      </c>
      <c r="I54" s="228">
        <v>402.35</v>
      </c>
      <c r="J54" s="228">
        <v>399.8</v>
      </c>
      <c r="K54" s="228">
        <v>2.5499999999999998</v>
      </c>
      <c r="L54" s="229">
        <v>6.4000000000000003E-3</v>
      </c>
      <c r="M54" s="228">
        <v>402.6</v>
      </c>
      <c r="N54" s="228">
        <v>400.3</v>
      </c>
      <c r="O54" s="228">
        <v>2.2999999999999998</v>
      </c>
      <c r="P54" s="229">
        <v>5.7000000000000002E-3</v>
      </c>
      <c r="Q54" s="228">
        <v>405</v>
      </c>
      <c r="R54" s="228">
        <v>402.75</v>
      </c>
      <c r="S54" s="228">
        <v>2.25</v>
      </c>
      <c r="T54" s="229">
        <v>5.5999999999999999E-3</v>
      </c>
      <c r="U54" s="228">
        <v>407.35</v>
      </c>
      <c r="V54" s="228">
        <v>406</v>
      </c>
      <c r="W54" s="228">
        <v>1.35</v>
      </c>
      <c r="X54" s="229">
        <v>3.3E-3</v>
      </c>
      <c r="Y54" s="228">
        <v>0.25</v>
      </c>
      <c r="Z54" s="228">
        <v>0.5</v>
      </c>
      <c r="AA54" s="228">
        <v>-0.25</v>
      </c>
      <c r="AB54" s="229">
        <v>5.9999999999999995E-4</v>
      </c>
      <c r="AC54" s="228">
        <v>0.25</v>
      </c>
      <c r="AD54" s="228">
        <v>0.5</v>
      </c>
      <c r="AE54" s="228">
        <v>-0.25</v>
      </c>
      <c r="AF54" s="229">
        <v>5.9999999999999995E-4</v>
      </c>
      <c r="AG54" s="228">
        <v>2.65</v>
      </c>
      <c r="AH54" s="228">
        <v>2.95</v>
      </c>
      <c r="AI54" s="228">
        <v>-0.3</v>
      </c>
      <c r="AJ54" s="229">
        <v>6.6E-3</v>
      </c>
      <c r="AK54" s="228">
        <v>5</v>
      </c>
      <c r="AL54" s="228">
        <v>6.2</v>
      </c>
      <c r="AM54" s="228">
        <v>-1.2</v>
      </c>
      <c r="AN54" s="229">
        <v>1.24E-2</v>
      </c>
      <c r="AO54" s="228">
        <v>400.89</v>
      </c>
      <c r="AP54" s="228">
        <v>402.62</v>
      </c>
      <c r="AQ54" s="228">
        <v>0</v>
      </c>
      <c r="AR54" s="230">
        <v>2871800</v>
      </c>
      <c r="AS54" s="230">
        <v>2365500</v>
      </c>
      <c r="AT54" s="230">
        <v>506300</v>
      </c>
      <c r="AU54" s="229">
        <v>0.214</v>
      </c>
      <c r="AV54" s="230">
        <v>2510750</v>
      </c>
      <c r="AW54" s="230">
        <v>1923525</v>
      </c>
      <c r="AX54" s="230">
        <v>587225</v>
      </c>
      <c r="AY54" s="229">
        <v>0.30530000000000002</v>
      </c>
      <c r="AZ54" s="230">
        <v>352750</v>
      </c>
      <c r="BA54" s="230">
        <v>429525</v>
      </c>
      <c r="BB54" s="230">
        <v>-76775</v>
      </c>
      <c r="BC54" s="229">
        <v>-0.1787</v>
      </c>
      <c r="BD54" s="230">
        <v>8300</v>
      </c>
      <c r="BE54" s="230">
        <v>12450</v>
      </c>
      <c r="BF54" s="230">
        <v>-4150</v>
      </c>
      <c r="BG54" s="229">
        <v>-0.33329999999999999</v>
      </c>
      <c r="BH54" s="230">
        <v>6920125</v>
      </c>
      <c r="BI54" s="230">
        <v>7237600</v>
      </c>
      <c r="BJ54" s="230">
        <v>-317475</v>
      </c>
      <c r="BK54" s="229">
        <v>-4.3900000000000002E-2</v>
      </c>
      <c r="BL54" s="230">
        <v>4855500</v>
      </c>
      <c r="BM54" s="230">
        <v>3606350</v>
      </c>
      <c r="BN54" s="230">
        <v>1249150</v>
      </c>
      <c r="BO54" s="229">
        <v>0.34639999999999999</v>
      </c>
      <c r="BP54" s="230">
        <v>14647425</v>
      </c>
      <c r="BQ54" s="230">
        <v>13209450</v>
      </c>
      <c r="BR54" s="230">
        <v>1437975</v>
      </c>
      <c r="BS54" s="229">
        <v>0.1089</v>
      </c>
      <c r="BT54" s="230">
        <v>1120674</v>
      </c>
      <c r="BU54" s="230">
        <v>1173511</v>
      </c>
      <c r="BV54" s="230">
        <v>-52837</v>
      </c>
      <c r="BW54" s="229">
        <v>-4.4999999999999998E-2</v>
      </c>
      <c r="BX54" s="230">
        <v>16077100</v>
      </c>
      <c r="BY54" s="230">
        <v>16450600</v>
      </c>
      <c r="BZ54" s="230">
        <v>-373500</v>
      </c>
      <c r="CA54" s="229">
        <v>-2.2700000000000001E-2</v>
      </c>
      <c r="CB54" s="230">
        <v>14973200</v>
      </c>
      <c r="CC54" s="230">
        <v>15386125</v>
      </c>
      <c r="CD54" s="230">
        <v>-412925</v>
      </c>
      <c r="CE54" s="229">
        <v>-2.6800000000000001E-2</v>
      </c>
      <c r="CF54" s="230">
        <v>1004300</v>
      </c>
      <c r="CG54" s="230">
        <v>964875</v>
      </c>
      <c r="CH54" s="230">
        <v>39425</v>
      </c>
      <c r="CI54" s="229">
        <v>4.0899999999999999E-2</v>
      </c>
      <c r="CJ54" s="230">
        <v>99600</v>
      </c>
      <c r="CK54" s="230">
        <v>99600</v>
      </c>
      <c r="CL54" s="228">
        <v>0</v>
      </c>
      <c r="CM54" s="229">
        <v>0</v>
      </c>
      <c r="CN54" s="230">
        <v>13491650</v>
      </c>
      <c r="CO54" s="230">
        <v>13804975</v>
      </c>
      <c r="CP54" s="230">
        <v>-313325</v>
      </c>
      <c r="CQ54" s="229">
        <v>-2.2700000000000001E-2</v>
      </c>
      <c r="CR54" s="230">
        <v>9026250</v>
      </c>
      <c r="CS54" s="230">
        <v>8966075</v>
      </c>
      <c r="CT54" s="230">
        <v>60175</v>
      </c>
      <c r="CU54" s="229">
        <v>6.7000000000000002E-3</v>
      </c>
      <c r="CV54" s="230">
        <v>38595000</v>
      </c>
      <c r="CW54" s="230">
        <v>39221650</v>
      </c>
      <c r="CX54" s="230">
        <v>-626650</v>
      </c>
      <c r="CY54" s="229">
        <v>-1.6E-2</v>
      </c>
      <c r="CZ54" s="228">
        <v>27.08</v>
      </c>
      <c r="DA54" s="228">
        <v>28.08</v>
      </c>
      <c r="DB54" s="228">
        <v>-1</v>
      </c>
      <c r="DC54" s="228">
        <v>-1</v>
      </c>
      <c r="DD54" s="228">
        <v>40.92</v>
      </c>
      <c r="DE54" s="228">
        <v>41.02</v>
      </c>
      <c r="DF54" s="228">
        <v>-13.84</v>
      </c>
      <c r="DG54" s="228">
        <v>-0.1</v>
      </c>
      <c r="DH54" s="228">
        <v>27.16</v>
      </c>
      <c r="DI54" s="228">
        <v>28.65</v>
      </c>
      <c r="DJ54" s="228">
        <v>-1.49</v>
      </c>
      <c r="DK54" s="228">
        <v>-1.49</v>
      </c>
      <c r="DL54" s="228">
        <v>26.98</v>
      </c>
      <c r="DM54" s="228">
        <v>26.94</v>
      </c>
      <c r="DN54" s="228">
        <v>0.04</v>
      </c>
      <c r="DO54" s="228">
        <v>0.04</v>
      </c>
      <c r="DP54" s="228">
        <v>0.67</v>
      </c>
      <c r="DQ54" s="228">
        <v>0.65</v>
      </c>
      <c r="DR54" s="228">
        <v>0.02</v>
      </c>
      <c r="DS54" s="229">
        <v>3.0800000000000001E-2</v>
      </c>
      <c r="DT54" s="228">
        <v>430</v>
      </c>
      <c r="DU54" s="228">
        <v>380</v>
      </c>
      <c r="DV54" s="228">
        <v>0.7</v>
      </c>
      <c r="DW54" s="228">
        <v>0.5</v>
      </c>
      <c r="DX54" s="228">
        <v>0.2</v>
      </c>
      <c r="DY54" s="229">
        <v>0.4</v>
      </c>
      <c r="DZ54" s="229">
        <v>6.8699999999999997E-2</v>
      </c>
      <c r="EA54" s="230">
        <v>1064475</v>
      </c>
      <c r="EB54" s="229">
        <v>6.0000000000000001E-3</v>
      </c>
      <c r="EC54" s="229">
        <v>6.8699999999999997E-2</v>
      </c>
      <c r="ED54" s="228">
        <v>1.73</v>
      </c>
      <c r="EE54" s="229">
        <v>4.3E-3</v>
      </c>
      <c r="EF54" s="230">
        <v>698872</v>
      </c>
      <c r="EG54" s="230">
        <v>653606</v>
      </c>
      <c r="EH54" s="229">
        <v>6.93E-2</v>
      </c>
      <c r="EI54" s="229">
        <v>0.62360000000000004</v>
      </c>
      <c r="EJ54" s="231">
        <v>29061.86</v>
      </c>
      <c r="EK54" s="231">
        <v>19260.669999999998</v>
      </c>
      <c r="EL54" s="231">
        <v>11519.5</v>
      </c>
      <c r="EM54" s="231">
        <v>1221</v>
      </c>
      <c r="EN54" s="231">
        <v>59842.03</v>
      </c>
      <c r="EO54" s="231">
        <v>54427.93</v>
      </c>
      <c r="EP54" s="231">
        <v>5414.1</v>
      </c>
      <c r="EQ54" s="229">
        <v>9.9500000000000005E-2</v>
      </c>
      <c r="ER54" s="231">
        <v>59294</v>
      </c>
      <c r="ES54" s="231">
        <v>35921</v>
      </c>
      <c r="ET54" s="231">
        <v>64755</v>
      </c>
      <c r="EU54" s="231">
        <v>94196226</v>
      </c>
      <c r="EV54" s="231">
        <v>159970</v>
      </c>
      <c r="EW54" s="231">
        <v>162290</v>
      </c>
      <c r="EX54" s="231">
        <v>-2320</v>
      </c>
      <c r="EY54" s="229">
        <v>-1.43E-2</v>
      </c>
      <c r="EZ54" s="229">
        <v>0.40970000000000001</v>
      </c>
      <c r="FA54" s="227" t="s">
        <v>556</v>
      </c>
      <c r="FB54" s="161">
        <f t="shared" si="0"/>
        <v>1103900</v>
      </c>
    </row>
    <row r="55" spans="1:158" ht="17.25" hidden="1" thickBot="1" x14ac:dyDescent="0.3">
      <c r="A55" s="226">
        <v>46009</v>
      </c>
      <c r="B55" s="227" t="s">
        <v>170</v>
      </c>
      <c r="C55" s="227" t="s">
        <v>205</v>
      </c>
      <c r="D55" s="228">
        <v>100</v>
      </c>
      <c r="E55" s="231">
        <v>6390.5</v>
      </c>
      <c r="F55" s="231">
        <v>6299.5</v>
      </c>
      <c r="G55" s="228">
        <v>91</v>
      </c>
      <c r="H55" s="229">
        <v>1.44E-2</v>
      </c>
      <c r="I55" s="231">
        <v>6380</v>
      </c>
      <c r="J55" s="231">
        <v>6293</v>
      </c>
      <c r="K55" s="228">
        <v>87</v>
      </c>
      <c r="L55" s="229">
        <v>1.38E-2</v>
      </c>
      <c r="M55" s="231">
        <v>6390.5</v>
      </c>
      <c r="N55" s="231">
        <v>6299.5</v>
      </c>
      <c r="O55" s="228">
        <v>91</v>
      </c>
      <c r="P55" s="229">
        <v>1.44E-2</v>
      </c>
      <c r="Q55" s="231">
        <v>6434</v>
      </c>
      <c r="R55" s="231">
        <v>6339</v>
      </c>
      <c r="S55" s="228">
        <v>95</v>
      </c>
      <c r="T55" s="229">
        <v>1.4999999999999999E-2</v>
      </c>
      <c r="U55" s="231">
        <v>6471.5</v>
      </c>
      <c r="V55" s="231">
        <v>6377</v>
      </c>
      <c r="W55" s="228">
        <v>94.5</v>
      </c>
      <c r="X55" s="229">
        <v>1.4800000000000001E-2</v>
      </c>
      <c r="Y55" s="228">
        <v>10.5</v>
      </c>
      <c r="Z55" s="228">
        <v>6.5</v>
      </c>
      <c r="AA55" s="228">
        <v>4</v>
      </c>
      <c r="AB55" s="229">
        <v>1.6000000000000001E-3</v>
      </c>
      <c r="AC55" s="228">
        <v>10.5</v>
      </c>
      <c r="AD55" s="228">
        <v>6.5</v>
      </c>
      <c r="AE55" s="228">
        <v>4</v>
      </c>
      <c r="AF55" s="229">
        <v>1.6000000000000001E-3</v>
      </c>
      <c r="AG55" s="228">
        <v>54</v>
      </c>
      <c r="AH55" s="228">
        <v>46</v>
      </c>
      <c r="AI55" s="228">
        <v>8</v>
      </c>
      <c r="AJ55" s="229">
        <v>8.5000000000000006E-3</v>
      </c>
      <c r="AK55" s="228">
        <v>91.5</v>
      </c>
      <c r="AL55" s="228">
        <v>84</v>
      </c>
      <c r="AM55" s="228">
        <v>7.5</v>
      </c>
      <c r="AN55" s="229">
        <v>1.43E-2</v>
      </c>
      <c r="AO55" s="231">
        <v>6383.82</v>
      </c>
      <c r="AP55" s="231">
        <v>6429.52</v>
      </c>
      <c r="AQ55" s="228">
        <v>0</v>
      </c>
      <c r="AR55" s="230">
        <v>540600</v>
      </c>
      <c r="AS55" s="230">
        <v>172300</v>
      </c>
      <c r="AT55" s="230">
        <v>368300</v>
      </c>
      <c r="AU55" s="229">
        <v>2.1375999999999999</v>
      </c>
      <c r="AV55" s="230">
        <v>377600</v>
      </c>
      <c r="AW55" s="230">
        <v>145400</v>
      </c>
      <c r="AX55" s="230">
        <v>232200</v>
      </c>
      <c r="AY55" s="229">
        <v>1.597</v>
      </c>
      <c r="AZ55" s="230">
        <v>159100</v>
      </c>
      <c r="BA55" s="230">
        <v>26200</v>
      </c>
      <c r="BB55" s="230">
        <v>132900</v>
      </c>
      <c r="BC55" s="229">
        <v>5.0724999999999998</v>
      </c>
      <c r="BD55" s="230">
        <v>3900</v>
      </c>
      <c r="BE55" s="228">
        <v>700</v>
      </c>
      <c r="BF55" s="230">
        <v>3200</v>
      </c>
      <c r="BG55" s="229">
        <v>4.5713999999999997</v>
      </c>
      <c r="BH55" s="230">
        <v>1798200</v>
      </c>
      <c r="BI55" s="230">
        <v>529500</v>
      </c>
      <c r="BJ55" s="230">
        <v>1268700</v>
      </c>
      <c r="BK55" s="229">
        <v>2.3959999999999999</v>
      </c>
      <c r="BL55" s="230">
        <v>558500</v>
      </c>
      <c r="BM55" s="230">
        <v>236000</v>
      </c>
      <c r="BN55" s="230">
        <v>322500</v>
      </c>
      <c r="BO55" s="229">
        <v>1.3665</v>
      </c>
      <c r="BP55" s="230">
        <v>2897300</v>
      </c>
      <c r="BQ55" s="230">
        <v>937800</v>
      </c>
      <c r="BR55" s="230">
        <v>1959500</v>
      </c>
      <c r="BS55" s="229">
        <v>2.0895000000000001</v>
      </c>
      <c r="BT55" s="230">
        <v>402438</v>
      </c>
      <c r="BU55" s="230">
        <v>198427</v>
      </c>
      <c r="BV55" s="230">
        <v>204011</v>
      </c>
      <c r="BW55" s="229">
        <v>1.0281</v>
      </c>
      <c r="BX55" s="230">
        <v>3067200</v>
      </c>
      <c r="BY55" s="230">
        <v>3031200</v>
      </c>
      <c r="BZ55" s="230">
        <v>36000</v>
      </c>
      <c r="CA55" s="229">
        <v>1.1900000000000001E-2</v>
      </c>
      <c r="CB55" s="230">
        <v>2845500</v>
      </c>
      <c r="CC55" s="230">
        <v>2929800</v>
      </c>
      <c r="CD55" s="230">
        <v>-84300</v>
      </c>
      <c r="CE55" s="229">
        <v>-2.8799999999999999E-2</v>
      </c>
      <c r="CF55" s="230">
        <v>214300</v>
      </c>
      <c r="CG55" s="230">
        <v>95900</v>
      </c>
      <c r="CH55" s="230">
        <v>118400</v>
      </c>
      <c r="CI55" s="229">
        <v>1.2345999999999999</v>
      </c>
      <c r="CJ55" s="230">
        <v>7400</v>
      </c>
      <c r="CK55" s="230">
        <v>5500</v>
      </c>
      <c r="CL55" s="230">
        <v>1900</v>
      </c>
      <c r="CM55" s="229">
        <v>0.34549999999999997</v>
      </c>
      <c r="CN55" s="230">
        <v>976400</v>
      </c>
      <c r="CO55" s="230">
        <v>954400</v>
      </c>
      <c r="CP55" s="230">
        <v>22000</v>
      </c>
      <c r="CQ55" s="229">
        <v>2.3099999999999999E-2</v>
      </c>
      <c r="CR55" s="230">
        <v>690100</v>
      </c>
      <c r="CS55" s="230">
        <v>672100</v>
      </c>
      <c r="CT55" s="230">
        <v>18000</v>
      </c>
      <c r="CU55" s="229">
        <v>2.6800000000000001E-2</v>
      </c>
      <c r="CV55" s="230">
        <v>4733700</v>
      </c>
      <c r="CW55" s="230">
        <v>4657700</v>
      </c>
      <c r="CX55" s="230">
        <v>76000</v>
      </c>
      <c r="CY55" s="229">
        <v>1.6299999999999999E-2</v>
      </c>
      <c r="CZ55" s="228">
        <v>19.53</v>
      </c>
      <c r="DA55" s="228">
        <v>20.46</v>
      </c>
      <c r="DB55" s="228">
        <v>-0.93</v>
      </c>
      <c r="DC55" s="228">
        <v>-0.93</v>
      </c>
      <c r="DD55" s="228">
        <v>30.37</v>
      </c>
      <c r="DE55" s="228">
        <v>30.39</v>
      </c>
      <c r="DF55" s="228">
        <v>-10.84</v>
      </c>
      <c r="DG55" s="228">
        <v>-0.02</v>
      </c>
      <c r="DH55" s="228">
        <v>19.579999999999998</v>
      </c>
      <c r="DI55" s="228">
        <v>20.97</v>
      </c>
      <c r="DJ55" s="228">
        <v>-1.39</v>
      </c>
      <c r="DK55" s="228">
        <v>-1.39</v>
      </c>
      <c r="DL55" s="228">
        <v>19.37</v>
      </c>
      <c r="DM55" s="228">
        <v>19.32</v>
      </c>
      <c r="DN55" s="228">
        <v>0.05</v>
      </c>
      <c r="DO55" s="228">
        <v>0.05</v>
      </c>
      <c r="DP55" s="228">
        <v>0.71</v>
      </c>
      <c r="DQ55" s="228">
        <v>0.7</v>
      </c>
      <c r="DR55" s="228">
        <v>0.01</v>
      </c>
      <c r="DS55" s="229">
        <v>1.43E-2</v>
      </c>
      <c r="DT55" s="231">
        <v>7200</v>
      </c>
      <c r="DU55" s="231">
        <v>5800</v>
      </c>
      <c r="DV55" s="228">
        <v>0.31</v>
      </c>
      <c r="DW55" s="228">
        <v>0.45</v>
      </c>
      <c r="DX55" s="228">
        <v>-0.14000000000000001</v>
      </c>
      <c r="DY55" s="229">
        <v>-0.31109999999999999</v>
      </c>
      <c r="DZ55" s="229">
        <v>7.2300000000000003E-2</v>
      </c>
      <c r="EA55" s="230">
        <v>101400</v>
      </c>
      <c r="EB55" s="229">
        <v>6.7999999999999996E-3</v>
      </c>
      <c r="EC55" s="229">
        <v>7.2300000000000003E-2</v>
      </c>
      <c r="ED55" s="228">
        <v>45.7</v>
      </c>
      <c r="EE55" s="229">
        <v>7.1999999999999998E-3</v>
      </c>
      <c r="EF55" s="230">
        <v>275736</v>
      </c>
      <c r="EG55" s="230">
        <v>133845</v>
      </c>
      <c r="EH55" s="229">
        <v>1.0601</v>
      </c>
      <c r="EI55" s="229">
        <v>0.68520000000000003</v>
      </c>
      <c r="EJ55" s="231">
        <v>117643.21</v>
      </c>
      <c r="EK55" s="231">
        <v>35289.300000000003</v>
      </c>
      <c r="EL55" s="231">
        <v>34586.660000000003</v>
      </c>
      <c r="EM55" s="231">
        <v>2669</v>
      </c>
      <c r="EN55" s="231">
        <v>187519.17</v>
      </c>
      <c r="EO55" s="231">
        <v>60474.47</v>
      </c>
      <c r="EP55" s="231">
        <v>127044.7</v>
      </c>
      <c r="EQ55" s="229">
        <v>2.1008</v>
      </c>
      <c r="ER55" s="231">
        <v>65621</v>
      </c>
      <c r="ES55" s="231">
        <v>42596</v>
      </c>
      <c r="ET55" s="231">
        <v>196109</v>
      </c>
      <c r="EU55" s="231">
        <v>16353614</v>
      </c>
      <c r="EV55" s="231">
        <v>304325</v>
      </c>
      <c r="EW55" s="231">
        <v>296595</v>
      </c>
      <c r="EX55" s="231">
        <v>7730</v>
      </c>
      <c r="EY55" s="229">
        <v>2.6100000000000002E-2</v>
      </c>
      <c r="EZ55" s="229">
        <v>0.28949999999999998</v>
      </c>
      <c r="FA55" s="227" t="s">
        <v>555</v>
      </c>
      <c r="FB55" s="161">
        <f t="shared" si="0"/>
        <v>221700</v>
      </c>
    </row>
    <row r="56" spans="1:158" ht="17.25" hidden="1" thickBot="1" x14ac:dyDescent="0.3">
      <c r="A56" s="226">
        <v>46009</v>
      </c>
      <c r="B56" s="227" t="s">
        <v>184</v>
      </c>
      <c r="C56" s="227" t="s">
        <v>512</v>
      </c>
      <c r="D56" s="228">
        <v>50</v>
      </c>
      <c r="E56" s="231">
        <v>13326</v>
      </c>
      <c r="F56" s="231">
        <v>13263</v>
      </c>
      <c r="G56" s="228">
        <v>63</v>
      </c>
      <c r="H56" s="229">
        <v>4.7999999999999996E-3</v>
      </c>
      <c r="I56" s="231">
        <v>13299</v>
      </c>
      <c r="J56" s="231">
        <v>13274</v>
      </c>
      <c r="K56" s="228">
        <v>25</v>
      </c>
      <c r="L56" s="229">
        <v>1.9E-3</v>
      </c>
      <c r="M56" s="231">
        <v>13326</v>
      </c>
      <c r="N56" s="231">
        <v>13263</v>
      </c>
      <c r="O56" s="228">
        <v>63</v>
      </c>
      <c r="P56" s="229">
        <v>4.7999999999999996E-3</v>
      </c>
      <c r="Q56" s="231">
        <v>13417</v>
      </c>
      <c r="R56" s="231">
        <v>13342</v>
      </c>
      <c r="S56" s="228">
        <v>75</v>
      </c>
      <c r="T56" s="229">
        <v>5.5999999999999999E-3</v>
      </c>
      <c r="U56" s="231">
        <v>13466</v>
      </c>
      <c r="V56" s="231">
        <v>13434</v>
      </c>
      <c r="W56" s="228">
        <v>32</v>
      </c>
      <c r="X56" s="229">
        <v>2.3999999999999998E-3</v>
      </c>
      <c r="Y56" s="228">
        <v>27</v>
      </c>
      <c r="Z56" s="228">
        <v>-11</v>
      </c>
      <c r="AA56" s="228">
        <v>38</v>
      </c>
      <c r="AB56" s="229">
        <v>2E-3</v>
      </c>
      <c r="AC56" s="228">
        <v>27</v>
      </c>
      <c r="AD56" s="228">
        <v>-11</v>
      </c>
      <c r="AE56" s="228">
        <v>38</v>
      </c>
      <c r="AF56" s="229">
        <v>2E-3</v>
      </c>
      <c r="AG56" s="228">
        <v>118</v>
      </c>
      <c r="AH56" s="228">
        <v>68</v>
      </c>
      <c r="AI56" s="228">
        <v>50</v>
      </c>
      <c r="AJ56" s="229">
        <v>8.8999999999999999E-3</v>
      </c>
      <c r="AK56" s="228">
        <v>167</v>
      </c>
      <c r="AL56" s="228">
        <v>160</v>
      </c>
      <c r="AM56" s="228">
        <v>7</v>
      </c>
      <c r="AN56" s="229">
        <v>1.26E-2</v>
      </c>
      <c r="AO56" s="231">
        <v>13310.36</v>
      </c>
      <c r="AP56" s="231">
        <v>13391.01</v>
      </c>
      <c r="AQ56" s="228">
        <v>0</v>
      </c>
      <c r="AR56" s="230">
        <v>885300</v>
      </c>
      <c r="AS56" s="230">
        <v>698050</v>
      </c>
      <c r="AT56" s="230">
        <v>187250</v>
      </c>
      <c r="AU56" s="229">
        <v>0.26819999999999999</v>
      </c>
      <c r="AV56" s="230">
        <v>715850</v>
      </c>
      <c r="AW56" s="230">
        <v>580550</v>
      </c>
      <c r="AX56" s="230">
        <v>135300</v>
      </c>
      <c r="AY56" s="229">
        <v>0.2331</v>
      </c>
      <c r="AZ56" s="230">
        <v>157000</v>
      </c>
      <c r="BA56" s="230">
        <v>101800</v>
      </c>
      <c r="BB56" s="230">
        <v>55200</v>
      </c>
      <c r="BC56" s="229">
        <v>0.54220000000000002</v>
      </c>
      <c r="BD56" s="230">
        <v>12450</v>
      </c>
      <c r="BE56" s="230">
        <v>15700</v>
      </c>
      <c r="BF56" s="230">
        <v>-3250</v>
      </c>
      <c r="BG56" s="229">
        <v>-0.20699999999999999</v>
      </c>
      <c r="BH56" s="230">
        <v>7165900</v>
      </c>
      <c r="BI56" s="230">
        <v>5696550</v>
      </c>
      <c r="BJ56" s="230">
        <v>1469350</v>
      </c>
      <c r="BK56" s="229">
        <v>0.25790000000000002</v>
      </c>
      <c r="BL56" s="230">
        <v>5656550</v>
      </c>
      <c r="BM56" s="230">
        <v>6191450</v>
      </c>
      <c r="BN56" s="230">
        <v>-534900</v>
      </c>
      <c r="BO56" s="229">
        <v>-8.6400000000000005E-2</v>
      </c>
      <c r="BP56" s="230">
        <v>13707750</v>
      </c>
      <c r="BQ56" s="230">
        <v>12586050</v>
      </c>
      <c r="BR56" s="230">
        <v>1121700</v>
      </c>
      <c r="BS56" s="229">
        <v>8.9099999999999999E-2</v>
      </c>
      <c r="BT56" s="230">
        <v>573632</v>
      </c>
      <c r="BU56" s="230">
        <v>371954</v>
      </c>
      <c r="BV56" s="230">
        <v>201678</v>
      </c>
      <c r="BW56" s="229">
        <v>0.54220000000000002</v>
      </c>
      <c r="BX56" s="230">
        <v>2224750</v>
      </c>
      <c r="BY56" s="230">
        <v>2218400</v>
      </c>
      <c r="BZ56" s="230">
        <v>6350</v>
      </c>
      <c r="CA56" s="229">
        <v>2.8999999999999998E-3</v>
      </c>
      <c r="CB56" s="230">
        <v>1915900</v>
      </c>
      <c r="CC56" s="230">
        <v>1946700</v>
      </c>
      <c r="CD56" s="230">
        <v>-30800</v>
      </c>
      <c r="CE56" s="229">
        <v>-1.5800000000000002E-2</v>
      </c>
      <c r="CF56" s="230">
        <v>263450</v>
      </c>
      <c r="CG56" s="230">
        <v>225400</v>
      </c>
      <c r="CH56" s="230">
        <v>38050</v>
      </c>
      <c r="CI56" s="229">
        <v>0.16880000000000001</v>
      </c>
      <c r="CJ56" s="230">
        <v>45400</v>
      </c>
      <c r="CK56" s="230">
        <v>46300</v>
      </c>
      <c r="CL56" s="228">
        <v>-900</v>
      </c>
      <c r="CM56" s="229">
        <v>-1.9400000000000001E-2</v>
      </c>
      <c r="CN56" s="230">
        <v>3585050</v>
      </c>
      <c r="CO56" s="230">
        <v>3613050</v>
      </c>
      <c r="CP56" s="230">
        <v>-28000</v>
      </c>
      <c r="CQ56" s="229">
        <v>-7.7000000000000002E-3</v>
      </c>
      <c r="CR56" s="230">
        <v>1899650</v>
      </c>
      <c r="CS56" s="230">
        <v>1880350</v>
      </c>
      <c r="CT56" s="230">
        <v>19300</v>
      </c>
      <c r="CU56" s="229">
        <v>1.03E-2</v>
      </c>
      <c r="CV56" s="230">
        <v>7709450</v>
      </c>
      <c r="CW56" s="230">
        <v>7711800</v>
      </c>
      <c r="CX56" s="230">
        <v>-2350</v>
      </c>
      <c r="CY56" s="229">
        <v>-2.9999999999999997E-4</v>
      </c>
      <c r="CZ56" s="228">
        <v>35.04</v>
      </c>
      <c r="DA56" s="228">
        <v>35.229999999999997</v>
      </c>
      <c r="DB56" s="228">
        <v>-0.19</v>
      </c>
      <c r="DC56" s="228">
        <v>-0.19</v>
      </c>
      <c r="DD56" s="228">
        <v>44.86</v>
      </c>
      <c r="DE56" s="228">
        <v>44.97</v>
      </c>
      <c r="DF56" s="228">
        <v>-9.82</v>
      </c>
      <c r="DG56" s="228">
        <v>-0.11</v>
      </c>
      <c r="DH56" s="228">
        <v>33.840000000000003</v>
      </c>
      <c r="DI56" s="228">
        <v>35.28</v>
      </c>
      <c r="DJ56" s="228">
        <v>-1.44</v>
      </c>
      <c r="DK56" s="228">
        <v>-1.44</v>
      </c>
      <c r="DL56" s="228">
        <v>36.56</v>
      </c>
      <c r="DM56" s="228">
        <v>35.18</v>
      </c>
      <c r="DN56" s="228">
        <v>1.38</v>
      </c>
      <c r="DO56" s="228">
        <v>1.38</v>
      </c>
      <c r="DP56" s="228">
        <v>0.53</v>
      </c>
      <c r="DQ56" s="228">
        <v>0.52</v>
      </c>
      <c r="DR56" s="228">
        <v>0.01</v>
      </c>
      <c r="DS56" s="229">
        <v>1.9199999999999998E-2</v>
      </c>
      <c r="DT56" s="231">
        <v>15000</v>
      </c>
      <c r="DU56" s="231">
        <v>12000</v>
      </c>
      <c r="DV56" s="228">
        <v>0.79</v>
      </c>
      <c r="DW56" s="228">
        <v>1.0900000000000001</v>
      </c>
      <c r="DX56" s="228">
        <v>-0.3</v>
      </c>
      <c r="DY56" s="229">
        <v>-0.2752</v>
      </c>
      <c r="DZ56" s="229">
        <v>0.13880000000000001</v>
      </c>
      <c r="EA56" s="230">
        <v>271700</v>
      </c>
      <c r="EB56" s="229">
        <v>6.7999999999999996E-3</v>
      </c>
      <c r="EC56" s="229">
        <v>0.13880000000000001</v>
      </c>
      <c r="ED56" s="228">
        <v>80.650000000000006</v>
      </c>
      <c r="EE56" s="229">
        <v>6.1000000000000004E-3</v>
      </c>
      <c r="EF56" s="230">
        <v>169787</v>
      </c>
      <c r="EG56" s="230">
        <v>104013</v>
      </c>
      <c r="EH56" s="229">
        <v>0.63239999999999996</v>
      </c>
      <c r="EI56" s="229">
        <v>0.29599999999999999</v>
      </c>
      <c r="EJ56" s="231">
        <v>1015904.7</v>
      </c>
      <c r="EK56" s="231">
        <v>726036.19</v>
      </c>
      <c r="EL56" s="231">
        <v>117984.15</v>
      </c>
      <c r="EM56" s="231">
        <v>17886</v>
      </c>
      <c r="EN56" s="231">
        <v>1859925.04</v>
      </c>
      <c r="EO56" s="231">
        <v>1707802.54</v>
      </c>
      <c r="EP56" s="231">
        <v>152122.5</v>
      </c>
      <c r="EQ56" s="229">
        <v>8.9099999999999999E-2</v>
      </c>
      <c r="ER56" s="231">
        <v>530023</v>
      </c>
      <c r="ES56" s="231">
        <v>247224</v>
      </c>
      <c r="ET56" s="231">
        <v>296773</v>
      </c>
      <c r="EU56" s="231">
        <v>6445442</v>
      </c>
      <c r="EV56" s="231">
        <v>1074020</v>
      </c>
      <c r="EW56" s="231">
        <v>1073662</v>
      </c>
      <c r="EX56" s="228">
        <v>358</v>
      </c>
      <c r="EY56" s="229">
        <v>2.9999999999999997E-4</v>
      </c>
      <c r="EZ56" s="229">
        <v>1.1960999999999999</v>
      </c>
      <c r="FA56" s="227" t="s">
        <v>555</v>
      </c>
      <c r="FB56" s="161">
        <f t="shared" si="0"/>
        <v>308850</v>
      </c>
    </row>
    <row r="57" spans="1:158" ht="17.25" hidden="1" thickBot="1" x14ac:dyDescent="0.3">
      <c r="A57" s="226">
        <v>46009</v>
      </c>
      <c r="B57" s="227" t="s">
        <v>206</v>
      </c>
      <c r="C57" s="227" t="s">
        <v>207</v>
      </c>
      <c r="D57" s="228">
        <v>825</v>
      </c>
      <c r="E57" s="228">
        <v>680</v>
      </c>
      <c r="F57" s="228">
        <v>683.8</v>
      </c>
      <c r="G57" s="228">
        <v>-3.8</v>
      </c>
      <c r="H57" s="229">
        <v>-5.5999999999999999E-3</v>
      </c>
      <c r="I57" s="228">
        <v>679.05</v>
      </c>
      <c r="J57" s="228">
        <v>683.1</v>
      </c>
      <c r="K57" s="228">
        <v>-4.05</v>
      </c>
      <c r="L57" s="229">
        <v>-5.8999999999999999E-3</v>
      </c>
      <c r="M57" s="228">
        <v>680</v>
      </c>
      <c r="N57" s="228">
        <v>683.8</v>
      </c>
      <c r="O57" s="228">
        <v>-3.8</v>
      </c>
      <c r="P57" s="229">
        <v>-5.5999999999999999E-3</v>
      </c>
      <c r="Q57" s="228">
        <v>683.9</v>
      </c>
      <c r="R57" s="228">
        <v>687.75</v>
      </c>
      <c r="S57" s="228">
        <v>-3.85</v>
      </c>
      <c r="T57" s="229">
        <v>-5.5999999999999999E-3</v>
      </c>
      <c r="U57" s="228">
        <v>687.1</v>
      </c>
      <c r="V57" s="228">
        <v>691.85</v>
      </c>
      <c r="W57" s="228">
        <v>-4.75</v>
      </c>
      <c r="X57" s="229">
        <v>-6.8999999999999999E-3</v>
      </c>
      <c r="Y57" s="228">
        <v>0.95</v>
      </c>
      <c r="Z57" s="228">
        <v>0.7</v>
      </c>
      <c r="AA57" s="228">
        <v>0.25</v>
      </c>
      <c r="AB57" s="229">
        <v>1.4E-3</v>
      </c>
      <c r="AC57" s="228">
        <v>0.95</v>
      </c>
      <c r="AD57" s="228">
        <v>0.7</v>
      </c>
      <c r="AE57" s="228">
        <v>0.25</v>
      </c>
      <c r="AF57" s="229">
        <v>1.4E-3</v>
      </c>
      <c r="AG57" s="228">
        <v>4.8499999999999996</v>
      </c>
      <c r="AH57" s="228">
        <v>4.6500000000000004</v>
      </c>
      <c r="AI57" s="228">
        <v>0.2</v>
      </c>
      <c r="AJ57" s="229">
        <v>7.1000000000000004E-3</v>
      </c>
      <c r="AK57" s="228">
        <v>8.0500000000000007</v>
      </c>
      <c r="AL57" s="228">
        <v>8.75</v>
      </c>
      <c r="AM57" s="228">
        <v>-0.7</v>
      </c>
      <c r="AN57" s="229">
        <v>1.1900000000000001E-2</v>
      </c>
      <c r="AO57" s="228">
        <v>681</v>
      </c>
      <c r="AP57" s="228">
        <v>685.23</v>
      </c>
      <c r="AQ57" s="228">
        <v>0</v>
      </c>
      <c r="AR57" s="230">
        <v>7408500</v>
      </c>
      <c r="AS57" s="230">
        <v>4733850</v>
      </c>
      <c r="AT57" s="230">
        <v>2674650</v>
      </c>
      <c r="AU57" s="229">
        <v>0.56499999999999995</v>
      </c>
      <c r="AV57" s="230">
        <v>6069525</v>
      </c>
      <c r="AW57" s="230">
        <v>3936075</v>
      </c>
      <c r="AX57" s="230">
        <v>2133450</v>
      </c>
      <c r="AY57" s="229">
        <v>0.54200000000000004</v>
      </c>
      <c r="AZ57" s="230">
        <v>1249050</v>
      </c>
      <c r="BA57" s="230">
        <v>749100</v>
      </c>
      <c r="BB57" s="230">
        <v>499950</v>
      </c>
      <c r="BC57" s="229">
        <v>0.66739999999999999</v>
      </c>
      <c r="BD57" s="230">
        <v>89925</v>
      </c>
      <c r="BE57" s="230">
        <v>48675</v>
      </c>
      <c r="BF57" s="230">
        <v>41250</v>
      </c>
      <c r="BG57" s="229">
        <v>0.84750000000000003</v>
      </c>
      <c r="BH57" s="230">
        <v>24750000</v>
      </c>
      <c r="BI57" s="230">
        <v>18013050</v>
      </c>
      <c r="BJ57" s="230">
        <v>6736950</v>
      </c>
      <c r="BK57" s="229">
        <v>0.374</v>
      </c>
      <c r="BL57" s="230">
        <v>17974275</v>
      </c>
      <c r="BM57" s="230">
        <v>6996825</v>
      </c>
      <c r="BN57" s="230">
        <v>10977450</v>
      </c>
      <c r="BO57" s="229">
        <v>1.5689</v>
      </c>
      <c r="BP57" s="230">
        <v>50132775</v>
      </c>
      <c r="BQ57" s="230">
        <v>29743725</v>
      </c>
      <c r="BR57" s="230">
        <v>20389050</v>
      </c>
      <c r="BS57" s="229">
        <v>0.6855</v>
      </c>
      <c r="BT57" s="230">
        <v>1643012</v>
      </c>
      <c r="BU57" s="230">
        <v>1793008</v>
      </c>
      <c r="BV57" s="230">
        <v>-149996</v>
      </c>
      <c r="BW57" s="229">
        <v>-8.3699999999999997E-2</v>
      </c>
      <c r="BX57" s="230">
        <v>51653250</v>
      </c>
      <c r="BY57" s="230">
        <v>51046050</v>
      </c>
      <c r="BZ57" s="230">
        <v>607200</v>
      </c>
      <c r="CA57" s="229">
        <v>1.1900000000000001E-2</v>
      </c>
      <c r="CB57" s="230">
        <v>48099975</v>
      </c>
      <c r="CC57" s="230">
        <v>48055425</v>
      </c>
      <c r="CD57" s="230">
        <v>44550</v>
      </c>
      <c r="CE57" s="229">
        <v>8.9999999999999998E-4</v>
      </c>
      <c r="CF57" s="230">
        <v>3095400</v>
      </c>
      <c r="CG57" s="230">
        <v>2543475</v>
      </c>
      <c r="CH57" s="230">
        <v>551925</v>
      </c>
      <c r="CI57" s="229">
        <v>0.217</v>
      </c>
      <c r="CJ57" s="230">
        <v>457875</v>
      </c>
      <c r="CK57" s="230">
        <v>447150</v>
      </c>
      <c r="CL57" s="230">
        <v>10725</v>
      </c>
      <c r="CM57" s="229">
        <v>2.4E-2</v>
      </c>
      <c r="CN57" s="230">
        <v>22919325</v>
      </c>
      <c r="CO57" s="230">
        <v>22903650</v>
      </c>
      <c r="CP57" s="230">
        <v>15675</v>
      </c>
      <c r="CQ57" s="229">
        <v>6.9999999999999999E-4</v>
      </c>
      <c r="CR57" s="230">
        <v>15128025</v>
      </c>
      <c r="CS57" s="230">
        <v>14237850</v>
      </c>
      <c r="CT57" s="230">
        <v>890175</v>
      </c>
      <c r="CU57" s="229">
        <v>6.25E-2</v>
      </c>
      <c r="CV57" s="230">
        <v>89700600</v>
      </c>
      <c r="CW57" s="230">
        <v>88187550</v>
      </c>
      <c r="CX57" s="230">
        <v>1513050</v>
      </c>
      <c r="CY57" s="229">
        <v>1.72E-2</v>
      </c>
      <c r="CZ57" s="228">
        <v>24.56</v>
      </c>
      <c r="DA57" s="228">
        <v>24.27</v>
      </c>
      <c r="DB57" s="228">
        <v>0.28999999999999998</v>
      </c>
      <c r="DC57" s="228">
        <v>0.28999999999999998</v>
      </c>
      <c r="DD57" s="228">
        <v>34.97</v>
      </c>
      <c r="DE57" s="228">
        <v>35.049999999999997</v>
      </c>
      <c r="DF57" s="228">
        <v>-10.41</v>
      </c>
      <c r="DG57" s="228">
        <v>-0.08</v>
      </c>
      <c r="DH57" s="228">
        <v>24.56</v>
      </c>
      <c r="DI57" s="228">
        <v>24.67</v>
      </c>
      <c r="DJ57" s="228">
        <v>-0.11</v>
      </c>
      <c r="DK57" s="228">
        <v>-0.11</v>
      </c>
      <c r="DL57" s="228">
        <v>24.55</v>
      </c>
      <c r="DM57" s="228">
        <v>23.23</v>
      </c>
      <c r="DN57" s="228">
        <v>1.32</v>
      </c>
      <c r="DO57" s="228">
        <v>1.32</v>
      </c>
      <c r="DP57" s="228">
        <v>0.66</v>
      </c>
      <c r="DQ57" s="228">
        <v>0.62</v>
      </c>
      <c r="DR57" s="228">
        <v>0.04</v>
      </c>
      <c r="DS57" s="229">
        <v>6.4500000000000002E-2</v>
      </c>
      <c r="DT57" s="228">
        <v>730</v>
      </c>
      <c r="DU57" s="228">
        <v>700</v>
      </c>
      <c r="DV57" s="228">
        <v>0.73</v>
      </c>
      <c r="DW57" s="228">
        <v>0.39</v>
      </c>
      <c r="DX57" s="228">
        <v>0.34</v>
      </c>
      <c r="DY57" s="229">
        <v>0.87180000000000002</v>
      </c>
      <c r="DZ57" s="229">
        <v>6.88E-2</v>
      </c>
      <c r="EA57" s="230">
        <v>2990625</v>
      </c>
      <c r="EB57" s="229">
        <v>5.7000000000000002E-3</v>
      </c>
      <c r="EC57" s="229">
        <v>6.88E-2</v>
      </c>
      <c r="ED57" s="228">
        <v>4.2300000000000004</v>
      </c>
      <c r="EE57" s="229">
        <v>6.1999999999999998E-3</v>
      </c>
      <c r="EF57" s="230">
        <v>683950</v>
      </c>
      <c r="EG57" s="230">
        <v>864985</v>
      </c>
      <c r="EH57" s="229">
        <v>-0.20930000000000001</v>
      </c>
      <c r="EI57" s="229">
        <v>0.4163</v>
      </c>
      <c r="EJ57" s="231">
        <v>176671.35999999999</v>
      </c>
      <c r="EK57" s="231">
        <v>121961.84</v>
      </c>
      <c r="EL57" s="231">
        <v>50511.01</v>
      </c>
      <c r="EM57" s="231">
        <v>5112</v>
      </c>
      <c r="EN57" s="231">
        <v>349144.21</v>
      </c>
      <c r="EO57" s="231">
        <v>210258.86</v>
      </c>
      <c r="EP57" s="231">
        <v>138885.35</v>
      </c>
      <c r="EQ57" s="229">
        <v>0.66049999999999998</v>
      </c>
      <c r="ER57" s="231">
        <v>168013</v>
      </c>
      <c r="ES57" s="231">
        <v>106779</v>
      </c>
      <c r="ET57" s="231">
        <v>351395</v>
      </c>
      <c r="EU57" s="231">
        <v>83667734</v>
      </c>
      <c r="EV57" s="231">
        <v>626187</v>
      </c>
      <c r="EW57" s="231">
        <v>619004</v>
      </c>
      <c r="EX57" s="231">
        <v>7183</v>
      </c>
      <c r="EY57" s="229">
        <v>1.1599999999999999E-2</v>
      </c>
      <c r="EZ57" s="229">
        <v>1.0721000000000001</v>
      </c>
      <c r="FA57" s="227" t="s">
        <v>567</v>
      </c>
      <c r="FB57" s="161">
        <f t="shared" si="0"/>
        <v>3553275</v>
      </c>
    </row>
    <row r="58" spans="1:158" ht="17.25" hidden="1" thickBot="1" x14ac:dyDescent="0.3">
      <c r="A58" s="226">
        <v>46009</v>
      </c>
      <c r="B58" s="227" t="s">
        <v>615</v>
      </c>
      <c r="C58" s="227" t="s">
        <v>583</v>
      </c>
      <c r="D58" s="228">
        <v>150</v>
      </c>
      <c r="E58" s="231">
        <v>3769.6</v>
      </c>
      <c r="F58" s="231">
        <v>3825.1</v>
      </c>
      <c r="G58" s="228">
        <v>-55.5</v>
      </c>
      <c r="H58" s="229">
        <v>-1.4500000000000001E-2</v>
      </c>
      <c r="I58" s="231">
        <v>3757.2</v>
      </c>
      <c r="J58" s="231">
        <v>3826.2</v>
      </c>
      <c r="K58" s="228">
        <v>-69</v>
      </c>
      <c r="L58" s="229">
        <v>-1.7999999999999999E-2</v>
      </c>
      <c r="M58" s="231">
        <v>3769.6</v>
      </c>
      <c r="N58" s="231">
        <v>3825.1</v>
      </c>
      <c r="O58" s="228">
        <v>-55.5</v>
      </c>
      <c r="P58" s="229">
        <v>-1.4500000000000001E-2</v>
      </c>
      <c r="Q58" s="231">
        <v>3784.6</v>
      </c>
      <c r="R58" s="231">
        <v>3833.7</v>
      </c>
      <c r="S58" s="228">
        <v>-49.1</v>
      </c>
      <c r="T58" s="229">
        <v>-1.2800000000000001E-2</v>
      </c>
      <c r="U58" s="231">
        <v>3798.8</v>
      </c>
      <c r="V58" s="231">
        <v>3847.8</v>
      </c>
      <c r="W58" s="228">
        <v>-49</v>
      </c>
      <c r="X58" s="229">
        <v>-1.2699999999999999E-2</v>
      </c>
      <c r="Y58" s="228">
        <v>12.4</v>
      </c>
      <c r="Z58" s="228">
        <v>-1.1000000000000001</v>
      </c>
      <c r="AA58" s="228">
        <v>13.5</v>
      </c>
      <c r="AB58" s="229">
        <v>3.3E-3</v>
      </c>
      <c r="AC58" s="228">
        <v>12.4</v>
      </c>
      <c r="AD58" s="228">
        <v>-1.1000000000000001</v>
      </c>
      <c r="AE58" s="228">
        <v>13.5</v>
      </c>
      <c r="AF58" s="229">
        <v>3.3E-3</v>
      </c>
      <c r="AG58" s="228">
        <v>27.4</v>
      </c>
      <c r="AH58" s="228">
        <v>7.5</v>
      </c>
      <c r="AI58" s="228">
        <v>19.899999999999999</v>
      </c>
      <c r="AJ58" s="229">
        <v>7.3000000000000001E-3</v>
      </c>
      <c r="AK58" s="228">
        <v>41.6</v>
      </c>
      <c r="AL58" s="228">
        <v>21.6</v>
      </c>
      <c r="AM58" s="228">
        <v>20</v>
      </c>
      <c r="AN58" s="229">
        <v>1.11E-2</v>
      </c>
      <c r="AO58" s="231">
        <v>3777.75</v>
      </c>
      <c r="AP58" s="231">
        <v>3790.57</v>
      </c>
      <c r="AQ58" s="228">
        <v>0</v>
      </c>
      <c r="AR58" s="230">
        <v>510750</v>
      </c>
      <c r="AS58" s="230">
        <v>651750</v>
      </c>
      <c r="AT58" s="230">
        <v>-141000</v>
      </c>
      <c r="AU58" s="229">
        <v>-0.21629999999999999</v>
      </c>
      <c r="AV58" s="230">
        <v>364650</v>
      </c>
      <c r="AW58" s="230">
        <v>477600</v>
      </c>
      <c r="AX58" s="230">
        <v>-112950</v>
      </c>
      <c r="AY58" s="229">
        <v>-0.23649999999999999</v>
      </c>
      <c r="AZ58" s="230">
        <v>132300</v>
      </c>
      <c r="BA58" s="230">
        <v>164100</v>
      </c>
      <c r="BB58" s="230">
        <v>-31800</v>
      </c>
      <c r="BC58" s="229">
        <v>-0.1938</v>
      </c>
      <c r="BD58" s="230">
        <v>13800</v>
      </c>
      <c r="BE58" s="230">
        <v>10050</v>
      </c>
      <c r="BF58" s="230">
        <v>3750</v>
      </c>
      <c r="BG58" s="229">
        <v>0.37309999999999999</v>
      </c>
      <c r="BH58" s="230">
        <v>3322200</v>
      </c>
      <c r="BI58" s="230">
        <v>1898100</v>
      </c>
      <c r="BJ58" s="230">
        <v>1424100</v>
      </c>
      <c r="BK58" s="229">
        <v>0.75029999999999997</v>
      </c>
      <c r="BL58" s="230">
        <v>1324200</v>
      </c>
      <c r="BM58" s="230">
        <v>767850</v>
      </c>
      <c r="BN58" s="230">
        <v>556350</v>
      </c>
      <c r="BO58" s="229">
        <v>0.72460000000000002</v>
      </c>
      <c r="BP58" s="230">
        <v>5157150</v>
      </c>
      <c r="BQ58" s="230">
        <v>3317700</v>
      </c>
      <c r="BR58" s="230">
        <v>1839450</v>
      </c>
      <c r="BS58" s="229">
        <v>0.5544</v>
      </c>
      <c r="BT58" s="230">
        <v>333267</v>
      </c>
      <c r="BU58" s="230">
        <v>410186</v>
      </c>
      <c r="BV58" s="230">
        <v>-76919</v>
      </c>
      <c r="BW58" s="229">
        <v>-0.1875</v>
      </c>
      <c r="BX58" s="230">
        <v>5928900</v>
      </c>
      <c r="BY58" s="230">
        <v>5844600</v>
      </c>
      <c r="BZ58" s="230">
        <v>84300</v>
      </c>
      <c r="CA58" s="229">
        <v>1.44E-2</v>
      </c>
      <c r="CB58" s="230">
        <v>5427600</v>
      </c>
      <c r="CC58" s="230">
        <v>5401650</v>
      </c>
      <c r="CD58" s="230">
        <v>25950</v>
      </c>
      <c r="CE58" s="229">
        <v>4.7999999999999996E-3</v>
      </c>
      <c r="CF58" s="230">
        <v>453900</v>
      </c>
      <c r="CG58" s="230">
        <v>401400</v>
      </c>
      <c r="CH58" s="230">
        <v>52500</v>
      </c>
      <c r="CI58" s="229">
        <v>0.1308</v>
      </c>
      <c r="CJ58" s="230">
        <v>47400</v>
      </c>
      <c r="CK58" s="230">
        <v>41550</v>
      </c>
      <c r="CL58" s="230">
        <v>5850</v>
      </c>
      <c r="CM58" s="229">
        <v>0.14080000000000001</v>
      </c>
      <c r="CN58" s="230">
        <v>2772300</v>
      </c>
      <c r="CO58" s="230">
        <v>2432400</v>
      </c>
      <c r="CP58" s="230">
        <v>339900</v>
      </c>
      <c r="CQ58" s="229">
        <v>0.13969999999999999</v>
      </c>
      <c r="CR58" s="230">
        <v>1231800</v>
      </c>
      <c r="CS58" s="230">
        <v>1157850</v>
      </c>
      <c r="CT58" s="230">
        <v>73950</v>
      </c>
      <c r="CU58" s="229">
        <v>6.3899999999999998E-2</v>
      </c>
      <c r="CV58" s="230">
        <v>9933000</v>
      </c>
      <c r="CW58" s="230">
        <v>9434850</v>
      </c>
      <c r="CX58" s="230">
        <v>498150</v>
      </c>
      <c r="CY58" s="229">
        <v>5.28E-2</v>
      </c>
      <c r="CZ58" s="228">
        <v>22.85</v>
      </c>
      <c r="DA58" s="228">
        <v>22.57</v>
      </c>
      <c r="DB58" s="228">
        <v>0.28000000000000003</v>
      </c>
      <c r="DC58" s="228">
        <v>0.28000000000000003</v>
      </c>
      <c r="DD58" s="228">
        <v>30.75</v>
      </c>
      <c r="DE58" s="228">
        <v>30.73</v>
      </c>
      <c r="DF58" s="228">
        <v>-7.9</v>
      </c>
      <c r="DG58" s="228">
        <v>0.02</v>
      </c>
      <c r="DH58" s="228">
        <v>23.62</v>
      </c>
      <c r="DI58" s="228">
        <v>22.89</v>
      </c>
      <c r="DJ58" s="228">
        <v>0.73</v>
      </c>
      <c r="DK58" s="228">
        <v>0.73</v>
      </c>
      <c r="DL58" s="228">
        <v>20.93</v>
      </c>
      <c r="DM58" s="228">
        <v>21.76</v>
      </c>
      <c r="DN58" s="228">
        <v>-0.83</v>
      </c>
      <c r="DO58" s="228">
        <v>-0.83</v>
      </c>
      <c r="DP58" s="228">
        <v>0.44</v>
      </c>
      <c r="DQ58" s="228">
        <v>0.48</v>
      </c>
      <c r="DR58" s="228">
        <v>-0.04</v>
      </c>
      <c r="DS58" s="229">
        <v>-8.3299999999999999E-2</v>
      </c>
      <c r="DT58" s="231">
        <v>4000</v>
      </c>
      <c r="DU58" s="231">
        <v>3800</v>
      </c>
      <c r="DV58" s="228">
        <v>0.4</v>
      </c>
      <c r="DW58" s="228">
        <v>0.4</v>
      </c>
      <c r="DX58" s="228">
        <v>0</v>
      </c>
      <c r="DY58" s="229">
        <v>0</v>
      </c>
      <c r="DZ58" s="229">
        <v>8.4599999999999995E-2</v>
      </c>
      <c r="EA58" s="230">
        <v>442950</v>
      </c>
      <c r="EB58" s="229">
        <v>4.0000000000000001E-3</v>
      </c>
      <c r="EC58" s="229">
        <v>8.4599999999999995E-2</v>
      </c>
      <c r="ED58" s="228">
        <v>12.82</v>
      </c>
      <c r="EE58" s="229">
        <v>3.3999999999999998E-3</v>
      </c>
      <c r="EF58" s="230">
        <v>192201</v>
      </c>
      <c r="EG58" s="230">
        <v>274582</v>
      </c>
      <c r="EH58" s="229">
        <v>-0.3</v>
      </c>
      <c r="EI58" s="229">
        <v>0.57669999999999999</v>
      </c>
      <c r="EJ58" s="231">
        <v>132374.51999999999</v>
      </c>
      <c r="EK58" s="231">
        <v>49822.12</v>
      </c>
      <c r="EL58" s="231">
        <v>19315.439999999999</v>
      </c>
      <c r="EM58" s="231">
        <v>4265</v>
      </c>
      <c r="EN58" s="231">
        <v>201512.08</v>
      </c>
      <c r="EO58" s="231">
        <v>130236.45</v>
      </c>
      <c r="EP58" s="231">
        <v>71275.63</v>
      </c>
      <c r="EQ58" s="229">
        <v>0.54730000000000001</v>
      </c>
      <c r="ER58" s="231">
        <v>111979</v>
      </c>
      <c r="ES58" s="231">
        <v>46828</v>
      </c>
      <c r="ET58" s="231">
        <v>223578</v>
      </c>
      <c r="EU58" s="231">
        <v>22136392</v>
      </c>
      <c r="EV58" s="231">
        <v>382385</v>
      </c>
      <c r="EW58" s="231">
        <v>366697</v>
      </c>
      <c r="EX58" s="231">
        <v>15688</v>
      </c>
      <c r="EY58" s="229">
        <v>4.2799999999999998E-2</v>
      </c>
      <c r="EZ58" s="229">
        <v>0.44869999999999999</v>
      </c>
      <c r="FA58" s="227" t="s">
        <v>567</v>
      </c>
      <c r="FB58" s="161">
        <f t="shared" si="0"/>
        <v>501300</v>
      </c>
    </row>
    <row r="59" spans="1:158" ht="17.25" hidden="1" thickBot="1" x14ac:dyDescent="0.3">
      <c r="A59" s="226">
        <v>46009</v>
      </c>
      <c r="B59" s="227" t="s">
        <v>170</v>
      </c>
      <c r="C59" s="227" t="s">
        <v>208</v>
      </c>
      <c r="D59" s="228">
        <v>625</v>
      </c>
      <c r="E59" s="231">
        <v>1279.5999999999999</v>
      </c>
      <c r="F59" s="231">
        <v>1273.2</v>
      </c>
      <c r="G59" s="228">
        <v>6.4</v>
      </c>
      <c r="H59" s="229">
        <v>5.0000000000000001E-3</v>
      </c>
      <c r="I59" s="231">
        <v>1280</v>
      </c>
      <c r="J59" s="231">
        <v>1272</v>
      </c>
      <c r="K59" s="228">
        <v>8</v>
      </c>
      <c r="L59" s="229">
        <v>6.3E-3</v>
      </c>
      <c r="M59" s="231">
        <v>1279.5999999999999</v>
      </c>
      <c r="N59" s="231">
        <v>1273.2</v>
      </c>
      <c r="O59" s="228">
        <v>6.4</v>
      </c>
      <c r="P59" s="229">
        <v>5.0000000000000001E-3</v>
      </c>
      <c r="Q59" s="231">
        <v>1286.4000000000001</v>
      </c>
      <c r="R59" s="231">
        <v>1279.4000000000001</v>
      </c>
      <c r="S59" s="228">
        <v>7</v>
      </c>
      <c r="T59" s="229">
        <v>5.4999999999999997E-3</v>
      </c>
      <c r="U59" s="231">
        <v>1288.7</v>
      </c>
      <c r="V59" s="231">
        <v>1291</v>
      </c>
      <c r="W59" s="228">
        <v>-2.2999999999999998</v>
      </c>
      <c r="X59" s="229">
        <v>-1.8E-3</v>
      </c>
      <c r="Y59" s="228">
        <v>-0.4</v>
      </c>
      <c r="Z59" s="228">
        <v>1.2</v>
      </c>
      <c r="AA59" s="228">
        <v>-1.6</v>
      </c>
      <c r="AB59" s="229">
        <v>-2.9999999999999997E-4</v>
      </c>
      <c r="AC59" s="228">
        <v>-0.4</v>
      </c>
      <c r="AD59" s="228">
        <v>1.2</v>
      </c>
      <c r="AE59" s="228">
        <v>-1.6</v>
      </c>
      <c r="AF59" s="229">
        <v>-2.9999999999999997E-4</v>
      </c>
      <c r="AG59" s="228">
        <v>6.4</v>
      </c>
      <c r="AH59" s="228">
        <v>7.4</v>
      </c>
      <c r="AI59" s="228">
        <v>-1</v>
      </c>
      <c r="AJ59" s="229">
        <v>5.0000000000000001E-3</v>
      </c>
      <c r="AK59" s="228">
        <v>8.6999999999999993</v>
      </c>
      <c r="AL59" s="228">
        <v>19</v>
      </c>
      <c r="AM59" s="228">
        <v>-10.3</v>
      </c>
      <c r="AN59" s="229">
        <v>6.7999999999999996E-3</v>
      </c>
      <c r="AO59" s="231">
        <v>1275.28</v>
      </c>
      <c r="AP59" s="231">
        <v>1280.8599999999999</v>
      </c>
      <c r="AQ59" s="228">
        <v>0</v>
      </c>
      <c r="AR59" s="230">
        <v>1826875</v>
      </c>
      <c r="AS59" s="230">
        <v>1308125</v>
      </c>
      <c r="AT59" s="230">
        <v>518750</v>
      </c>
      <c r="AU59" s="229">
        <v>0.39660000000000001</v>
      </c>
      <c r="AV59" s="230">
        <v>1347500</v>
      </c>
      <c r="AW59" s="230">
        <v>1061875</v>
      </c>
      <c r="AX59" s="230">
        <v>285625</v>
      </c>
      <c r="AY59" s="229">
        <v>0.26900000000000002</v>
      </c>
      <c r="AZ59" s="230">
        <v>470000</v>
      </c>
      <c r="BA59" s="230">
        <v>243750</v>
      </c>
      <c r="BB59" s="230">
        <v>226250</v>
      </c>
      <c r="BC59" s="229">
        <v>0.92820000000000003</v>
      </c>
      <c r="BD59" s="230">
        <v>9375</v>
      </c>
      <c r="BE59" s="230">
        <v>2500</v>
      </c>
      <c r="BF59" s="230">
        <v>6875</v>
      </c>
      <c r="BG59" s="229">
        <v>2.75</v>
      </c>
      <c r="BH59" s="230">
        <v>3596875</v>
      </c>
      <c r="BI59" s="230">
        <v>3399375</v>
      </c>
      <c r="BJ59" s="230">
        <v>197500</v>
      </c>
      <c r="BK59" s="229">
        <v>5.8099999999999999E-2</v>
      </c>
      <c r="BL59" s="230">
        <v>1893750</v>
      </c>
      <c r="BM59" s="230">
        <v>1796875</v>
      </c>
      <c r="BN59" s="230">
        <v>96875</v>
      </c>
      <c r="BO59" s="229">
        <v>5.3900000000000003E-2</v>
      </c>
      <c r="BP59" s="230">
        <v>7317500</v>
      </c>
      <c r="BQ59" s="230">
        <v>6504375</v>
      </c>
      <c r="BR59" s="230">
        <v>813125</v>
      </c>
      <c r="BS59" s="229">
        <v>0.125</v>
      </c>
      <c r="BT59" s="230">
        <v>912456</v>
      </c>
      <c r="BU59" s="230">
        <v>916042</v>
      </c>
      <c r="BV59" s="230">
        <v>-3586</v>
      </c>
      <c r="BW59" s="229">
        <v>-3.8999999999999998E-3</v>
      </c>
      <c r="BX59" s="230">
        <v>13913750</v>
      </c>
      <c r="BY59" s="230">
        <v>13625000</v>
      </c>
      <c r="BZ59" s="230">
        <v>288750</v>
      </c>
      <c r="CA59" s="229">
        <v>2.12E-2</v>
      </c>
      <c r="CB59" s="230">
        <v>12521250</v>
      </c>
      <c r="CC59" s="230">
        <v>12516875</v>
      </c>
      <c r="CD59" s="230">
        <v>4375</v>
      </c>
      <c r="CE59" s="229">
        <v>2.9999999999999997E-4</v>
      </c>
      <c r="CF59" s="230">
        <v>1346875</v>
      </c>
      <c r="CG59" s="230">
        <v>1066250</v>
      </c>
      <c r="CH59" s="230">
        <v>280625</v>
      </c>
      <c r="CI59" s="229">
        <v>0.26319999999999999</v>
      </c>
      <c r="CJ59" s="230">
        <v>45625</v>
      </c>
      <c r="CK59" s="230">
        <v>41875</v>
      </c>
      <c r="CL59" s="230">
        <v>3750</v>
      </c>
      <c r="CM59" s="229">
        <v>8.9599999999999999E-2</v>
      </c>
      <c r="CN59" s="230">
        <v>6676875</v>
      </c>
      <c r="CO59" s="230">
        <v>6792500</v>
      </c>
      <c r="CP59" s="230">
        <v>-115625</v>
      </c>
      <c r="CQ59" s="229">
        <v>-1.7000000000000001E-2</v>
      </c>
      <c r="CR59" s="230">
        <v>3365625</v>
      </c>
      <c r="CS59" s="230">
        <v>3322500</v>
      </c>
      <c r="CT59" s="230">
        <v>43125</v>
      </c>
      <c r="CU59" s="229">
        <v>1.2999999999999999E-2</v>
      </c>
      <c r="CV59" s="230">
        <v>23956250</v>
      </c>
      <c r="CW59" s="230">
        <v>23740000</v>
      </c>
      <c r="CX59" s="230">
        <v>216250</v>
      </c>
      <c r="CY59" s="229">
        <v>9.1000000000000004E-3</v>
      </c>
      <c r="CZ59" s="228">
        <v>14.64</v>
      </c>
      <c r="DA59" s="228">
        <v>14.89</v>
      </c>
      <c r="DB59" s="228">
        <v>-0.25</v>
      </c>
      <c r="DC59" s="228">
        <v>-0.25</v>
      </c>
      <c r="DD59" s="228">
        <v>23.98</v>
      </c>
      <c r="DE59" s="228">
        <v>24.02</v>
      </c>
      <c r="DF59" s="228">
        <v>-9.34</v>
      </c>
      <c r="DG59" s="228">
        <v>-0.04</v>
      </c>
      <c r="DH59" s="228">
        <v>14</v>
      </c>
      <c r="DI59" s="228">
        <v>14.74</v>
      </c>
      <c r="DJ59" s="228">
        <v>-0.74</v>
      </c>
      <c r="DK59" s="228">
        <v>-0.74</v>
      </c>
      <c r="DL59" s="228">
        <v>15.84</v>
      </c>
      <c r="DM59" s="228">
        <v>15.17</v>
      </c>
      <c r="DN59" s="228">
        <v>0.67</v>
      </c>
      <c r="DO59" s="228">
        <v>0.67</v>
      </c>
      <c r="DP59" s="228">
        <v>0.5</v>
      </c>
      <c r="DQ59" s="228">
        <v>0.49</v>
      </c>
      <c r="DR59" s="228">
        <v>0.01</v>
      </c>
      <c r="DS59" s="229">
        <v>2.0400000000000001E-2</v>
      </c>
      <c r="DT59" s="231">
        <v>1300</v>
      </c>
      <c r="DU59" s="231">
        <v>1140</v>
      </c>
      <c r="DV59" s="228">
        <v>0.53</v>
      </c>
      <c r="DW59" s="228">
        <v>0.53</v>
      </c>
      <c r="DX59" s="228">
        <v>0</v>
      </c>
      <c r="DY59" s="229">
        <v>0</v>
      </c>
      <c r="DZ59" s="229">
        <v>0.10009999999999999</v>
      </c>
      <c r="EA59" s="230">
        <v>1108125</v>
      </c>
      <c r="EB59" s="229">
        <v>5.3E-3</v>
      </c>
      <c r="EC59" s="229">
        <v>0.10009999999999999</v>
      </c>
      <c r="ED59" s="228">
        <v>5.58</v>
      </c>
      <c r="EE59" s="229">
        <v>4.4000000000000003E-3</v>
      </c>
      <c r="EF59" s="230">
        <v>537664</v>
      </c>
      <c r="EG59" s="230">
        <v>533813</v>
      </c>
      <c r="EH59" s="229">
        <v>7.1999999999999998E-3</v>
      </c>
      <c r="EI59" s="229">
        <v>0.58919999999999995</v>
      </c>
      <c r="EJ59" s="231">
        <v>46721</v>
      </c>
      <c r="EK59" s="231">
        <v>23953.72</v>
      </c>
      <c r="EL59" s="231">
        <v>23324.83</v>
      </c>
      <c r="EM59" s="231">
        <v>2205</v>
      </c>
      <c r="EN59" s="231">
        <v>93999.55</v>
      </c>
      <c r="EO59" s="231">
        <v>83716.350000000006</v>
      </c>
      <c r="EP59" s="231">
        <v>10283.200000000001</v>
      </c>
      <c r="EQ59" s="229">
        <v>0.12280000000000001</v>
      </c>
      <c r="ER59" s="231">
        <v>87474</v>
      </c>
      <c r="ES59" s="231">
        <v>40760</v>
      </c>
      <c r="ET59" s="231">
        <v>178136</v>
      </c>
      <c r="EU59" s="231">
        <v>61006521</v>
      </c>
      <c r="EV59" s="231">
        <v>306370</v>
      </c>
      <c r="EW59" s="231">
        <v>302710</v>
      </c>
      <c r="EX59" s="231">
        <v>3660</v>
      </c>
      <c r="EY59" s="229">
        <v>1.21E-2</v>
      </c>
      <c r="EZ59" s="229">
        <v>0.39269999999999999</v>
      </c>
      <c r="FA59" s="227" t="s">
        <v>555</v>
      </c>
      <c r="FB59" s="161">
        <f t="shared" si="0"/>
        <v>1392500</v>
      </c>
    </row>
    <row r="60" spans="1:158" ht="17.25" hidden="1" thickBot="1" x14ac:dyDescent="0.3">
      <c r="A60" s="226">
        <v>46009</v>
      </c>
      <c r="B60" s="227" t="s">
        <v>162</v>
      </c>
      <c r="C60" s="227" t="s">
        <v>209</v>
      </c>
      <c r="D60" s="228">
        <v>175</v>
      </c>
      <c r="E60" s="231">
        <v>7113.5</v>
      </c>
      <c r="F60" s="231">
        <v>7144</v>
      </c>
      <c r="G60" s="228">
        <v>-30.5</v>
      </c>
      <c r="H60" s="229">
        <v>-4.3E-3</v>
      </c>
      <c r="I60" s="231">
        <v>7106.5</v>
      </c>
      <c r="J60" s="231">
        <v>7134.5</v>
      </c>
      <c r="K60" s="228">
        <v>-28</v>
      </c>
      <c r="L60" s="229">
        <v>-3.8999999999999998E-3</v>
      </c>
      <c r="M60" s="231">
        <v>7113.5</v>
      </c>
      <c r="N60" s="231">
        <v>7144</v>
      </c>
      <c r="O60" s="228">
        <v>-30.5</v>
      </c>
      <c r="P60" s="229">
        <v>-4.3E-3</v>
      </c>
      <c r="Q60" s="231">
        <v>7163</v>
      </c>
      <c r="R60" s="231">
        <v>7192</v>
      </c>
      <c r="S60" s="228">
        <v>-29</v>
      </c>
      <c r="T60" s="229">
        <v>-4.0000000000000001E-3</v>
      </c>
      <c r="U60" s="231">
        <v>7214</v>
      </c>
      <c r="V60" s="231">
        <v>7238</v>
      </c>
      <c r="W60" s="228">
        <v>-24</v>
      </c>
      <c r="X60" s="229">
        <v>-3.3E-3</v>
      </c>
      <c r="Y60" s="228">
        <v>7</v>
      </c>
      <c r="Z60" s="228">
        <v>9.5</v>
      </c>
      <c r="AA60" s="228">
        <v>-2.5</v>
      </c>
      <c r="AB60" s="229">
        <v>1E-3</v>
      </c>
      <c r="AC60" s="228">
        <v>7</v>
      </c>
      <c r="AD60" s="228">
        <v>9.5</v>
      </c>
      <c r="AE60" s="228">
        <v>-2.5</v>
      </c>
      <c r="AF60" s="229">
        <v>1E-3</v>
      </c>
      <c r="AG60" s="228">
        <v>56.5</v>
      </c>
      <c r="AH60" s="228">
        <v>57.5</v>
      </c>
      <c r="AI60" s="228">
        <v>-1</v>
      </c>
      <c r="AJ60" s="229">
        <v>8.0000000000000002E-3</v>
      </c>
      <c r="AK60" s="228">
        <v>107.5</v>
      </c>
      <c r="AL60" s="228">
        <v>103.5</v>
      </c>
      <c r="AM60" s="228">
        <v>4</v>
      </c>
      <c r="AN60" s="229">
        <v>1.5100000000000001E-2</v>
      </c>
      <c r="AO60" s="231">
        <v>7085.62</v>
      </c>
      <c r="AP60" s="231">
        <v>7136.4</v>
      </c>
      <c r="AQ60" s="228">
        <v>0</v>
      </c>
      <c r="AR60" s="230">
        <v>683375</v>
      </c>
      <c r="AS60" s="230">
        <v>1008875</v>
      </c>
      <c r="AT60" s="230">
        <v>-325500</v>
      </c>
      <c r="AU60" s="229">
        <v>-0.3226</v>
      </c>
      <c r="AV60" s="230">
        <v>449575</v>
      </c>
      <c r="AW60" s="230">
        <v>779625</v>
      </c>
      <c r="AX60" s="230">
        <v>-330050</v>
      </c>
      <c r="AY60" s="229">
        <v>-0.42330000000000001</v>
      </c>
      <c r="AZ60" s="230">
        <v>228200</v>
      </c>
      <c r="BA60" s="230">
        <v>222775</v>
      </c>
      <c r="BB60" s="230">
        <v>5425</v>
      </c>
      <c r="BC60" s="229">
        <v>2.4400000000000002E-2</v>
      </c>
      <c r="BD60" s="230">
        <v>5600</v>
      </c>
      <c r="BE60" s="230">
        <v>6475</v>
      </c>
      <c r="BF60" s="228">
        <v>-875</v>
      </c>
      <c r="BG60" s="229">
        <v>-0.1351</v>
      </c>
      <c r="BH60" s="230">
        <v>4041100</v>
      </c>
      <c r="BI60" s="230">
        <v>4751075</v>
      </c>
      <c r="BJ60" s="230">
        <v>-709975</v>
      </c>
      <c r="BK60" s="229">
        <v>-0.14940000000000001</v>
      </c>
      <c r="BL60" s="230">
        <v>3154725</v>
      </c>
      <c r="BM60" s="230">
        <v>2514225</v>
      </c>
      <c r="BN60" s="230">
        <v>640500</v>
      </c>
      <c r="BO60" s="229">
        <v>0.25480000000000003</v>
      </c>
      <c r="BP60" s="230">
        <v>7879200</v>
      </c>
      <c r="BQ60" s="230">
        <v>8274175</v>
      </c>
      <c r="BR60" s="230">
        <v>-394975</v>
      </c>
      <c r="BS60" s="229">
        <v>-4.7699999999999999E-2</v>
      </c>
      <c r="BT60" s="230">
        <v>337716</v>
      </c>
      <c r="BU60" s="230">
        <v>910440</v>
      </c>
      <c r="BV60" s="230">
        <v>-572724</v>
      </c>
      <c r="BW60" s="229">
        <v>-0.62909999999999999</v>
      </c>
      <c r="BX60" s="230">
        <v>3194100</v>
      </c>
      <c r="BY60" s="230">
        <v>3183225</v>
      </c>
      <c r="BZ60" s="230">
        <v>10875</v>
      </c>
      <c r="CA60" s="229">
        <v>3.3999999999999998E-3</v>
      </c>
      <c r="CB60" s="230">
        <v>2855300</v>
      </c>
      <c r="CC60" s="230">
        <v>2906925</v>
      </c>
      <c r="CD60" s="230">
        <v>-51625</v>
      </c>
      <c r="CE60" s="229">
        <v>-1.78E-2</v>
      </c>
      <c r="CF60" s="230">
        <v>319400</v>
      </c>
      <c r="CG60" s="230">
        <v>257900</v>
      </c>
      <c r="CH60" s="230">
        <v>61500</v>
      </c>
      <c r="CI60" s="229">
        <v>0.23849999999999999</v>
      </c>
      <c r="CJ60" s="230">
        <v>19400</v>
      </c>
      <c r="CK60" s="230">
        <v>18400</v>
      </c>
      <c r="CL60" s="230">
        <v>1000</v>
      </c>
      <c r="CM60" s="229">
        <v>5.4300000000000001E-2</v>
      </c>
      <c r="CN60" s="230">
        <v>2687400</v>
      </c>
      <c r="CO60" s="230">
        <v>2747750</v>
      </c>
      <c r="CP60" s="230">
        <v>-60350</v>
      </c>
      <c r="CQ60" s="229">
        <v>-2.1999999999999999E-2</v>
      </c>
      <c r="CR60" s="230">
        <v>1935500</v>
      </c>
      <c r="CS60" s="230">
        <v>2040575</v>
      </c>
      <c r="CT60" s="230">
        <v>-105075</v>
      </c>
      <c r="CU60" s="229">
        <v>-5.1499999999999997E-2</v>
      </c>
      <c r="CV60" s="230">
        <v>7817000</v>
      </c>
      <c r="CW60" s="230">
        <v>7971550</v>
      </c>
      <c r="CX60" s="230">
        <v>-154550</v>
      </c>
      <c r="CY60" s="229">
        <v>-1.9400000000000001E-2</v>
      </c>
      <c r="CZ60" s="228">
        <v>19.760000000000002</v>
      </c>
      <c r="DA60" s="228">
        <v>20.09</v>
      </c>
      <c r="DB60" s="228">
        <v>-0.33</v>
      </c>
      <c r="DC60" s="228">
        <v>-0.33</v>
      </c>
      <c r="DD60" s="228">
        <v>27.08</v>
      </c>
      <c r="DE60" s="228">
        <v>27.15</v>
      </c>
      <c r="DF60" s="228">
        <v>-7.32</v>
      </c>
      <c r="DG60" s="228">
        <v>-7.0000000000000007E-2</v>
      </c>
      <c r="DH60" s="228">
        <v>19.79</v>
      </c>
      <c r="DI60" s="228">
        <v>20.12</v>
      </c>
      <c r="DJ60" s="228">
        <v>-0.33</v>
      </c>
      <c r="DK60" s="228">
        <v>-0.33</v>
      </c>
      <c r="DL60" s="228">
        <v>19.72</v>
      </c>
      <c r="DM60" s="228">
        <v>20.05</v>
      </c>
      <c r="DN60" s="228">
        <v>-0.33</v>
      </c>
      <c r="DO60" s="228">
        <v>-0.33</v>
      </c>
      <c r="DP60" s="228">
        <v>0.72</v>
      </c>
      <c r="DQ60" s="228">
        <v>0.74</v>
      </c>
      <c r="DR60" s="228">
        <v>-0.02</v>
      </c>
      <c r="DS60" s="229">
        <v>-2.7E-2</v>
      </c>
      <c r="DT60" s="231">
        <v>7300</v>
      </c>
      <c r="DU60" s="231">
        <v>6300</v>
      </c>
      <c r="DV60" s="228">
        <v>0.78</v>
      </c>
      <c r="DW60" s="228">
        <v>0.53</v>
      </c>
      <c r="DX60" s="228">
        <v>0.25</v>
      </c>
      <c r="DY60" s="229">
        <v>0.47170000000000001</v>
      </c>
      <c r="DZ60" s="229">
        <v>0.1061</v>
      </c>
      <c r="EA60" s="230">
        <v>276300</v>
      </c>
      <c r="EB60" s="229">
        <v>7.0000000000000001E-3</v>
      </c>
      <c r="EC60" s="229">
        <v>0.1061</v>
      </c>
      <c r="ED60" s="228">
        <v>50.78</v>
      </c>
      <c r="EE60" s="229">
        <v>7.1999999999999998E-3</v>
      </c>
      <c r="EF60" s="230">
        <v>195893</v>
      </c>
      <c r="EG60" s="230">
        <v>676193</v>
      </c>
      <c r="EH60" s="229">
        <v>-0.71030000000000004</v>
      </c>
      <c r="EI60" s="229">
        <v>0.58009999999999995</v>
      </c>
      <c r="EJ60" s="231">
        <v>294258.58</v>
      </c>
      <c r="EK60" s="231">
        <v>218560.33</v>
      </c>
      <c r="EL60" s="231">
        <v>41390.76</v>
      </c>
      <c r="EM60" s="231">
        <v>4131</v>
      </c>
      <c r="EN60" s="231">
        <v>554209.67000000004</v>
      </c>
      <c r="EO60" s="231">
        <v>590300.16000000003</v>
      </c>
      <c r="EP60" s="231">
        <v>-36090.49</v>
      </c>
      <c r="EQ60" s="229">
        <v>-6.1100000000000002E-2</v>
      </c>
      <c r="ER60" s="231">
        <v>199848</v>
      </c>
      <c r="ES60" s="231">
        <v>130810</v>
      </c>
      <c r="ET60" s="231">
        <v>227390</v>
      </c>
      <c r="EU60" s="231">
        <v>20353850</v>
      </c>
      <c r="EV60" s="231">
        <v>558048</v>
      </c>
      <c r="EW60" s="231">
        <v>570302</v>
      </c>
      <c r="EX60" s="231">
        <v>-12254</v>
      </c>
      <c r="EY60" s="229">
        <v>-2.1499999999999998E-2</v>
      </c>
      <c r="EZ60" s="229">
        <v>0.3841</v>
      </c>
      <c r="FA60" s="227" t="s">
        <v>567</v>
      </c>
      <c r="FB60" s="161">
        <f t="shared" si="0"/>
        <v>338800</v>
      </c>
    </row>
    <row r="61" spans="1:158" ht="17.25" hidden="1" thickBot="1" x14ac:dyDescent="0.3">
      <c r="A61" s="226">
        <v>46009</v>
      </c>
      <c r="B61" s="227" t="s">
        <v>615</v>
      </c>
      <c r="C61" s="227" t="s">
        <v>668</v>
      </c>
      <c r="D61" s="228">
        <v>2425</v>
      </c>
      <c r="E61" s="228">
        <v>285.5</v>
      </c>
      <c r="F61" s="228">
        <v>285</v>
      </c>
      <c r="G61" s="228">
        <v>0.5</v>
      </c>
      <c r="H61" s="229">
        <v>1.8E-3</v>
      </c>
      <c r="I61" s="228">
        <v>284.75</v>
      </c>
      <c r="J61" s="228">
        <v>284.45</v>
      </c>
      <c r="K61" s="228">
        <v>0.3</v>
      </c>
      <c r="L61" s="229">
        <v>1.1000000000000001E-3</v>
      </c>
      <c r="M61" s="228">
        <v>285.5</v>
      </c>
      <c r="N61" s="228">
        <v>285</v>
      </c>
      <c r="O61" s="228">
        <v>0.5</v>
      </c>
      <c r="P61" s="229">
        <v>1.8E-3</v>
      </c>
      <c r="Q61" s="228">
        <v>287.35000000000002</v>
      </c>
      <c r="R61" s="228">
        <v>286.95</v>
      </c>
      <c r="S61" s="228">
        <v>0.4</v>
      </c>
      <c r="T61" s="229">
        <v>1.4E-3</v>
      </c>
      <c r="U61" s="228">
        <v>289</v>
      </c>
      <c r="V61" s="228">
        <v>288.5</v>
      </c>
      <c r="W61" s="228">
        <v>0.5</v>
      </c>
      <c r="X61" s="229">
        <v>1.6999999999999999E-3</v>
      </c>
      <c r="Y61" s="228">
        <v>0.75</v>
      </c>
      <c r="Z61" s="228">
        <v>0.55000000000000004</v>
      </c>
      <c r="AA61" s="228">
        <v>0.2</v>
      </c>
      <c r="AB61" s="229">
        <v>2.5999999999999999E-3</v>
      </c>
      <c r="AC61" s="228">
        <v>0.75</v>
      </c>
      <c r="AD61" s="228">
        <v>0.55000000000000004</v>
      </c>
      <c r="AE61" s="228">
        <v>0.2</v>
      </c>
      <c r="AF61" s="229">
        <v>2.5999999999999999E-3</v>
      </c>
      <c r="AG61" s="228">
        <v>2.6</v>
      </c>
      <c r="AH61" s="228">
        <v>2.5</v>
      </c>
      <c r="AI61" s="228">
        <v>0.1</v>
      </c>
      <c r="AJ61" s="229">
        <v>9.1000000000000004E-3</v>
      </c>
      <c r="AK61" s="228">
        <v>4.25</v>
      </c>
      <c r="AL61" s="228">
        <v>4.05</v>
      </c>
      <c r="AM61" s="228">
        <v>0.2</v>
      </c>
      <c r="AN61" s="229">
        <v>1.49E-2</v>
      </c>
      <c r="AO61" s="228">
        <v>284.82</v>
      </c>
      <c r="AP61" s="228">
        <v>286.72000000000003</v>
      </c>
      <c r="AQ61" s="228">
        <v>0</v>
      </c>
      <c r="AR61" s="230">
        <v>23035075</v>
      </c>
      <c r="AS61" s="230">
        <v>26381575</v>
      </c>
      <c r="AT61" s="230">
        <v>-3346500</v>
      </c>
      <c r="AU61" s="229">
        <v>-0.1268</v>
      </c>
      <c r="AV61" s="230">
        <v>16487575</v>
      </c>
      <c r="AW61" s="230">
        <v>22021425</v>
      </c>
      <c r="AX61" s="230">
        <v>-5533850</v>
      </c>
      <c r="AY61" s="229">
        <v>-0.25130000000000002</v>
      </c>
      <c r="AZ61" s="230">
        <v>6198300</v>
      </c>
      <c r="BA61" s="230">
        <v>4120075</v>
      </c>
      <c r="BB61" s="230">
        <v>2078225</v>
      </c>
      <c r="BC61" s="229">
        <v>0.50439999999999996</v>
      </c>
      <c r="BD61" s="230">
        <v>349200</v>
      </c>
      <c r="BE61" s="230">
        <v>240075</v>
      </c>
      <c r="BF61" s="230">
        <v>109125</v>
      </c>
      <c r="BG61" s="229">
        <v>0.45450000000000002</v>
      </c>
      <c r="BH61" s="230">
        <v>69524750</v>
      </c>
      <c r="BI61" s="230">
        <v>102351975</v>
      </c>
      <c r="BJ61" s="230">
        <v>-32827225</v>
      </c>
      <c r="BK61" s="229">
        <v>-0.32069999999999999</v>
      </c>
      <c r="BL61" s="230">
        <v>38380475</v>
      </c>
      <c r="BM61" s="230">
        <v>61131825</v>
      </c>
      <c r="BN61" s="230">
        <v>-22751350</v>
      </c>
      <c r="BO61" s="229">
        <v>-0.37219999999999998</v>
      </c>
      <c r="BP61" s="230">
        <v>130940300</v>
      </c>
      <c r="BQ61" s="230">
        <v>189865375</v>
      </c>
      <c r="BR61" s="230">
        <v>-58925075</v>
      </c>
      <c r="BS61" s="229">
        <v>-0.31040000000000001</v>
      </c>
      <c r="BT61" s="230">
        <v>15323561</v>
      </c>
      <c r="BU61" s="230">
        <v>28795494</v>
      </c>
      <c r="BV61" s="230">
        <v>-13471933</v>
      </c>
      <c r="BW61" s="229">
        <v>-0.46779999999999999</v>
      </c>
      <c r="BX61" s="230">
        <v>307587000</v>
      </c>
      <c r="BY61" s="230">
        <v>305237175</v>
      </c>
      <c r="BZ61" s="230">
        <v>2349825</v>
      </c>
      <c r="CA61" s="229">
        <v>7.7000000000000002E-3</v>
      </c>
      <c r="CB61" s="230">
        <v>284243950</v>
      </c>
      <c r="CC61" s="230">
        <v>286647125</v>
      </c>
      <c r="CD61" s="230">
        <v>-2403175</v>
      </c>
      <c r="CE61" s="229">
        <v>-8.3999999999999995E-3</v>
      </c>
      <c r="CF61" s="230">
        <v>21502475</v>
      </c>
      <c r="CG61" s="230">
        <v>16858600</v>
      </c>
      <c r="CH61" s="230">
        <v>4643875</v>
      </c>
      <c r="CI61" s="229">
        <v>0.27550000000000002</v>
      </c>
      <c r="CJ61" s="230">
        <v>1840575</v>
      </c>
      <c r="CK61" s="230">
        <v>1731450</v>
      </c>
      <c r="CL61" s="230">
        <v>109125</v>
      </c>
      <c r="CM61" s="229">
        <v>6.3E-2</v>
      </c>
      <c r="CN61" s="230">
        <v>95598350</v>
      </c>
      <c r="CO61" s="230">
        <v>97048500</v>
      </c>
      <c r="CP61" s="230">
        <v>-1450150</v>
      </c>
      <c r="CQ61" s="229">
        <v>-1.49E-2</v>
      </c>
      <c r="CR61" s="230">
        <v>50864375</v>
      </c>
      <c r="CS61" s="230">
        <v>51509425</v>
      </c>
      <c r="CT61" s="230">
        <v>-645050</v>
      </c>
      <c r="CU61" s="229">
        <v>-1.2500000000000001E-2</v>
      </c>
      <c r="CV61" s="230">
        <v>454049725</v>
      </c>
      <c r="CW61" s="230">
        <v>453795100</v>
      </c>
      <c r="CX61" s="230">
        <v>254625</v>
      </c>
      <c r="CY61" s="229">
        <v>5.9999999999999995E-4</v>
      </c>
      <c r="CZ61" s="228">
        <v>28.12</v>
      </c>
      <c r="DA61" s="228">
        <v>29.47</v>
      </c>
      <c r="DB61" s="228">
        <v>-1.35</v>
      </c>
      <c r="DC61" s="228">
        <v>-1.35</v>
      </c>
      <c r="DD61" s="228">
        <v>43.83</v>
      </c>
      <c r="DE61" s="228">
        <v>43.94</v>
      </c>
      <c r="DF61" s="228">
        <v>-15.71</v>
      </c>
      <c r="DG61" s="228">
        <v>-0.11</v>
      </c>
      <c r="DH61" s="228">
        <v>28.38</v>
      </c>
      <c r="DI61" s="228">
        <v>30.08</v>
      </c>
      <c r="DJ61" s="228">
        <v>-1.7</v>
      </c>
      <c r="DK61" s="228">
        <v>-1.7</v>
      </c>
      <c r="DL61" s="228">
        <v>27.67</v>
      </c>
      <c r="DM61" s="228">
        <v>28.43</v>
      </c>
      <c r="DN61" s="228">
        <v>-0.76</v>
      </c>
      <c r="DO61" s="228">
        <v>-0.76</v>
      </c>
      <c r="DP61" s="228">
        <v>0.53</v>
      </c>
      <c r="DQ61" s="228">
        <v>0.53</v>
      </c>
      <c r="DR61" s="228">
        <v>0</v>
      </c>
      <c r="DS61" s="229">
        <v>0</v>
      </c>
      <c r="DT61" s="228">
        <v>310</v>
      </c>
      <c r="DU61" s="228">
        <v>285</v>
      </c>
      <c r="DV61" s="228">
        <v>0.55000000000000004</v>
      </c>
      <c r="DW61" s="228">
        <v>0.6</v>
      </c>
      <c r="DX61" s="228">
        <v>-0.05</v>
      </c>
      <c r="DY61" s="229">
        <v>-8.3299999999999999E-2</v>
      </c>
      <c r="DZ61" s="229">
        <v>7.5899999999999995E-2</v>
      </c>
      <c r="EA61" s="230">
        <v>18590050</v>
      </c>
      <c r="EB61" s="229">
        <v>6.4999999999999997E-3</v>
      </c>
      <c r="EC61" s="229">
        <v>7.5899999999999995E-2</v>
      </c>
      <c r="ED61" s="228">
        <v>1.9</v>
      </c>
      <c r="EE61" s="229">
        <v>6.7000000000000002E-3</v>
      </c>
      <c r="EF61" s="230">
        <v>8524949</v>
      </c>
      <c r="EG61" s="230">
        <v>17217413</v>
      </c>
      <c r="EH61" s="229">
        <v>-0.50490000000000002</v>
      </c>
      <c r="EI61" s="229">
        <v>0.55630000000000002</v>
      </c>
      <c r="EJ61" s="231">
        <v>209326.4</v>
      </c>
      <c r="EK61" s="231">
        <v>107451.53</v>
      </c>
      <c r="EL61" s="231">
        <v>65738.33</v>
      </c>
      <c r="EM61" s="231">
        <v>12954</v>
      </c>
      <c r="EN61" s="231">
        <v>382516.26</v>
      </c>
      <c r="EO61" s="231">
        <v>557562.92000000004</v>
      </c>
      <c r="EP61" s="231">
        <v>-175046.66</v>
      </c>
      <c r="EQ61" s="229">
        <v>-0.31390000000000001</v>
      </c>
      <c r="ER61" s="231">
        <v>294779</v>
      </c>
      <c r="ES61" s="231">
        <v>146162</v>
      </c>
      <c r="ET61" s="231">
        <v>878623</v>
      </c>
      <c r="EU61" s="231">
        <v>1361988292</v>
      </c>
      <c r="EV61" s="231">
        <v>1319564</v>
      </c>
      <c r="EW61" s="231">
        <v>1317866</v>
      </c>
      <c r="EX61" s="231">
        <v>1698</v>
      </c>
      <c r="EY61" s="229">
        <v>1.2999999999999999E-3</v>
      </c>
      <c r="EZ61" s="229">
        <v>0.33339999999999997</v>
      </c>
      <c r="FA61" s="227" t="s">
        <v>555</v>
      </c>
      <c r="FB61" s="161">
        <f t="shared" si="0"/>
        <v>23343050</v>
      </c>
    </row>
    <row r="62" spans="1:158" ht="17.25" hidden="1" thickBot="1" x14ac:dyDescent="0.3">
      <c r="A62" s="226">
        <v>46009</v>
      </c>
      <c r="B62" s="227" t="s">
        <v>162</v>
      </c>
      <c r="C62" s="227" t="s">
        <v>211</v>
      </c>
      <c r="D62" s="228">
        <v>1800</v>
      </c>
      <c r="E62" s="228">
        <v>359.5</v>
      </c>
      <c r="F62" s="228">
        <v>364.1</v>
      </c>
      <c r="G62" s="228">
        <v>-4.5999999999999996</v>
      </c>
      <c r="H62" s="229">
        <v>-1.26E-2</v>
      </c>
      <c r="I62" s="228">
        <v>359.05</v>
      </c>
      <c r="J62" s="228">
        <v>363.8</v>
      </c>
      <c r="K62" s="228">
        <v>-4.75</v>
      </c>
      <c r="L62" s="229">
        <v>-1.3100000000000001E-2</v>
      </c>
      <c r="M62" s="228">
        <v>359.5</v>
      </c>
      <c r="N62" s="228">
        <v>364.1</v>
      </c>
      <c r="O62" s="228">
        <v>-4.5999999999999996</v>
      </c>
      <c r="P62" s="229">
        <v>-1.26E-2</v>
      </c>
      <c r="Q62" s="228">
        <v>361.7</v>
      </c>
      <c r="R62" s="228">
        <v>366.25</v>
      </c>
      <c r="S62" s="228">
        <v>-4.55</v>
      </c>
      <c r="T62" s="229">
        <v>-1.24E-2</v>
      </c>
      <c r="U62" s="228">
        <v>364.35</v>
      </c>
      <c r="V62" s="228">
        <v>368.75</v>
      </c>
      <c r="W62" s="228">
        <v>-4.4000000000000004</v>
      </c>
      <c r="X62" s="229">
        <v>-1.1900000000000001E-2</v>
      </c>
      <c r="Y62" s="228">
        <v>0.45</v>
      </c>
      <c r="Z62" s="228">
        <v>0.3</v>
      </c>
      <c r="AA62" s="228">
        <v>0.15</v>
      </c>
      <c r="AB62" s="229">
        <v>1.2999999999999999E-3</v>
      </c>
      <c r="AC62" s="228">
        <v>0.45</v>
      </c>
      <c r="AD62" s="228">
        <v>0.3</v>
      </c>
      <c r="AE62" s="228">
        <v>0.15</v>
      </c>
      <c r="AF62" s="229">
        <v>1.2999999999999999E-3</v>
      </c>
      <c r="AG62" s="228">
        <v>2.65</v>
      </c>
      <c r="AH62" s="228">
        <v>2.4500000000000002</v>
      </c>
      <c r="AI62" s="228">
        <v>0.2</v>
      </c>
      <c r="AJ62" s="229">
        <v>7.4000000000000003E-3</v>
      </c>
      <c r="AK62" s="228">
        <v>5.3</v>
      </c>
      <c r="AL62" s="228">
        <v>4.95</v>
      </c>
      <c r="AM62" s="228">
        <v>0.35</v>
      </c>
      <c r="AN62" s="229">
        <v>1.4800000000000001E-2</v>
      </c>
      <c r="AO62" s="228">
        <v>360.09</v>
      </c>
      <c r="AP62" s="228">
        <v>362.36</v>
      </c>
      <c r="AQ62" s="228">
        <v>0</v>
      </c>
      <c r="AR62" s="230">
        <v>3704400</v>
      </c>
      <c r="AS62" s="230">
        <v>2070000</v>
      </c>
      <c r="AT62" s="230">
        <v>1634400</v>
      </c>
      <c r="AU62" s="229">
        <v>0.78959999999999997</v>
      </c>
      <c r="AV62" s="230">
        <v>2793600</v>
      </c>
      <c r="AW62" s="230">
        <v>1629000</v>
      </c>
      <c r="AX62" s="230">
        <v>1164600</v>
      </c>
      <c r="AY62" s="229">
        <v>0.71489999999999998</v>
      </c>
      <c r="AZ62" s="230">
        <v>858600</v>
      </c>
      <c r="BA62" s="230">
        <v>410400</v>
      </c>
      <c r="BB62" s="230">
        <v>448200</v>
      </c>
      <c r="BC62" s="229">
        <v>1.0921000000000001</v>
      </c>
      <c r="BD62" s="230">
        <v>52200</v>
      </c>
      <c r="BE62" s="230">
        <v>30600</v>
      </c>
      <c r="BF62" s="230">
        <v>21600</v>
      </c>
      <c r="BG62" s="229">
        <v>0.70589999999999997</v>
      </c>
      <c r="BH62" s="230">
        <v>12623400</v>
      </c>
      <c r="BI62" s="230">
        <v>10245600</v>
      </c>
      <c r="BJ62" s="230">
        <v>2377800</v>
      </c>
      <c r="BK62" s="229">
        <v>0.2321</v>
      </c>
      <c r="BL62" s="230">
        <v>5963400</v>
      </c>
      <c r="BM62" s="230">
        <v>4233600</v>
      </c>
      <c r="BN62" s="230">
        <v>1729800</v>
      </c>
      <c r="BO62" s="229">
        <v>0.40860000000000002</v>
      </c>
      <c r="BP62" s="230">
        <v>22291200</v>
      </c>
      <c r="BQ62" s="230">
        <v>16549200</v>
      </c>
      <c r="BR62" s="230">
        <v>5742000</v>
      </c>
      <c r="BS62" s="229">
        <v>0.34699999999999998</v>
      </c>
      <c r="BT62" s="230">
        <v>1107291</v>
      </c>
      <c r="BU62" s="230">
        <v>990424</v>
      </c>
      <c r="BV62" s="230">
        <v>116867</v>
      </c>
      <c r="BW62" s="229">
        <v>0.11799999999999999</v>
      </c>
      <c r="BX62" s="230">
        <v>31550400</v>
      </c>
      <c r="BY62" s="230">
        <v>31055400</v>
      </c>
      <c r="BZ62" s="230">
        <v>495000</v>
      </c>
      <c r="CA62" s="229">
        <v>1.5900000000000001E-2</v>
      </c>
      <c r="CB62" s="230">
        <v>28913400</v>
      </c>
      <c r="CC62" s="230">
        <v>28863000</v>
      </c>
      <c r="CD62" s="230">
        <v>50400</v>
      </c>
      <c r="CE62" s="229">
        <v>1.6999999999999999E-3</v>
      </c>
      <c r="CF62" s="230">
        <v>2372400</v>
      </c>
      <c r="CG62" s="230">
        <v>1947600</v>
      </c>
      <c r="CH62" s="230">
        <v>424800</v>
      </c>
      <c r="CI62" s="229">
        <v>0.21809999999999999</v>
      </c>
      <c r="CJ62" s="230">
        <v>264600</v>
      </c>
      <c r="CK62" s="230">
        <v>244800</v>
      </c>
      <c r="CL62" s="230">
        <v>19800</v>
      </c>
      <c r="CM62" s="229">
        <v>8.09E-2</v>
      </c>
      <c r="CN62" s="230">
        <v>12778200</v>
      </c>
      <c r="CO62" s="230">
        <v>11291400</v>
      </c>
      <c r="CP62" s="230">
        <v>1486800</v>
      </c>
      <c r="CQ62" s="229">
        <v>0.13170000000000001</v>
      </c>
      <c r="CR62" s="230">
        <v>8400600</v>
      </c>
      <c r="CS62" s="230">
        <v>7963200</v>
      </c>
      <c r="CT62" s="230">
        <v>437400</v>
      </c>
      <c r="CU62" s="229">
        <v>5.4899999999999997E-2</v>
      </c>
      <c r="CV62" s="230">
        <v>52729200</v>
      </c>
      <c r="CW62" s="230">
        <v>50310000</v>
      </c>
      <c r="CX62" s="230">
        <v>2419200</v>
      </c>
      <c r="CY62" s="229">
        <v>4.8099999999999997E-2</v>
      </c>
      <c r="CZ62" s="228">
        <v>22.82</v>
      </c>
      <c r="DA62" s="228">
        <v>22.73</v>
      </c>
      <c r="DB62" s="228">
        <v>0.09</v>
      </c>
      <c r="DC62" s="228">
        <v>0.09</v>
      </c>
      <c r="DD62" s="228">
        <v>33.44</v>
      </c>
      <c r="DE62" s="228">
        <v>33.479999999999997</v>
      </c>
      <c r="DF62" s="228">
        <v>-10.62</v>
      </c>
      <c r="DG62" s="228">
        <v>-0.04</v>
      </c>
      <c r="DH62" s="228">
        <v>23.52</v>
      </c>
      <c r="DI62" s="228">
        <v>22.9</v>
      </c>
      <c r="DJ62" s="228">
        <v>0.62</v>
      </c>
      <c r="DK62" s="228">
        <v>0.62</v>
      </c>
      <c r="DL62" s="228">
        <v>21.32</v>
      </c>
      <c r="DM62" s="228">
        <v>22.3</v>
      </c>
      <c r="DN62" s="228">
        <v>-0.98</v>
      </c>
      <c r="DO62" s="228">
        <v>-0.98</v>
      </c>
      <c r="DP62" s="228">
        <v>0.66</v>
      </c>
      <c r="DQ62" s="228">
        <v>0.71</v>
      </c>
      <c r="DR62" s="228">
        <v>-0.05</v>
      </c>
      <c r="DS62" s="229">
        <v>-7.0400000000000004E-2</v>
      </c>
      <c r="DT62" s="228">
        <v>380</v>
      </c>
      <c r="DU62" s="228">
        <v>360</v>
      </c>
      <c r="DV62" s="228">
        <v>0.47</v>
      </c>
      <c r="DW62" s="228">
        <v>0.41</v>
      </c>
      <c r="DX62" s="228">
        <v>0.06</v>
      </c>
      <c r="DY62" s="229">
        <v>0.14630000000000001</v>
      </c>
      <c r="DZ62" s="229">
        <v>8.3599999999999994E-2</v>
      </c>
      <c r="EA62" s="230">
        <v>2192400</v>
      </c>
      <c r="EB62" s="229">
        <v>6.1000000000000004E-3</v>
      </c>
      <c r="EC62" s="229">
        <v>8.3599999999999994E-2</v>
      </c>
      <c r="ED62" s="228">
        <v>2.27</v>
      </c>
      <c r="EE62" s="229">
        <v>6.3E-3</v>
      </c>
      <c r="EF62" s="230">
        <v>465250</v>
      </c>
      <c r="EG62" s="230">
        <v>447994</v>
      </c>
      <c r="EH62" s="229">
        <v>3.85E-2</v>
      </c>
      <c r="EI62" s="229">
        <v>0.42020000000000002</v>
      </c>
      <c r="EJ62" s="231">
        <v>47272.24</v>
      </c>
      <c r="EK62" s="231">
        <v>21513.42</v>
      </c>
      <c r="EL62" s="231">
        <v>13361.25</v>
      </c>
      <c r="EM62" s="231">
        <v>1219</v>
      </c>
      <c r="EN62" s="231">
        <v>82146.91</v>
      </c>
      <c r="EO62" s="231">
        <v>61623.91</v>
      </c>
      <c r="EP62" s="231">
        <v>20523</v>
      </c>
      <c r="EQ62" s="229">
        <v>0.33300000000000002</v>
      </c>
      <c r="ER62" s="231">
        <v>49028</v>
      </c>
      <c r="ES62" s="231">
        <v>31176</v>
      </c>
      <c r="ET62" s="231">
        <v>113489</v>
      </c>
      <c r="EU62" s="231">
        <v>68856800</v>
      </c>
      <c r="EV62" s="231">
        <v>193693</v>
      </c>
      <c r="EW62" s="231">
        <v>186415</v>
      </c>
      <c r="EX62" s="231">
        <v>7278</v>
      </c>
      <c r="EY62" s="229">
        <v>3.9E-2</v>
      </c>
      <c r="EZ62" s="229">
        <v>0.76580000000000004</v>
      </c>
      <c r="FA62" s="227" t="s">
        <v>567</v>
      </c>
      <c r="FB62" s="161">
        <f t="shared" si="0"/>
        <v>2637000</v>
      </c>
    </row>
    <row r="63" spans="1:158" ht="17.25" hidden="1" thickBot="1" x14ac:dyDescent="0.3">
      <c r="A63" s="226">
        <v>46009</v>
      </c>
      <c r="B63" s="227" t="s">
        <v>172</v>
      </c>
      <c r="C63" s="227" t="s">
        <v>212</v>
      </c>
      <c r="D63" s="228">
        <v>5000</v>
      </c>
      <c r="E63" s="228">
        <v>265.5</v>
      </c>
      <c r="F63" s="228">
        <v>264.3</v>
      </c>
      <c r="G63" s="228">
        <v>1.2</v>
      </c>
      <c r="H63" s="229">
        <v>4.4999999999999997E-3</v>
      </c>
      <c r="I63" s="228">
        <v>265.39999999999998</v>
      </c>
      <c r="J63" s="228">
        <v>263.60000000000002</v>
      </c>
      <c r="K63" s="228">
        <v>1.8</v>
      </c>
      <c r="L63" s="229">
        <v>6.7999999999999996E-3</v>
      </c>
      <c r="M63" s="228">
        <v>265.5</v>
      </c>
      <c r="N63" s="228">
        <v>264.3</v>
      </c>
      <c r="O63" s="228">
        <v>1.2</v>
      </c>
      <c r="P63" s="229">
        <v>4.4999999999999997E-3</v>
      </c>
      <c r="Q63" s="228">
        <v>266.95</v>
      </c>
      <c r="R63" s="228">
        <v>265.75</v>
      </c>
      <c r="S63" s="228">
        <v>1.2</v>
      </c>
      <c r="T63" s="229">
        <v>4.4999999999999997E-3</v>
      </c>
      <c r="U63" s="228">
        <v>267.85000000000002</v>
      </c>
      <c r="V63" s="228">
        <v>266.60000000000002</v>
      </c>
      <c r="W63" s="228">
        <v>1.25</v>
      </c>
      <c r="X63" s="229">
        <v>4.7000000000000002E-3</v>
      </c>
      <c r="Y63" s="228">
        <v>0.1</v>
      </c>
      <c r="Z63" s="228">
        <v>0.7</v>
      </c>
      <c r="AA63" s="228">
        <v>-0.6</v>
      </c>
      <c r="AB63" s="229">
        <v>4.0000000000000002E-4</v>
      </c>
      <c r="AC63" s="228">
        <v>0.1</v>
      </c>
      <c r="AD63" s="228">
        <v>0.7</v>
      </c>
      <c r="AE63" s="228">
        <v>-0.6</v>
      </c>
      <c r="AF63" s="229">
        <v>4.0000000000000002E-4</v>
      </c>
      <c r="AG63" s="228">
        <v>1.55</v>
      </c>
      <c r="AH63" s="228">
        <v>2.15</v>
      </c>
      <c r="AI63" s="228">
        <v>-0.6</v>
      </c>
      <c r="AJ63" s="229">
        <v>5.7999999999999996E-3</v>
      </c>
      <c r="AK63" s="228">
        <v>2.4500000000000002</v>
      </c>
      <c r="AL63" s="228">
        <v>3</v>
      </c>
      <c r="AM63" s="228">
        <v>-0.55000000000000004</v>
      </c>
      <c r="AN63" s="229">
        <v>9.1999999999999998E-3</v>
      </c>
      <c r="AO63" s="228">
        <v>265.64</v>
      </c>
      <c r="AP63" s="228">
        <v>266.81</v>
      </c>
      <c r="AQ63" s="228">
        <v>0</v>
      </c>
      <c r="AR63" s="230">
        <v>12035000</v>
      </c>
      <c r="AS63" s="230">
        <v>11685000</v>
      </c>
      <c r="AT63" s="230">
        <v>350000</v>
      </c>
      <c r="AU63" s="229">
        <v>0.03</v>
      </c>
      <c r="AV63" s="230">
        <v>9480000</v>
      </c>
      <c r="AW63" s="230">
        <v>9120000</v>
      </c>
      <c r="AX63" s="230">
        <v>360000</v>
      </c>
      <c r="AY63" s="229">
        <v>3.95E-2</v>
      </c>
      <c r="AZ63" s="230">
        <v>2235000</v>
      </c>
      <c r="BA63" s="230">
        <v>2410000</v>
      </c>
      <c r="BB63" s="230">
        <v>-175000</v>
      </c>
      <c r="BC63" s="229">
        <v>-7.2599999999999998E-2</v>
      </c>
      <c r="BD63" s="230">
        <v>320000</v>
      </c>
      <c r="BE63" s="230">
        <v>155000</v>
      </c>
      <c r="BF63" s="230">
        <v>165000</v>
      </c>
      <c r="BG63" s="229">
        <v>1.0645</v>
      </c>
      <c r="BH63" s="230">
        <v>57350000</v>
      </c>
      <c r="BI63" s="230">
        <v>47700000</v>
      </c>
      <c r="BJ63" s="230">
        <v>9650000</v>
      </c>
      <c r="BK63" s="229">
        <v>0.20230000000000001</v>
      </c>
      <c r="BL63" s="230">
        <v>42580000</v>
      </c>
      <c r="BM63" s="230">
        <v>27965000</v>
      </c>
      <c r="BN63" s="230">
        <v>14615000</v>
      </c>
      <c r="BO63" s="229">
        <v>0.52259999999999995</v>
      </c>
      <c r="BP63" s="230">
        <v>111965000</v>
      </c>
      <c r="BQ63" s="230">
        <v>87350000</v>
      </c>
      <c r="BR63" s="230">
        <v>24615000</v>
      </c>
      <c r="BS63" s="229">
        <v>0.28179999999999999</v>
      </c>
      <c r="BT63" s="230">
        <v>8038987</v>
      </c>
      <c r="BU63" s="230">
        <v>3883202</v>
      </c>
      <c r="BV63" s="230">
        <v>4155785</v>
      </c>
      <c r="BW63" s="229">
        <v>1.0702</v>
      </c>
      <c r="BX63" s="230">
        <v>66165000</v>
      </c>
      <c r="BY63" s="230">
        <v>67220000</v>
      </c>
      <c r="BZ63" s="230">
        <v>-1055000</v>
      </c>
      <c r="CA63" s="229">
        <v>-1.5699999999999999E-2</v>
      </c>
      <c r="CB63" s="230">
        <v>57375000</v>
      </c>
      <c r="CC63" s="230">
        <v>58725000</v>
      </c>
      <c r="CD63" s="230">
        <v>-1350000</v>
      </c>
      <c r="CE63" s="229">
        <v>-2.3E-2</v>
      </c>
      <c r="CF63" s="230">
        <v>8095000</v>
      </c>
      <c r="CG63" s="230">
        <v>7880000</v>
      </c>
      <c r="CH63" s="230">
        <v>215000</v>
      </c>
      <c r="CI63" s="229">
        <v>2.7300000000000001E-2</v>
      </c>
      <c r="CJ63" s="230">
        <v>695000</v>
      </c>
      <c r="CK63" s="230">
        <v>615000</v>
      </c>
      <c r="CL63" s="230">
        <v>80000</v>
      </c>
      <c r="CM63" s="229">
        <v>0.13009999999999999</v>
      </c>
      <c r="CN63" s="230">
        <v>43350000</v>
      </c>
      <c r="CO63" s="230">
        <v>44210000</v>
      </c>
      <c r="CP63" s="230">
        <v>-860000</v>
      </c>
      <c r="CQ63" s="229">
        <v>-1.95E-2</v>
      </c>
      <c r="CR63" s="230">
        <v>44465000</v>
      </c>
      <c r="CS63" s="230">
        <v>43555000</v>
      </c>
      <c r="CT63" s="230">
        <v>910000</v>
      </c>
      <c r="CU63" s="229">
        <v>2.0899999999999998E-2</v>
      </c>
      <c r="CV63" s="230">
        <v>153980000</v>
      </c>
      <c r="CW63" s="230">
        <v>154985000</v>
      </c>
      <c r="CX63" s="230">
        <v>-1005000</v>
      </c>
      <c r="CY63" s="229">
        <v>-6.4999999999999997E-3</v>
      </c>
      <c r="CZ63" s="228">
        <v>18.75</v>
      </c>
      <c r="DA63" s="228">
        <v>19.47</v>
      </c>
      <c r="DB63" s="228">
        <v>-0.72</v>
      </c>
      <c r="DC63" s="228">
        <v>-0.72</v>
      </c>
      <c r="DD63" s="228">
        <v>28.31</v>
      </c>
      <c r="DE63" s="228">
        <v>28.37</v>
      </c>
      <c r="DF63" s="228">
        <v>-9.56</v>
      </c>
      <c r="DG63" s="228">
        <v>-0.06</v>
      </c>
      <c r="DH63" s="228">
        <v>18.2</v>
      </c>
      <c r="DI63" s="228">
        <v>19.079999999999998</v>
      </c>
      <c r="DJ63" s="228">
        <v>-0.88</v>
      </c>
      <c r="DK63" s="228">
        <v>-0.88</v>
      </c>
      <c r="DL63" s="228">
        <v>19.489999999999998</v>
      </c>
      <c r="DM63" s="228">
        <v>20.13</v>
      </c>
      <c r="DN63" s="228">
        <v>-0.64</v>
      </c>
      <c r="DO63" s="228">
        <v>-0.64</v>
      </c>
      <c r="DP63" s="228">
        <v>1.03</v>
      </c>
      <c r="DQ63" s="228">
        <v>0.99</v>
      </c>
      <c r="DR63" s="228">
        <v>0.04</v>
      </c>
      <c r="DS63" s="229">
        <v>4.0399999999999998E-2</v>
      </c>
      <c r="DT63" s="228">
        <v>280</v>
      </c>
      <c r="DU63" s="228">
        <v>250</v>
      </c>
      <c r="DV63" s="228">
        <v>0.74</v>
      </c>
      <c r="DW63" s="228">
        <v>0.59</v>
      </c>
      <c r="DX63" s="228">
        <v>0.15</v>
      </c>
      <c r="DY63" s="229">
        <v>0.25419999999999998</v>
      </c>
      <c r="DZ63" s="229">
        <v>0.1328</v>
      </c>
      <c r="EA63" s="230">
        <v>8495000</v>
      </c>
      <c r="EB63" s="229">
        <v>5.4999999999999997E-3</v>
      </c>
      <c r="EC63" s="229">
        <v>0.1328</v>
      </c>
      <c r="ED63" s="228">
        <v>1.17</v>
      </c>
      <c r="EE63" s="229">
        <v>4.4000000000000003E-3</v>
      </c>
      <c r="EF63" s="230">
        <v>5382567</v>
      </c>
      <c r="EG63" s="230">
        <v>2247034</v>
      </c>
      <c r="EH63" s="229">
        <v>1.3954</v>
      </c>
      <c r="EI63" s="229">
        <v>0.66959999999999997</v>
      </c>
      <c r="EJ63" s="231">
        <v>156119.31</v>
      </c>
      <c r="EK63" s="231">
        <v>111196.04</v>
      </c>
      <c r="EL63" s="231">
        <v>32001.57</v>
      </c>
      <c r="EM63" s="231">
        <v>2708</v>
      </c>
      <c r="EN63" s="231">
        <v>299316.92</v>
      </c>
      <c r="EO63" s="231">
        <v>233301.69</v>
      </c>
      <c r="EP63" s="231">
        <v>66015.23</v>
      </c>
      <c r="EQ63" s="229">
        <v>0.28299999999999997</v>
      </c>
      <c r="ER63" s="231">
        <v>115579</v>
      </c>
      <c r="ES63" s="231">
        <v>111213</v>
      </c>
      <c r="ET63" s="231">
        <v>175802</v>
      </c>
      <c r="EU63" s="231">
        <v>338654719</v>
      </c>
      <c r="EV63" s="231">
        <v>402594</v>
      </c>
      <c r="EW63" s="231">
        <v>404249</v>
      </c>
      <c r="EX63" s="231">
        <v>-1655</v>
      </c>
      <c r="EY63" s="229">
        <v>-4.1000000000000003E-3</v>
      </c>
      <c r="EZ63" s="229">
        <v>0.45469999999999999</v>
      </c>
      <c r="FA63" s="227" t="s">
        <v>556</v>
      </c>
      <c r="FB63" s="161">
        <f t="shared" si="0"/>
        <v>8790000</v>
      </c>
    </row>
    <row r="64" spans="1:158" ht="17.25" hidden="1" thickBot="1" x14ac:dyDescent="0.3">
      <c r="A64" s="226">
        <v>46009</v>
      </c>
      <c r="B64" s="227" t="s">
        <v>181</v>
      </c>
      <c r="C64" s="227" t="s">
        <v>480</v>
      </c>
      <c r="D64" s="228">
        <v>65</v>
      </c>
      <c r="E64" s="231">
        <v>27368.5</v>
      </c>
      <c r="F64" s="231">
        <v>27375.7</v>
      </c>
      <c r="G64" s="228">
        <v>-7.2</v>
      </c>
      <c r="H64" s="229">
        <v>-2.9999999999999997E-4</v>
      </c>
      <c r="I64" s="231">
        <v>27267.1</v>
      </c>
      <c r="J64" s="231">
        <v>27251.95</v>
      </c>
      <c r="K64" s="228">
        <v>15.15</v>
      </c>
      <c r="L64" s="229">
        <v>5.9999999999999995E-4</v>
      </c>
      <c r="M64" s="231">
        <v>27368.5</v>
      </c>
      <c r="N64" s="231">
        <v>27375.7</v>
      </c>
      <c r="O64" s="228">
        <v>-7.2</v>
      </c>
      <c r="P64" s="229">
        <v>-2.9999999999999997E-4</v>
      </c>
      <c r="Q64" s="231">
        <v>27672.400000000001</v>
      </c>
      <c r="R64" s="231">
        <v>27554</v>
      </c>
      <c r="S64" s="228">
        <v>118.4</v>
      </c>
      <c r="T64" s="229">
        <v>4.3E-3</v>
      </c>
      <c r="U64" s="228">
        <v>0</v>
      </c>
      <c r="V64" s="228">
        <v>0</v>
      </c>
      <c r="W64" s="228">
        <v>0</v>
      </c>
      <c r="X64" s="229">
        <v>0</v>
      </c>
      <c r="Y64" s="228">
        <v>101.4</v>
      </c>
      <c r="Z64" s="228">
        <v>123.75</v>
      </c>
      <c r="AA64" s="228">
        <v>-22.35</v>
      </c>
      <c r="AB64" s="229">
        <v>3.7000000000000002E-3</v>
      </c>
      <c r="AC64" s="228">
        <v>101.4</v>
      </c>
      <c r="AD64" s="228">
        <v>123.75</v>
      </c>
      <c r="AE64" s="228">
        <v>-22.35</v>
      </c>
      <c r="AF64" s="229">
        <v>3.7000000000000002E-3</v>
      </c>
      <c r="AG64" s="228">
        <v>405.3</v>
      </c>
      <c r="AH64" s="228">
        <v>302.05</v>
      </c>
      <c r="AI64" s="228">
        <v>103.25</v>
      </c>
      <c r="AJ64" s="229">
        <v>1.49E-2</v>
      </c>
      <c r="AK64" s="228">
        <v>0</v>
      </c>
      <c r="AL64" s="228">
        <v>0</v>
      </c>
      <c r="AM64" s="228">
        <v>0</v>
      </c>
      <c r="AN64" s="229">
        <v>0</v>
      </c>
      <c r="AO64" s="231">
        <v>27406.51</v>
      </c>
      <c r="AP64" s="231">
        <v>27618.06</v>
      </c>
      <c r="AQ64" s="228">
        <v>0</v>
      </c>
      <c r="AR64" s="230">
        <v>12155</v>
      </c>
      <c r="AS64" s="230">
        <v>27690</v>
      </c>
      <c r="AT64" s="230">
        <v>-15535</v>
      </c>
      <c r="AU64" s="229">
        <v>-0.56100000000000005</v>
      </c>
      <c r="AV64" s="230">
        <v>11375</v>
      </c>
      <c r="AW64" s="230">
        <v>24310</v>
      </c>
      <c r="AX64" s="230">
        <v>-12935</v>
      </c>
      <c r="AY64" s="229">
        <v>-0.53210000000000002</v>
      </c>
      <c r="AZ64" s="228">
        <v>780</v>
      </c>
      <c r="BA64" s="230">
        <v>3380</v>
      </c>
      <c r="BB64" s="230">
        <v>-2600</v>
      </c>
      <c r="BC64" s="229">
        <v>-0.76919999999999999</v>
      </c>
      <c r="BD64" s="228">
        <v>0</v>
      </c>
      <c r="BE64" s="228">
        <v>0</v>
      </c>
      <c r="BF64" s="228">
        <v>0</v>
      </c>
      <c r="BG64" s="229">
        <v>0</v>
      </c>
      <c r="BH64" s="230">
        <v>1483495</v>
      </c>
      <c r="BI64" s="230">
        <v>1789060</v>
      </c>
      <c r="BJ64" s="230">
        <v>-305565</v>
      </c>
      <c r="BK64" s="229">
        <v>-0.17080000000000001</v>
      </c>
      <c r="BL64" s="230">
        <v>1279980</v>
      </c>
      <c r="BM64" s="230">
        <v>1179035</v>
      </c>
      <c r="BN64" s="230">
        <v>100945</v>
      </c>
      <c r="BO64" s="229">
        <v>8.5599999999999996E-2</v>
      </c>
      <c r="BP64" s="230">
        <v>2775630</v>
      </c>
      <c r="BQ64" s="230">
        <v>2995785</v>
      </c>
      <c r="BR64" s="230">
        <v>-220155</v>
      </c>
      <c r="BS64" s="229">
        <v>-7.3499999999999996E-2</v>
      </c>
      <c r="BT64" s="228">
        <v>0</v>
      </c>
      <c r="BU64" s="228">
        <v>0</v>
      </c>
      <c r="BV64" s="228">
        <v>0</v>
      </c>
      <c r="BW64" s="229">
        <v>0</v>
      </c>
      <c r="BX64" s="230">
        <v>43630</v>
      </c>
      <c r="BY64" s="230">
        <v>43600</v>
      </c>
      <c r="BZ64" s="228">
        <v>30</v>
      </c>
      <c r="CA64" s="229">
        <v>6.9999999999999999E-4</v>
      </c>
      <c r="CB64" s="230">
        <v>39130</v>
      </c>
      <c r="CC64" s="230">
        <v>39520</v>
      </c>
      <c r="CD64" s="228">
        <v>-390</v>
      </c>
      <c r="CE64" s="229">
        <v>-9.9000000000000008E-3</v>
      </c>
      <c r="CF64" s="230">
        <v>4500</v>
      </c>
      <c r="CG64" s="230">
        <v>4080</v>
      </c>
      <c r="CH64" s="228">
        <v>420</v>
      </c>
      <c r="CI64" s="229">
        <v>0.10290000000000001</v>
      </c>
      <c r="CJ64" s="228">
        <v>0</v>
      </c>
      <c r="CK64" s="228">
        <v>0</v>
      </c>
      <c r="CL64" s="228">
        <v>0</v>
      </c>
      <c r="CM64" s="229">
        <v>0</v>
      </c>
      <c r="CN64" s="230">
        <v>961080</v>
      </c>
      <c r="CO64" s="230">
        <v>946980</v>
      </c>
      <c r="CP64" s="230">
        <v>14100</v>
      </c>
      <c r="CQ64" s="229">
        <v>1.49E-2</v>
      </c>
      <c r="CR64" s="230">
        <v>609965</v>
      </c>
      <c r="CS64" s="230">
        <v>540640</v>
      </c>
      <c r="CT64" s="230">
        <v>69325</v>
      </c>
      <c r="CU64" s="229">
        <v>0.12820000000000001</v>
      </c>
      <c r="CV64" s="230">
        <v>1614675</v>
      </c>
      <c r="CW64" s="230">
        <v>1531220</v>
      </c>
      <c r="CX64" s="230">
        <v>83455</v>
      </c>
      <c r="CY64" s="229">
        <v>5.45E-2</v>
      </c>
      <c r="CZ64" s="228">
        <v>10.45</v>
      </c>
      <c r="DA64" s="228">
        <v>10.71</v>
      </c>
      <c r="DB64" s="228">
        <v>-0.26</v>
      </c>
      <c r="DC64" s="228">
        <v>-0.26</v>
      </c>
      <c r="DD64" s="228">
        <v>16.59</v>
      </c>
      <c r="DE64" s="228">
        <v>16.63</v>
      </c>
      <c r="DF64" s="228">
        <v>-6.14</v>
      </c>
      <c r="DG64" s="228">
        <v>-0.04</v>
      </c>
      <c r="DH64" s="228">
        <v>10.45</v>
      </c>
      <c r="DI64" s="228">
        <v>10.62</v>
      </c>
      <c r="DJ64" s="228">
        <v>-0.17</v>
      </c>
      <c r="DK64" s="228">
        <v>-0.17</v>
      </c>
      <c r="DL64" s="228">
        <v>10.46</v>
      </c>
      <c r="DM64" s="228">
        <v>10.85</v>
      </c>
      <c r="DN64" s="228">
        <v>-0.39</v>
      </c>
      <c r="DO64" s="228">
        <v>-0.39</v>
      </c>
      <c r="DP64" s="228">
        <v>0.63</v>
      </c>
      <c r="DQ64" s="228">
        <v>0.56999999999999995</v>
      </c>
      <c r="DR64" s="228">
        <v>0.06</v>
      </c>
      <c r="DS64" s="229">
        <v>0.1053</v>
      </c>
      <c r="DT64" s="231">
        <v>27500</v>
      </c>
      <c r="DU64" s="231">
        <v>27500</v>
      </c>
      <c r="DV64" s="228">
        <v>0.86</v>
      </c>
      <c r="DW64" s="228">
        <v>0.66</v>
      </c>
      <c r="DX64" s="228">
        <v>0.2</v>
      </c>
      <c r="DY64" s="229">
        <v>0.30299999999999999</v>
      </c>
      <c r="DZ64" s="229">
        <v>0.1031</v>
      </c>
      <c r="EA64" s="230">
        <v>4080</v>
      </c>
      <c r="EB64" s="229">
        <v>1.11E-2</v>
      </c>
      <c r="EC64" s="229">
        <v>0.1031</v>
      </c>
      <c r="ED64" s="228">
        <v>211.55</v>
      </c>
      <c r="EE64" s="229">
        <v>7.7000000000000002E-3</v>
      </c>
      <c r="EF64" s="228">
        <v>0</v>
      </c>
      <c r="EG64" s="228">
        <v>0</v>
      </c>
      <c r="EH64" s="229">
        <v>0</v>
      </c>
      <c r="EI64" s="229">
        <v>0</v>
      </c>
      <c r="EJ64" s="231">
        <v>413258.38</v>
      </c>
      <c r="EK64" s="231">
        <v>349927.63</v>
      </c>
      <c r="EL64" s="231">
        <v>3316.34</v>
      </c>
      <c r="EM64" s="228">
        <v>0</v>
      </c>
      <c r="EN64" s="231">
        <v>766502.35</v>
      </c>
      <c r="EO64" s="231">
        <v>828373.93</v>
      </c>
      <c r="EP64" s="231">
        <v>-61871.58</v>
      </c>
      <c r="EQ64" s="229">
        <v>-7.4700000000000003E-2</v>
      </c>
      <c r="ER64" s="231">
        <v>269070</v>
      </c>
      <c r="ES64" s="231">
        <v>166013</v>
      </c>
      <c r="ET64" s="231">
        <v>11955</v>
      </c>
      <c r="EU64" s="228">
        <v>0</v>
      </c>
      <c r="EV64" s="231">
        <v>447037</v>
      </c>
      <c r="EW64" s="231">
        <v>425051</v>
      </c>
      <c r="EX64" s="231">
        <v>21986</v>
      </c>
      <c r="EY64" s="229">
        <v>5.1700000000000003E-2</v>
      </c>
      <c r="EZ64" s="229">
        <v>0</v>
      </c>
      <c r="FA64" s="227" t="s">
        <v>567</v>
      </c>
      <c r="FB64" s="161">
        <f t="shared" si="0"/>
        <v>4500</v>
      </c>
    </row>
    <row r="65" spans="1:158" ht="17.25" hidden="1" thickBot="1" x14ac:dyDescent="0.3">
      <c r="A65" s="226">
        <v>46009</v>
      </c>
      <c r="B65" s="227" t="s">
        <v>170</v>
      </c>
      <c r="C65" s="227" t="s">
        <v>678</v>
      </c>
      <c r="D65" s="228">
        <v>775</v>
      </c>
      <c r="E65" s="228">
        <v>866.8</v>
      </c>
      <c r="F65" s="228">
        <v>871.65</v>
      </c>
      <c r="G65" s="228">
        <v>-4.8499999999999996</v>
      </c>
      <c r="H65" s="229">
        <v>-5.5999999999999999E-3</v>
      </c>
      <c r="I65" s="228">
        <v>866.35</v>
      </c>
      <c r="J65" s="228">
        <v>870.95</v>
      </c>
      <c r="K65" s="228">
        <v>-4.5999999999999996</v>
      </c>
      <c r="L65" s="229">
        <v>-5.3E-3</v>
      </c>
      <c r="M65" s="228">
        <v>866.8</v>
      </c>
      <c r="N65" s="228">
        <v>871.65</v>
      </c>
      <c r="O65" s="228">
        <v>-4.8499999999999996</v>
      </c>
      <c r="P65" s="229">
        <v>-5.5999999999999999E-3</v>
      </c>
      <c r="Q65" s="228">
        <v>872.55</v>
      </c>
      <c r="R65" s="228">
        <v>876.2</v>
      </c>
      <c r="S65" s="228">
        <v>-3.65</v>
      </c>
      <c r="T65" s="229">
        <v>-4.1999999999999997E-3</v>
      </c>
      <c r="U65" s="228">
        <v>873.05</v>
      </c>
      <c r="V65" s="228">
        <v>879</v>
      </c>
      <c r="W65" s="228">
        <v>-5.95</v>
      </c>
      <c r="X65" s="229">
        <v>-6.7999999999999996E-3</v>
      </c>
      <c r="Y65" s="228">
        <v>0.45</v>
      </c>
      <c r="Z65" s="228">
        <v>0.7</v>
      </c>
      <c r="AA65" s="228">
        <v>-0.25</v>
      </c>
      <c r="AB65" s="229">
        <v>5.0000000000000001E-4</v>
      </c>
      <c r="AC65" s="228">
        <v>0.45</v>
      </c>
      <c r="AD65" s="228">
        <v>0.7</v>
      </c>
      <c r="AE65" s="228">
        <v>-0.25</v>
      </c>
      <c r="AF65" s="229">
        <v>5.0000000000000001E-4</v>
      </c>
      <c r="AG65" s="228">
        <v>6.2</v>
      </c>
      <c r="AH65" s="228">
        <v>5.25</v>
      </c>
      <c r="AI65" s="228">
        <v>0.95</v>
      </c>
      <c r="AJ65" s="229">
        <v>7.1999999999999998E-3</v>
      </c>
      <c r="AK65" s="228">
        <v>6.7</v>
      </c>
      <c r="AL65" s="228">
        <v>8.0500000000000007</v>
      </c>
      <c r="AM65" s="228">
        <v>-1.35</v>
      </c>
      <c r="AN65" s="229">
        <v>7.7000000000000002E-3</v>
      </c>
      <c r="AO65" s="228">
        <v>864.43</v>
      </c>
      <c r="AP65" s="228">
        <v>869.86</v>
      </c>
      <c r="AQ65" s="228">
        <v>0</v>
      </c>
      <c r="AR65" s="230">
        <v>1813500</v>
      </c>
      <c r="AS65" s="230">
        <v>2116525</v>
      </c>
      <c r="AT65" s="230">
        <v>-303025</v>
      </c>
      <c r="AU65" s="229">
        <v>-0.14319999999999999</v>
      </c>
      <c r="AV65" s="230">
        <v>1545350</v>
      </c>
      <c r="AW65" s="230">
        <v>1732125</v>
      </c>
      <c r="AX65" s="230">
        <v>-186775</v>
      </c>
      <c r="AY65" s="229">
        <v>-0.10780000000000001</v>
      </c>
      <c r="AZ65" s="230">
        <v>261950</v>
      </c>
      <c r="BA65" s="230">
        <v>379750</v>
      </c>
      <c r="BB65" s="230">
        <v>-117800</v>
      </c>
      <c r="BC65" s="229">
        <v>-0.31019999999999998</v>
      </c>
      <c r="BD65" s="230">
        <v>6200</v>
      </c>
      <c r="BE65" s="230">
        <v>4650</v>
      </c>
      <c r="BF65" s="230">
        <v>1550</v>
      </c>
      <c r="BG65" s="229">
        <v>0.33329999999999999</v>
      </c>
      <c r="BH65" s="230">
        <v>5968275</v>
      </c>
      <c r="BI65" s="230">
        <v>2927950</v>
      </c>
      <c r="BJ65" s="230">
        <v>3040325</v>
      </c>
      <c r="BK65" s="229">
        <v>1.0384</v>
      </c>
      <c r="BL65" s="230">
        <v>3331725</v>
      </c>
      <c r="BM65" s="230">
        <v>1178000</v>
      </c>
      <c r="BN65" s="230">
        <v>2153725</v>
      </c>
      <c r="BO65" s="229">
        <v>1.8283</v>
      </c>
      <c r="BP65" s="230">
        <v>11113500</v>
      </c>
      <c r="BQ65" s="230">
        <v>6222475</v>
      </c>
      <c r="BR65" s="230">
        <v>4891025</v>
      </c>
      <c r="BS65" s="229">
        <v>0.78600000000000003</v>
      </c>
      <c r="BT65" s="230">
        <v>1872425</v>
      </c>
      <c r="BU65" s="230">
        <v>1641590</v>
      </c>
      <c r="BV65" s="230">
        <v>230835</v>
      </c>
      <c r="BW65" s="229">
        <v>0.1406</v>
      </c>
      <c r="BX65" s="230">
        <v>14286350</v>
      </c>
      <c r="BY65" s="230">
        <v>14476225</v>
      </c>
      <c r="BZ65" s="230">
        <v>-189875</v>
      </c>
      <c r="CA65" s="229">
        <v>-1.3100000000000001E-2</v>
      </c>
      <c r="CB65" s="230">
        <v>13368750</v>
      </c>
      <c r="CC65" s="230">
        <v>13619850</v>
      </c>
      <c r="CD65" s="230">
        <v>-251100</v>
      </c>
      <c r="CE65" s="229">
        <v>-1.84E-2</v>
      </c>
      <c r="CF65" s="230">
        <v>881950</v>
      </c>
      <c r="CG65" s="230">
        <v>823825</v>
      </c>
      <c r="CH65" s="230">
        <v>58125</v>
      </c>
      <c r="CI65" s="229">
        <v>7.0599999999999996E-2</v>
      </c>
      <c r="CJ65" s="230">
        <v>35650</v>
      </c>
      <c r="CK65" s="230">
        <v>32550</v>
      </c>
      <c r="CL65" s="230">
        <v>3100</v>
      </c>
      <c r="CM65" s="229">
        <v>9.5200000000000007E-2</v>
      </c>
      <c r="CN65" s="230">
        <v>6441025</v>
      </c>
      <c r="CO65" s="230">
        <v>6654925</v>
      </c>
      <c r="CP65" s="230">
        <v>-213900</v>
      </c>
      <c r="CQ65" s="229">
        <v>-3.2099999999999997E-2</v>
      </c>
      <c r="CR65" s="230">
        <v>2898500</v>
      </c>
      <c r="CS65" s="230">
        <v>2961275</v>
      </c>
      <c r="CT65" s="230">
        <v>-62775</v>
      </c>
      <c r="CU65" s="229">
        <v>-2.12E-2</v>
      </c>
      <c r="CV65" s="230">
        <v>23625875</v>
      </c>
      <c r="CW65" s="230">
        <v>24092425</v>
      </c>
      <c r="CX65" s="230">
        <v>-466550</v>
      </c>
      <c r="CY65" s="229">
        <v>-1.9400000000000001E-2</v>
      </c>
      <c r="CZ65" s="228">
        <v>21.65</v>
      </c>
      <c r="DA65" s="228">
        <v>23.33</v>
      </c>
      <c r="DB65" s="228">
        <v>-1.68</v>
      </c>
      <c r="DC65" s="228">
        <v>-1.68</v>
      </c>
      <c r="DD65" s="228">
        <v>35.19</v>
      </c>
      <c r="DE65" s="228">
        <v>35.270000000000003</v>
      </c>
      <c r="DF65" s="228">
        <v>-13.54</v>
      </c>
      <c r="DG65" s="228">
        <v>-0.08</v>
      </c>
      <c r="DH65" s="228">
        <v>22.13</v>
      </c>
      <c r="DI65" s="228">
        <v>23.52</v>
      </c>
      <c r="DJ65" s="228">
        <v>-1.39</v>
      </c>
      <c r="DK65" s="228">
        <v>-1.39</v>
      </c>
      <c r="DL65" s="228">
        <v>20.8</v>
      </c>
      <c r="DM65" s="228">
        <v>22.86</v>
      </c>
      <c r="DN65" s="228">
        <v>-2.06</v>
      </c>
      <c r="DO65" s="228">
        <v>-2.06</v>
      </c>
      <c r="DP65" s="228">
        <v>0.45</v>
      </c>
      <c r="DQ65" s="228">
        <v>0.44</v>
      </c>
      <c r="DR65" s="228">
        <v>0.01</v>
      </c>
      <c r="DS65" s="229">
        <v>2.2700000000000001E-2</v>
      </c>
      <c r="DT65" s="231">
        <v>1000</v>
      </c>
      <c r="DU65" s="228">
        <v>860</v>
      </c>
      <c r="DV65" s="228">
        <v>0.56000000000000005</v>
      </c>
      <c r="DW65" s="228">
        <v>0.4</v>
      </c>
      <c r="DX65" s="228">
        <v>0.16</v>
      </c>
      <c r="DY65" s="229">
        <v>0.4</v>
      </c>
      <c r="DZ65" s="229">
        <v>6.4199999999999993E-2</v>
      </c>
      <c r="EA65" s="230">
        <v>856375</v>
      </c>
      <c r="EB65" s="229">
        <v>6.6E-3</v>
      </c>
      <c r="EC65" s="229">
        <v>6.4199999999999993E-2</v>
      </c>
      <c r="ED65" s="228">
        <v>5.43</v>
      </c>
      <c r="EE65" s="229">
        <v>6.3E-3</v>
      </c>
      <c r="EF65" s="230">
        <v>1137544</v>
      </c>
      <c r="EG65" s="230">
        <v>1118962</v>
      </c>
      <c r="EH65" s="229">
        <v>1.66E-2</v>
      </c>
      <c r="EI65" s="229">
        <v>0.60750000000000004</v>
      </c>
      <c r="EJ65" s="231">
        <v>53700.21</v>
      </c>
      <c r="EK65" s="231">
        <v>29329.040000000001</v>
      </c>
      <c r="EL65" s="231">
        <v>15691.26</v>
      </c>
      <c r="EM65" s="231">
        <v>2783</v>
      </c>
      <c r="EN65" s="231">
        <v>98720.51</v>
      </c>
      <c r="EO65" s="231">
        <v>55396.81</v>
      </c>
      <c r="EP65" s="231">
        <v>43323.7</v>
      </c>
      <c r="EQ65" s="229">
        <v>0.78210000000000002</v>
      </c>
      <c r="ER65" s="231">
        <v>60520</v>
      </c>
      <c r="ES65" s="231">
        <v>25636</v>
      </c>
      <c r="ET65" s="231">
        <v>123887</v>
      </c>
      <c r="EU65" s="231">
        <v>62490435</v>
      </c>
      <c r="EV65" s="231">
        <v>210042</v>
      </c>
      <c r="EW65" s="231">
        <v>215081</v>
      </c>
      <c r="EX65" s="231">
        <v>-5039</v>
      </c>
      <c r="EY65" s="229">
        <v>-2.3400000000000001E-2</v>
      </c>
      <c r="EZ65" s="229">
        <v>0.37809999999999999</v>
      </c>
      <c r="FA65" s="227" t="s">
        <v>568</v>
      </c>
      <c r="FB65" s="161">
        <f t="shared" si="0"/>
        <v>917600</v>
      </c>
    </row>
    <row r="66" spans="1:158" ht="17.25" hidden="1" thickBot="1" x14ac:dyDescent="0.3">
      <c r="A66" s="226">
        <v>46009</v>
      </c>
      <c r="B66" s="227" t="s">
        <v>193</v>
      </c>
      <c r="C66" s="227" t="s">
        <v>213</v>
      </c>
      <c r="D66" s="228">
        <v>3150</v>
      </c>
      <c r="E66" s="228">
        <v>168.09</v>
      </c>
      <c r="F66" s="228">
        <v>169.34</v>
      </c>
      <c r="G66" s="228">
        <v>-1.25</v>
      </c>
      <c r="H66" s="229">
        <v>-7.4000000000000003E-3</v>
      </c>
      <c r="I66" s="228">
        <v>167.55</v>
      </c>
      <c r="J66" s="228">
        <v>169.07</v>
      </c>
      <c r="K66" s="228">
        <v>-1.52</v>
      </c>
      <c r="L66" s="229">
        <v>-8.9999999999999993E-3</v>
      </c>
      <c r="M66" s="228">
        <v>168.09</v>
      </c>
      <c r="N66" s="228">
        <v>169.34</v>
      </c>
      <c r="O66" s="228">
        <v>-1.25</v>
      </c>
      <c r="P66" s="229">
        <v>-7.4000000000000003E-3</v>
      </c>
      <c r="Q66" s="228">
        <v>169.08</v>
      </c>
      <c r="R66" s="228">
        <v>170.31</v>
      </c>
      <c r="S66" s="228">
        <v>-1.23</v>
      </c>
      <c r="T66" s="229">
        <v>-7.1999999999999998E-3</v>
      </c>
      <c r="U66" s="228">
        <v>170.03</v>
      </c>
      <c r="V66" s="228">
        <v>170.9</v>
      </c>
      <c r="W66" s="228">
        <v>-0.87</v>
      </c>
      <c r="X66" s="229">
        <v>-5.1000000000000004E-3</v>
      </c>
      <c r="Y66" s="228">
        <v>0.54</v>
      </c>
      <c r="Z66" s="228">
        <v>0.27</v>
      </c>
      <c r="AA66" s="228">
        <v>0.27</v>
      </c>
      <c r="AB66" s="229">
        <v>3.2000000000000002E-3</v>
      </c>
      <c r="AC66" s="228">
        <v>0.54</v>
      </c>
      <c r="AD66" s="228">
        <v>0.27</v>
      </c>
      <c r="AE66" s="228">
        <v>0.27</v>
      </c>
      <c r="AF66" s="229">
        <v>3.2000000000000002E-3</v>
      </c>
      <c r="AG66" s="228">
        <v>1.53</v>
      </c>
      <c r="AH66" s="228">
        <v>1.24</v>
      </c>
      <c r="AI66" s="228">
        <v>0.28999999999999998</v>
      </c>
      <c r="AJ66" s="229">
        <v>9.1000000000000004E-3</v>
      </c>
      <c r="AK66" s="228">
        <v>2.48</v>
      </c>
      <c r="AL66" s="228">
        <v>1.83</v>
      </c>
      <c r="AM66" s="228">
        <v>0.65</v>
      </c>
      <c r="AN66" s="229">
        <v>1.4800000000000001E-2</v>
      </c>
      <c r="AO66" s="228">
        <v>168.15</v>
      </c>
      <c r="AP66" s="228">
        <v>169.21</v>
      </c>
      <c r="AQ66" s="228">
        <v>0</v>
      </c>
      <c r="AR66" s="230">
        <v>8413650</v>
      </c>
      <c r="AS66" s="230">
        <v>7440300</v>
      </c>
      <c r="AT66" s="230">
        <v>973350</v>
      </c>
      <c r="AU66" s="229">
        <v>0.1308</v>
      </c>
      <c r="AV66" s="230">
        <v>6114150</v>
      </c>
      <c r="AW66" s="230">
        <v>6492150</v>
      </c>
      <c r="AX66" s="230">
        <v>-378000</v>
      </c>
      <c r="AY66" s="229">
        <v>-5.8200000000000002E-2</v>
      </c>
      <c r="AZ66" s="230">
        <v>2164050</v>
      </c>
      <c r="BA66" s="230">
        <v>809550</v>
      </c>
      <c r="BB66" s="230">
        <v>1354500</v>
      </c>
      <c r="BC66" s="229">
        <v>1.6732</v>
      </c>
      <c r="BD66" s="230">
        <v>135450</v>
      </c>
      <c r="BE66" s="230">
        <v>138600</v>
      </c>
      <c r="BF66" s="230">
        <v>-3150</v>
      </c>
      <c r="BG66" s="229">
        <v>-2.2700000000000001E-2</v>
      </c>
      <c r="BH66" s="230">
        <v>22683150</v>
      </c>
      <c r="BI66" s="230">
        <v>24453450</v>
      </c>
      <c r="BJ66" s="230">
        <v>-1770300</v>
      </c>
      <c r="BK66" s="229">
        <v>-7.2400000000000006E-2</v>
      </c>
      <c r="BL66" s="230">
        <v>9081450</v>
      </c>
      <c r="BM66" s="230">
        <v>9418500</v>
      </c>
      <c r="BN66" s="230">
        <v>-337050</v>
      </c>
      <c r="BO66" s="229">
        <v>-3.5799999999999998E-2</v>
      </c>
      <c r="BP66" s="230">
        <v>40178250</v>
      </c>
      <c r="BQ66" s="230">
        <v>41312250</v>
      </c>
      <c r="BR66" s="230">
        <v>-1134000</v>
      </c>
      <c r="BS66" s="229">
        <v>-2.7400000000000001E-2</v>
      </c>
      <c r="BT66" s="230">
        <v>3912420</v>
      </c>
      <c r="BU66" s="230">
        <v>3466200</v>
      </c>
      <c r="BV66" s="230">
        <v>446220</v>
      </c>
      <c r="BW66" s="229">
        <v>0.12870000000000001</v>
      </c>
      <c r="BX66" s="230">
        <v>99508500</v>
      </c>
      <c r="BY66" s="230">
        <v>99470700</v>
      </c>
      <c r="BZ66" s="230">
        <v>37800</v>
      </c>
      <c r="CA66" s="229">
        <v>4.0000000000000002E-4</v>
      </c>
      <c r="CB66" s="230">
        <v>88285050</v>
      </c>
      <c r="CC66" s="230">
        <v>89097750</v>
      </c>
      <c r="CD66" s="230">
        <v>-812700</v>
      </c>
      <c r="CE66" s="229">
        <v>-9.1000000000000004E-3</v>
      </c>
      <c r="CF66" s="230">
        <v>9916200</v>
      </c>
      <c r="CG66" s="230">
        <v>9119250</v>
      </c>
      <c r="CH66" s="230">
        <v>796950</v>
      </c>
      <c r="CI66" s="229">
        <v>8.7400000000000005E-2</v>
      </c>
      <c r="CJ66" s="230">
        <v>1307250</v>
      </c>
      <c r="CK66" s="230">
        <v>1253700</v>
      </c>
      <c r="CL66" s="230">
        <v>53550</v>
      </c>
      <c r="CM66" s="229">
        <v>4.2700000000000002E-2</v>
      </c>
      <c r="CN66" s="230">
        <v>68688900</v>
      </c>
      <c r="CO66" s="230">
        <v>68389650</v>
      </c>
      <c r="CP66" s="230">
        <v>299250</v>
      </c>
      <c r="CQ66" s="229">
        <v>4.4000000000000003E-3</v>
      </c>
      <c r="CR66" s="230">
        <v>44941050</v>
      </c>
      <c r="CS66" s="230">
        <v>45413550</v>
      </c>
      <c r="CT66" s="230">
        <v>-472500</v>
      </c>
      <c r="CU66" s="229">
        <v>-1.04E-2</v>
      </c>
      <c r="CV66" s="230">
        <v>213138450</v>
      </c>
      <c r="CW66" s="230">
        <v>213273900</v>
      </c>
      <c r="CX66" s="230">
        <v>-135450</v>
      </c>
      <c r="CY66" s="229">
        <v>-5.9999999999999995E-4</v>
      </c>
      <c r="CZ66" s="228">
        <v>23.19</v>
      </c>
      <c r="DA66" s="228">
        <v>23.5</v>
      </c>
      <c r="DB66" s="228">
        <v>-0.31</v>
      </c>
      <c r="DC66" s="228">
        <v>-0.31</v>
      </c>
      <c r="DD66" s="228">
        <v>34.44</v>
      </c>
      <c r="DE66" s="228">
        <v>34.51</v>
      </c>
      <c r="DF66" s="228">
        <v>-11.25</v>
      </c>
      <c r="DG66" s="228">
        <v>-7.0000000000000007E-2</v>
      </c>
      <c r="DH66" s="228">
        <v>23.79</v>
      </c>
      <c r="DI66" s="228">
        <v>23.98</v>
      </c>
      <c r="DJ66" s="228">
        <v>-0.19</v>
      </c>
      <c r="DK66" s="228">
        <v>-0.19</v>
      </c>
      <c r="DL66" s="228">
        <v>21.68</v>
      </c>
      <c r="DM66" s="228">
        <v>22.26</v>
      </c>
      <c r="DN66" s="228">
        <v>-0.57999999999999996</v>
      </c>
      <c r="DO66" s="228">
        <v>-0.57999999999999996</v>
      </c>
      <c r="DP66" s="228">
        <v>0.65</v>
      </c>
      <c r="DQ66" s="228">
        <v>0.66</v>
      </c>
      <c r="DR66" s="228">
        <v>-0.01</v>
      </c>
      <c r="DS66" s="229">
        <v>-1.52E-2</v>
      </c>
      <c r="DT66" s="228">
        <v>180</v>
      </c>
      <c r="DU66" s="228">
        <v>170</v>
      </c>
      <c r="DV66" s="228">
        <v>0.4</v>
      </c>
      <c r="DW66" s="228">
        <v>0.39</v>
      </c>
      <c r="DX66" s="228">
        <v>0.01</v>
      </c>
      <c r="DY66" s="229">
        <v>2.5600000000000001E-2</v>
      </c>
      <c r="DZ66" s="229">
        <v>0.1128</v>
      </c>
      <c r="EA66" s="230">
        <v>10372950</v>
      </c>
      <c r="EB66" s="229">
        <v>5.8999999999999999E-3</v>
      </c>
      <c r="EC66" s="229">
        <v>0.1128</v>
      </c>
      <c r="ED66" s="228">
        <v>1.06</v>
      </c>
      <c r="EE66" s="229">
        <v>6.3E-3</v>
      </c>
      <c r="EF66" s="230">
        <v>2174874</v>
      </c>
      <c r="EG66" s="230">
        <v>1720862</v>
      </c>
      <c r="EH66" s="229">
        <v>0.26379999999999998</v>
      </c>
      <c r="EI66" s="229">
        <v>0.55589999999999995</v>
      </c>
      <c r="EJ66" s="231">
        <v>40101.22</v>
      </c>
      <c r="EK66" s="231">
        <v>15218.5</v>
      </c>
      <c r="EL66" s="231">
        <v>14172.71</v>
      </c>
      <c r="EM66" s="231">
        <v>4089</v>
      </c>
      <c r="EN66" s="231">
        <v>69492.429999999993</v>
      </c>
      <c r="EO66" s="231">
        <v>71987.360000000001</v>
      </c>
      <c r="EP66" s="231">
        <v>-2494.9299999999998</v>
      </c>
      <c r="EQ66" s="229">
        <v>-3.4700000000000002E-2</v>
      </c>
      <c r="ER66" s="231">
        <v>124139</v>
      </c>
      <c r="ES66" s="231">
        <v>78220</v>
      </c>
      <c r="ET66" s="231">
        <v>167387</v>
      </c>
      <c r="EU66" s="231">
        <v>402429848</v>
      </c>
      <c r="EV66" s="231">
        <v>369747</v>
      </c>
      <c r="EW66" s="231">
        <v>371412</v>
      </c>
      <c r="EX66" s="231">
        <v>-1665</v>
      </c>
      <c r="EY66" s="229">
        <v>-4.4999999999999997E-3</v>
      </c>
      <c r="EZ66" s="229">
        <v>0.52959999999999996</v>
      </c>
      <c r="FA66" s="227" t="s">
        <v>567</v>
      </c>
      <c r="FB66" s="161">
        <f t="shared" si="0"/>
        <v>11223450</v>
      </c>
    </row>
    <row r="67" spans="1:158" ht="17.25" hidden="1" thickBot="1" x14ac:dyDescent="0.3">
      <c r="A67" s="226">
        <v>46009</v>
      </c>
      <c r="B67" s="227" t="s">
        <v>170</v>
      </c>
      <c r="C67" s="227" t="s">
        <v>214</v>
      </c>
      <c r="D67" s="228">
        <v>375</v>
      </c>
      <c r="E67" s="231">
        <v>1959.4</v>
      </c>
      <c r="F67" s="231">
        <v>1951.9</v>
      </c>
      <c r="G67" s="228">
        <v>7.5</v>
      </c>
      <c r="H67" s="229">
        <v>3.8E-3</v>
      </c>
      <c r="I67" s="231">
        <v>1957.1</v>
      </c>
      <c r="J67" s="231">
        <v>1948.4</v>
      </c>
      <c r="K67" s="228">
        <v>8.6999999999999993</v>
      </c>
      <c r="L67" s="229">
        <v>4.4999999999999997E-3</v>
      </c>
      <c r="M67" s="231">
        <v>1959.4</v>
      </c>
      <c r="N67" s="231">
        <v>1951.9</v>
      </c>
      <c r="O67" s="228">
        <v>7.5</v>
      </c>
      <c r="P67" s="229">
        <v>3.8E-3</v>
      </c>
      <c r="Q67" s="231">
        <v>1971.4</v>
      </c>
      <c r="R67" s="231">
        <v>1964.3</v>
      </c>
      <c r="S67" s="228">
        <v>7.1</v>
      </c>
      <c r="T67" s="229">
        <v>3.5999999999999999E-3</v>
      </c>
      <c r="U67" s="231">
        <v>1980</v>
      </c>
      <c r="V67" s="231">
        <v>1981</v>
      </c>
      <c r="W67" s="228">
        <v>-1</v>
      </c>
      <c r="X67" s="229">
        <v>-5.0000000000000001E-4</v>
      </c>
      <c r="Y67" s="228">
        <v>2.2999999999999998</v>
      </c>
      <c r="Z67" s="228">
        <v>3.5</v>
      </c>
      <c r="AA67" s="228">
        <v>-1.2</v>
      </c>
      <c r="AB67" s="229">
        <v>1.1999999999999999E-3</v>
      </c>
      <c r="AC67" s="228">
        <v>2.2999999999999998</v>
      </c>
      <c r="AD67" s="228">
        <v>3.5</v>
      </c>
      <c r="AE67" s="228">
        <v>-1.2</v>
      </c>
      <c r="AF67" s="229">
        <v>1.1999999999999999E-3</v>
      </c>
      <c r="AG67" s="228">
        <v>14.3</v>
      </c>
      <c r="AH67" s="228">
        <v>15.9</v>
      </c>
      <c r="AI67" s="228">
        <v>-1.6</v>
      </c>
      <c r="AJ67" s="229">
        <v>7.3000000000000001E-3</v>
      </c>
      <c r="AK67" s="228">
        <v>22.9</v>
      </c>
      <c r="AL67" s="228">
        <v>32.6</v>
      </c>
      <c r="AM67" s="228">
        <v>-9.6999999999999993</v>
      </c>
      <c r="AN67" s="229">
        <v>1.17E-2</v>
      </c>
      <c r="AO67" s="231">
        <v>1948.08</v>
      </c>
      <c r="AP67" s="231">
        <v>1960.75</v>
      </c>
      <c r="AQ67" s="228">
        <v>0</v>
      </c>
      <c r="AR67" s="230">
        <v>1337250</v>
      </c>
      <c r="AS67" s="230">
        <v>1385625</v>
      </c>
      <c r="AT67" s="230">
        <v>-48375</v>
      </c>
      <c r="AU67" s="229">
        <v>-3.49E-2</v>
      </c>
      <c r="AV67" s="230">
        <v>1157625</v>
      </c>
      <c r="AW67" s="230">
        <v>1273875</v>
      </c>
      <c r="AX67" s="230">
        <v>-116250</v>
      </c>
      <c r="AY67" s="229">
        <v>-9.1300000000000006E-2</v>
      </c>
      <c r="AZ67" s="230">
        <v>174000</v>
      </c>
      <c r="BA67" s="230">
        <v>108375</v>
      </c>
      <c r="BB67" s="230">
        <v>65625</v>
      </c>
      <c r="BC67" s="229">
        <v>0.60550000000000004</v>
      </c>
      <c r="BD67" s="230">
        <v>5625</v>
      </c>
      <c r="BE67" s="230">
        <v>3375</v>
      </c>
      <c r="BF67" s="230">
        <v>2250</v>
      </c>
      <c r="BG67" s="229">
        <v>0.66669999999999996</v>
      </c>
      <c r="BH67" s="230">
        <v>3359625</v>
      </c>
      <c r="BI67" s="230">
        <v>3508875</v>
      </c>
      <c r="BJ67" s="230">
        <v>-149250</v>
      </c>
      <c r="BK67" s="229">
        <v>-4.2500000000000003E-2</v>
      </c>
      <c r="BL67" s="230">
        <v>1930125</v>
      </c>
      <c r="BM67" s="230">
        <v>1699125</v>
      </c>
      <c r="BN67" s="230">
        <v>231000</v>
      </c>
      <c r="BO67" s="229">
        <v>0.13600000000000001</v>
      </c>
      <c r="BP67" s="230">
        <v>6627000</v>
      </c>
      <c r="BQ67" s="230">
        <v>6593625</v>
      </c>
      <c r="BR67" s="230">
        <v>33375</v>
      </c>
      <c r="BS67" s="229">
        <v>5.1000000000000004E-3</v>
      </c>
      <c r="BT67" s="230">
        <v>365094</v>
      </c>
      <c r="BU67" s="230">
        <v>290956</v>
      </c>
      <c r="BV67" s="230">
        <v>74138</v>
      </c>
      <c r="BW67" s="229">
        <v>0.25480000000000003</v>
      </c>
      <c r="BX67" s="230">
        <v>14609625</v>
      </c>
      <c r="BY67" s="230">
        <v>14554125</v>
      </c>
      <c r="BZ67" s="230">
        <v>55500</v>
      </c>
      <c r="CA67" s="229">
        <v>3.8E-3</v>
      </c>
      <c r="CB67" s="230">
        <v>14275125</v>
      </c>
      <c r="CC67" s="230">
        <v>14258250</v>
      </c>
      <c r="CD67" s="230">
        <v>16875</v>
      </c>
      <c r="CE67" s="229">
        <v>1.1999999999999999E-3</v>
      </c>
      <c r="CF67" s="230">
        <v>311625</v>
      </c>
      <c r="CG67" s="230">
        <v>273750</v>
      </c>
      <c r="CH67" s="230">
        <v>37875</v>
      </c>
      <c r="CI67" s="229">
        <v>0.1384</v>
      </c>
      <c r="CJ67" s="230">
        <v>22875</v>
      </c>
      <c r="CK67" s="230">
        <v>22125</v>
      </c>
      <c r="CL67" s="228">
        <v>750</v>
      </c>
      <c r="CM67" s="229">
        <v>3.39E-2</v>
      </c>
      <c r="CN67" s="230">
        <v>4071375</v>
      </c>
      <c r="CO67" s="230">
        <v>4193250</v>
      </c>
      <c r="CP67" s="230">
        <v>-121875</v>
      </c>
      <c r="CQ67" s="229">
        <v>-2.9100000000000001E-2</v>
      </c>
      <c r="CR67" s="230">
        <v>2982750</v>
      </c>
      <c r="CS67" s="230">
        <v>3005625</v>
      </c>
      <c r="CT67" s="230">
        <v>-22875</v>
      </c>
      <c r="CU67" s="229">
        <v>-7.6E-3</v>
      </c>
      <c r="CV67" s="230">
        <v>21663750</v>
      </c>
      <c r="CW67" s="230">
        <v>21753000</v>
      </c>
      <c r="CX67" s="230">
        <v>-89250</v>
      </c>
      <c r="CY67" s="229">
        <v>-4.1000000000000003E-3</v>
      </c>
      <c r="CZ67" s="228">
        <v>22.1</v>
      </c>
      <c r="DA67" s="228">
        <v>23.41</v>
      </c>
      <c r="DB67" s="228">
        <v>-1.31</v>
      </c>
      <c r="DC67" s="228">
        <v>-1.31</v>
      </c>
      <c r="DD67" s="228">
        <v>35.869999999999997</v>
      </c>
      <c r="DE67" s="228">
        <v>35.950000000000003</v>
      </c>
      <c r="DF67" s="228">
        <v>-13.77</v>
      </c>
      <c r="DG67" s="228">
        <v>-0.08</v>
      </c>
      <c r="DH67" s="228">
        <v>22.14</v>
      </c>
      <c r="DI67" s="228">
        <v>23.62</v>
      </c>
      <c r="DJ67" s="228">
        <v>-1.48</v>
      </c>
      <c r="DK67" s="228">
        <v>-1.48</v>
      </c>
      <c r="DL67" s="228">
        <v>22.01</v>
      </c>
      <c r="DM67" s="228">
        <v>22.97</v>
      </c>
      <c r="DN67" s="228">
        <v>-0.96</v>
      </c>
      <c r="DO67" s="228">
        <v>-0.96</v>
      </c>
      <c r="DP67" s="228">
        <v>0.73</v>
      </c>
      <c r="DQ67" s="228">
        <v>0.72</v>
      </c>
      <c r="DR67" s="228">
        <v>0.01</v>
      </c>
      <c r="DS67" s="229">
        <v>1.3899999999999999E-2</v>
      </c>
      <c r="DT67" s="231">
        <v>2000</v>
      </c>
      <c r="DU67" s="231">
        <v>1900</v>
      </c>
      <c r="DV67" s="228">
        <v>0.56999999999999995</v>
      </c>
      <c r="DW67" s="228">
        <v>0.48</v>
      </c>
      <c r="DX67" s="228">
        <v>0.09</v>
      </c>
      <c r="DY67" s="229">
        <v>0.1875</v>
      </c>
      <c r="DZ67" s="229">
        <v>2.29E-2</v>
      </c>
      <c r="EA67" s="230">
        <v>295875</v>
      </c>
      <c r="EB67" s="229">
        <v>6.1000000000000004E-3</v>
      </c>
      <c r="EC67" s="229">
        <v>2.29E-2</v>
      </c>
      <c r="ED67" s="228">
        <v>12.67</v>
      </c>
      <c r="EE67" s="229">
        <v>6.4999999999999997E-3</v>
      </c>
      <c r="EF67" s="230">
        <v>145710</v>
      </c>
      <c r="EG67" s="230">
        <v>111160</v>
      </c>
      <c r="EH67" s="229">
        <v>0.31080000000000002</v>
      </c>
      <c r="EI67" s="229">
        <v>0.39910000000000001</v>
      </c>
      <c r="EJ67" s="231">
        <v>67539.100000000006</v>
      </c>
      <c r="EK67" s="231">
        <v>37473.1</v>
      </c>
      <c r="EL67" s="231">
        <v>26074.17</v>
      </c>
      <c r="EM67" s="231">
        <v>3623</v>
      </c>
      <c r="EN67" s="231">
        <v>131086.37</v>
      </c>
      <c r="EO67" s="231">
        <v>131485.79</v>
      </c>
      <c r="EP67" s="228">
        <v>-399.42</v>
      </c>
      <c r="EQ67" s="229">
        <v>-3.0000000000000001E-3</v>
      </c>
      <c r="ER67" s="231">
        <v>81395</v>
      </c>
      <c r="ES67" s="231">
        <v>56283</v>
      </c>
      <c r="ET67" s="231">
        <v>286303</v>
      </c>
      <c r="EU67" s="231">
        <v>22585180</v>
      </c>
      <c r="EV67" s="231">
        <v>423981</v>
      </c>
      <c r="EW67" s="231">
        <v>424721</v>
      </c>
      <c r="EX67" s="228">
        <v>-740</v>
      </c>
      <c r="EY67" s="229">
        <v>-1.6999999999999999E-3</v>
      </c>
      <c r="EZ67" s="229">
        <v>0.95920000000000005</v>
      </c>
      <c r="FA67" s="227" t="s">
        <v>555</v>
      </c>
      <c r="FB67" s="161">
        <f t="shared" ref="FB67:FB130" si="1">BX67-CB67</f>
        <v>334500</v>
      </c>
    </row>
    <row r="68" spans="1:158" ht="17.25" hidden="1" thickBot="1" x14ac:dyDescent="0.3">
      <c r="A68" s="226">
        <v>46009</v>
      </c>
      <c r="B68" s="227" t="s">
        <v>215</v>
      </c>
      <c r="C68" s="227" t="s">
        <v>631</v>
      </c>
      <c r="D68" s="228">
        <v>6975</v>
      </c>
      <c r="E68" s="228">
        <v>100.68</v>
      </c>
      <c r="F68" s="228">
        <v>101.13</v>
      </c>
      <c r="G68" s="228">
        <v>-0.45</v>
      </c>
      <c r="H68" s="229">
        <v>-4.4000000000000003E-3</v>
      </c>
      <c r="I68" s="228">
        <v>100.59</v>
      </c>
      <c r="J68" s="228">
        <v>100.95</v>
      </c>
      <c r="K68" s="228">
        <v>-0.36</v>
      </c>
      <c r="L68" s="229">
        <v>-3.5999999999999999E-3</v>
      </c>
      <c r="M68" s="228">
        <v>100.68</v>
      </c>
      <c r="N68" s="228">
        <v>101.13</v>
      </c>
      <c r="O68" s="228">
        <v>-0.45</v>
      </c>
      <c r="P68" s="229">
        <v>-4.4000000000000003E-3</v>
      </c>
      <c r="Q68" s="228">
        <v>101.33</v>
      </c>
      <c r="R68" s="228">
        <v>101.77</v>
      </c>
      <c r="S68" s="228">
        <v>-0.44</v>
      </c>
      <c r="T68" s="229">
        <v>-4.3E-3</v>
      </c>
      <c r="U68" s="228">
        <v>101.7</v>
      </c>
      <c r="V68" s="228">
        <v>102.09</v>
      </c>
      <c r="W68" s="228">
        <v>-0.39</v>
      </c>
      <c r="X68" s="229">
        <v>-3.8E-3</v>
      </c>
      <c r="Y68" s="228">
        <v>0.09</v>
      </c>
      <c r="Z68" s="228">
        <v>0.18</v>
      </c>
      <c r="AA68" s="228">
        <v>-0.09</v>
      </c>
      <c r="AB68" s="229">
        <v>8.9999999999999998E-4</v>
      </c>
      <c r="AC68" s="228">
        <v>0.09</v>
      </c>
      <c r="AD68" s="228">
        <v>0.18</v>
      </c>
      <c r="AE68" s="228">
        <v>-0.09</v>
      </c>
      <c r="AF68" s="229">
        <v>8.9999999999999998E-4</v>
      </c>
      <c r="AG68" s="228">
        <v>0.74</v>
      </c>
      <c r="AH68" s="228">
        <v>0.82</v>
      </c>
      <c r="AI68" s="228">
        <v>-0.08</v>
      </c>
      <c r="AJ68" s="229">
        <v>7.4000000000000003E-3</v>
      </c>
      <c r="AK68" s="228">
        <v>1.1100000000000001</v>
      </c>
      <c r="AL68" s="228">
        <v>1.1399999999999999</v>
      </c>
      <c r="AM68" s="228">
        <v>-0.03</v>
      </c>
      <c r="AN68" s="229">
        <v>1.0999999999999999E-2</v>
      </c>
      <c r="AO68" s="228">
        <v>100.27</v>
      </c>
      <c r="AP68" s="228">
        <v>100.93</v>
      </c>
      <c r="AQ68" s="228">
        <v>0</v>
      </c>
      <c r="AR68" s="230">
        <v>24140475</v>
      </c>
      <c r="AS68" s="230">
        <v>29594925</v>
      </c>
      <c r="AT68" s="230">
        <v>-5454450</v>
      </c>
      <c r="AU68" s="229">
        <v>-0.18429999999999999</v>
      </c>
      <c r="AV68" s="230">
        <v>19348650</v>
      </c>
      <c r="AW68" s="230">
        <v>24147450</v>
      </c>
      <c r="AX68" s="230">
        <v>-4798800</v>
      </c>
      <c r="AY68" s="229">
        <v>-0.19869999999999999</v>
      </c>
      <c r="AZ68" s="230">
        <v>4638375</v>
      </c>
      <c r="BA68" s="230">
        <v>4959225</v>
      </c>
      <c r="BB68" s="230">
        <v>-320850</v>
      </c>
      <c r="BC68" s="229">
        <v>-6.4699999999999994E-2</v>
      </c>
      <c r="BD68" s="230">
        <v>153450</v>
      </c>
      <c r="BE68" s="230">
        <v>488250</v>
      </c>
      <c r="BF68" s="230">
        <v>-334800</v>
      </c>
      <c r="BG68" s="229">
        <v>-0.68569999999999998</v>
      </c>
      <c r="BH68" s="230">
        <v>132239025</v>
      </c>
      <c r="BI68" s="230">
        <v>128953800</v>
      </c>
      <c r="BJ68" s="230">
        <v>3285225</v>
      </c>
      <c r="BK68" s="229">
        <v>2.5499999999999998E-2</v>
      </c>
      <c r="BL68" s="230">
        <v>55095525</v>
      </c>
      <c r="BM68" s="230">
        <v>59706000</v>
      </c>
      <c r="BN68" s="230">
        <v>-4610475</v>
      </c>
      <c r="BO68" s="229">
        <v>-7.7200000000000005E-2</v>
      </c>
      <c r="BP68" s="230">
        <v>211475025</v>
      </c>
      <c r="BQ68" s="230">
        <v>218254725</v>
      </c>
      <c r="BR68" s="230">
        <v>-6779700</v>
      </c>
      <c r="BS68" s="229">
        <v>-3.1099999999999999E-2</v>
      </c>
      <c r="BT68" s="230">
        <v>7539349</v>
      </c>
      <c r="BU68" s="230">
        <v>11526107</v>
      </c>
      <c r="BV68" s="230">
        <v>-3986758</v>
      </c>
      <c r="BW68" s="229">
        <v>-0.34589999999999999</v>
      </c>
      <c r="BX68" s="230">
        <v>172847475</v>
      </c>
      <c r="BY68" s="230">
        <v>173314800</v>
      </c>
      <c r="BZ68" s="230">
        <v>-467325</v>
      </c>
      <c r="CA68" s="229">
        <v>-2.7000000000000001E-3</v>
      </c>
      <c r="CB68" s="230">
        <v>152682750</v>
      </c>
      <c r="CC68" s="230">
        <v>154838025</v>
      </c>
      <c r="CD68" s="230">
        <v>-2155275</v>
      </c>
      <c r="CE68" s="229">
        <v>-1.3899999999999999E-2</v>
      </c>
      <c r="CF68" s="230">
        <v>17709525</v>
      </c>
      <c r="CG68" s="230">
        <v>16063425</v>
      </c>
      <c r="CH68" s="230">
        <v>1646100</v>
      </c>
      <c r="CI68" s="229">
        <v>0.10249999999999999</v>
      </c>
      <c r="CJ68" s="230">
        <v>2455200</v>
      </c>
      <c r="CK68" s="230">
        <v>2413350</v>
      </c>
      <c r="CL68" s="230">
        <v>41850</v>
      </c>
      <c r="CM68" s="229">
        <v>1.7299999999999999E-2</v>
      </c>
      <c r="CN68" s="230">
        <v>157635000</v>
      </c>
      <c r="CO68" s="230">
        <v>150053175</v>
      </c>
      <c r="CP68" s="230">
        <v>7581825</v>
      </c>
      <c r="CQ68" s="229">
        <v>5.0500000000000003E-2</v>
      </c>
      <c r="CR68" s="230">
        <v>79333650</v>
      </c>
      <c r="CS68" s="230">
        <v>81719100</v>
      </c>
      <c r="CT68" s="230">
        <v>-2385450</v>
      </c>
      <c r="CU68" s="229">
        <v>-2.92E-2</v>
      </c>
      <c r="CV68" s="230">
        <v>409816125</v>
      </c>
      <c r="CW68" s="230">
        <v>405087075</v>
      </c>
      <c r="CX68" s="230">
        <v>4729050</v>
      </c>
      <c r="CY68" s="229">
        <v>1.17E-2</v>
      </c>
      <c r="CZ68" s="228">
        <v>27.28</v>
      </c>
      <c r="DA68" s="228">
        <v>28.38</v>
      </c>
      <c r="DB68" s="228">
        <v>-1.1000000000000001</v>
      </c>
      <c r="DC68" s="228">
        <v>-1.1000000000000001</v>
      </c>
      <c r="DD68" s="228">
        <v>37.1</v>
      </c>
      <c r="DE68" s="228">
        <v>37.19</v>
      </c>
      <c r="DF68" s="228">
        <v>-9.82</v>
      </c>
      <c r="DG68" s="228">
        <v>-0.09</v>
      </c>
      <c r="DH68" s="228">
        <v>28.4</v>
      </c>
      <c r="DI68" s="228">
        <v>29.75</v>
      </c>
      <c r="DJ68" s="228">
        <v>-1.35</v>
      </c>
      <c r="DK68" s="228">
        <v>-1.35</v>
      </c>
      <c r="DL68" s="228">
        <v>24.59</v>
      </c>
      <c r="DM68" s="228">
        <v>25.43</v>
      </c>
      <c r="DN68" s="228">
        <v>-0.84</v>
      </c>
      <c r="DO68" s="228">
        <v>-0.84</v>
      </c>
      <c r="DP68" s="228">
        <v>0.5</v>
      </c>
      <c r="DQ68" s="228">
        <v>0.54</v>
      </c>
      <c r="DR68" s="228">
        <v>-0.04</v>
      </c>
      <c r="DS68" s="229">
        <v>-7.4099999999999999E-2</v>
      </c>
      <c r="DT68" s="228">
        <v>110</v>
      </c>
      <c r="DU68" s="228">
        <v>97</v>
      </c>
      <c r="DV68" s="228">
        <v>0.42</v>
      </c>
      <c r="DW68" s="228">
        <v>0.46</v>
      </c>
      <c r="DX68" s="228">
        <v>-0.04</v>
      </c>
      <c r="DY68" s="229">
        <v>-8.6999999999999994E-2</v>
      </c>
      <c r="DZ68" s="229">
        <v>0.1167</v>
      </c>
      <c r="EA68" s="230">
        <v>18476775</v>
      </c>
      <c r="EB68" s="229">
        <v>6.4999999999999997E-3</v>
      </c>
      <c r="EC68" s="229">
        <v>0.1167</v>
      </c>
      <c r="ED68" s="228">
        <v>0.66</v>
      </c>
      <c r="EE68" s="229">
        <v>6.6E-3</v>
      </c>
      <c r="EF68" s="230">
        <v>3166604</v>
      </c>
      <c r="EG68" s="230">
        <v>5082304</v>
      </c>
      <c r="EH68" s="229">
        <v>-0.37690000000000001</v>
      </c>
      <c r="EI68" s="229">
        <v>0.42</v>
      </c>
      <c r="EJ68" s="231">
        <v>140517.46</v>
      </c>
      <c r="EK68" s="231">
        <v>54890.68</v>
      </c>
      <c r="EL68" s="231">
        <v>24238.86</v>
      </c>
      <c r="EM68" s="231">
        <v>7155</v>
      </c>
      <c r="EN68" s="231">
        <v>219647</v>
      </c>
      <c r="EO68" s="231">
        <v>229343.16</v>
      </c>
      <c r="EP68" s="231">
        <v>-9696.16</v>
      </c>
      <c r="EQ68" s="229">
        <v>-4.2299999999999997E-2</v>
      </c>
      <c r="ER68" s="231">
        <v>169613</v>
      </c>
      <c r="ES68" s="231">
        <v>79387</v>
      </c>
      <c r="ET68" s="231">
        <v>174163</v>
      </c>
      <c r="EU68" s="231">
        <v>534704421</v>
      </c>
      <c r="EV68" s="231">
        <v>423163</v>
      </c>
      <c r="EW68" s="231">
        <v>418870</v>
      </c>
      <c r="EX68" s="231">
        <v>4293</v>
      </c>
      <c r="EY68" s="229">
        <v>1.0200000000000001E-2</v>
      </c>
      <c r="EZ68" s="229">
        <v>0.76639999999999997</v>
      </c>
      <c r="FA68" s="227" t="s">
        <v>568</v>
      </c>
      <c r="FB68" s="161">
        <f t="shared" si="1"/>
        <v>20164725</v>
      </c>
    </row>
    <row r="69" spans="1:158" ht="17.25" hidden="1" thickBot="1" x14ac:dyDescent="0.3">
      <c r="A69" s="226">
        <v>46009</v>
      </c>
      <c r="B69" s="227" t="s">
        <v>168</v>
      </c>
      <c r="C69" s="227" t="s">
        <v>217</v>
      </c>
      <c r="D69" s="228">
        <v>500</v>
      </c>
      <c r="E69" s="231">
        <v>1189.0999999999999</v>
      </c>
      <c r="F69" s="231">
        <v>1180.5</v>
      </c>
      <c r="G69" s="228">
        <v>8.6</v>
      </c>
      <c r="H69" s="229">
        <v>7.3000000000000001E-3</v>
      </c>
      <c r="I69" s="231">
        <v>1186.8</v>
      </c>
      <c r="J69" s="231">
        <v>1179.7</v>
      </c>
      <c r="K69" s="228">
        <v>7.1</v>
      </c>
      <c r="L69" s="229">
        <v>6.0000000000000001E-3</v>
      </c>
      <c r="M69" s="231">
        <v>1189.0999999999999</v>
      </c>
      <c r="N69" s="231">
        <v>1180.5</v>
      </c>
      <c r="O69" s="228">
        <v>8.6</v>
      </c>
      <c r="P69" s="229">
        <v>7.3000000000000001E-3</v>
      </c>
      <c r="Q69" s="231">
        <v>1196.5999999999999</v>
      </c>
      <c r="R69" s="231">
        <v>1187</v>
      </c>
      <c r="S69" s="228">
        <v>9.6</v>
      </c>
      <c r="T69" s="229">
        <v>8.0999999999999996E-3</v>
      </c>
      <c r="U69" s="231">
        <v>1192</v>
      </c>
      <c r="V69" s="231">
        <v>1189</v>
      </c>
      <c r="W69" s="228">
        <v>3</v>
      </c>
      <c r="X69" s="229">
        <v>2.5000000000000001E-3</v>
      </c>
      <c r="Y69" s="228">
        <v>2.2999999999999998</v>
      </c>
      <c r="Z69" s="228">
        <v>0.8</v>
      </c>
      <c r="AA69" s="228">
        <v>1.5</v>
      </c>
      <c r="AB69" s="229">
        <v>1.9E-3</v>
      </c>
      <c r="AC69" s="228">
        <v>2.2999999999999998</v>
      </c>
      <c r="AD69" s="228">
        <v>0.8</v>
      </c>
      <c r="AE69" s="228">
        <v>1.5</v>
      </c>
      <c r="AF69" s="229">
        <v>1.9E-3</v>
      </c>
      <c r="AG69" s="228">
        <v>9.8000000000000007</v>
      </c>
      <c r="AH69" s="228">
        <v>7.3</v>
      </c>
      <c r="AI69" s="228">
        <v>2.5</v>
      </c>
      <c r="AJ69" s="229">
        <v>8.3000000000000001E-3</v>
      </c>
      <c r="AK69" s="228">
        <v>5.2</v>
      </c>
      <c r="AL69" s="228">
        <v>9.3000000000000007</v>
      </c>
      <c r="AM69" s="228">
        <v>-4.0999999999999996</v>
      </c>
      <c r="AN69" s="229">
        <v>4.4000000000000003E-3</v>
      </c>
      <c r="AO69" s="231">
        <v>1182.1099999999999</v>
      </c>
      <c r="AP69" s="231">
        <v>1190.95</v>
      </c>
      <c r="AQ69" s="228">
        <v>0</v>
      </c>
      <c r="AR69" s="230">
        <v>993000</v>
      </c>
      <c r="AS69" s="230">
        <v>947500</v>
      </c>
      <c r="AT69" s="230">
        <v>45500</v>
      </c>
      <c r="AU69" s="229">
        <v>4.8000000000000001E-2</v>
      </c>
      <c r="AV69" s="230">
        <v>822500</v>
      </c>
      <c r="AW69" s="230">
        <v>868500</v>
      </c>
      <c r="AX69" s="230">
        <v>-46000</v>
      </c>
      <c r="AY69" s="229">
        <v>-5.2999999999999999E-2</v>
      </c>
      <c r="AZ69" s="230">
        <v>169500</v>
      </c>
      <c r="BA69" s="230">
        <v>76500</v>
      </c>
      <c r="BB69" s="230">
        <v>93000</v>
      </c>
      <c r="BC69" s="229">
        <v>1.2157</v>
      </c>
      <c r="BD69" s="230">
        <v>1000</v>
      </c>
      <c r="BE69" s="230">
        <v>2500</v>
      </c>
      <c r="BF69" s="230">
        <v>-1500</v>
      </c>
      <c r="BG69" s="229">
        <v>-0.6</v>
      </c>
      <c r="BH69" s="230">
        <v>2241500</v>
      </c>
      <c r="BI69" s="230">
        <v>2602000</v>
      </c>
      <c r="BJ69" s="230">
        <v>-360500</v>
      </c>
      <c r="BK69" s="229">
        <v>-0.13850000000000001</v>
      </c>
      <c r="BL69" s="230">
        <v>1249000</v>
      </c>
      <c r="BM69" s="230">
        <v>1268500</v>
      </c>
      <c r="BN69" s="230">
        <v>-19500</v>
      </c>
      <c r="BO69" s="229">
        <v>-1.54E-2</v>
      </c>
      <c r="BP69" s="230">
        <v>4483500</v>
      </c>
      <c r="BQ69" s="230">
        <v>4818000</v>
      </c>
      <c r="BR69" s="230">
        <v>-334500</v>
      </c>
      <c r="BS69" s="229">
        <v>-6.9400000000000003E-2</v>
      </c>
      <c r="BT69" s="230">
        <v>550438</v>
      </c>
      <c r="BU69" s="230">
        <v>952482</v>
      </c>
      <c r="BV69" s="230">
        <v>-402044</v>
      </c>
      <c r="BW69" s="229">
        <v>-0.42209999999999998</v>
      </c>
      <c r="BX69" s="230">
        <v>9414500</v>
      </c>
      <c r="BY69" s="230">
        <v>9289000</v>
      </c>
      <c r="BZ69" s="230">
        <v>125500</v>
      </c>
      <c r="CA69" s="229">
        <v>1.35E-2</v>
      </c>
      <c r="CB69" s="230">
        <v>9066500</v>
      </c>
      <c r="CC69" s="230">
        <v>9061000</v>
      </c>
      <c r="CD69" s="230">
        <v>5500</v>
      </c>
      <c r="CE69" s="229">
        <v>5.9999999999999995E-4</v>
      </c>
      <c r="CF69" s="230">
        <v>336500</v>
      </c>
      <c r="CG69" s="230">
        <v>215500</v>
      </c>
      <c r="CH69" s="230">
        <v>121000</v>
      </c>
      <c r="CI69" s="229">
        <v>0.5615</v>
      </c>
      <c r="CJ69" s="230">
        <v>11500</v>
      </c>
      <c r="CK69" s="230">
        <v>12500</v>
      </c>
      <c r="CL69" s="230">
        <v>-1000</v>
      </c>
      <c r="CM69" s="229">
        <v>-0.08</v>
      </c>
      <c r="CN69" s="230">
        <v>2827500</v>
      </c>
      <c r="CO69" s="230">
        <v>2993500</v>
      </c>
      <c r="CP69" s="230">
        <v>-166000</v>
      </c>
      <c r="CQ69" s="229">
        <v>-5.5500000000000001E-2</v>
      </c>
      <c r="CR69" s="230">
        <v>1980000</v>
      </c>
      <c r="CS69" s="230">
        <v>1930500</v>
      </c>
      <c r="CT69" s="230">
        <v>49500</v>
      </c>
      <c r="CU69" s="229">
        <v>2.5600000000000001E-2</v>
      </c>
      <c r="CV69" s="230">
        <v>14222000</v>
      </c>
      <c r="CW69" s="230">
        <v>14213000</v>
      </c>
      <c r="CX69" s="230">
        <v>9000</v>
      </c>
      <c r="CY69" s="229">
        <v>5.9999999999999995E-4</v>
      </c>
      <c r="CZ69" s="228">
        <v>20.45</v>
      </c>
      <c r="DA69" s="228">
        <v>21.28</v>
      </c>
      <c r="DB69" s="228">
        <v>-0.83</v>
      </c>
      <c r="DC69" s="228">
        <v>-0.83</v>
      </c>
      <c r="DD69" s="228">
        <v>28.8</v>
      </c>
      <c r="DE69" s="228">
        <v>28.86</v>
      </c>
      <c r="DF69" s="228">
        <v>-8.35</v>
      </c>
      <c r="DG69" s="228">
        <v>-0.06</v>
      </c>
      <c r="DH69" s="228">
        <v>20.07</v>
      </c>
      <c r="DI69" s="228">
        <v>20.99</v>
      </c>
      <c r="DJ69" s="228">
        <v>-0.92</v>
      </c>
      <c r="DK69" s="228">
        <v>-0.92</v>
      </c>
      <c r="DL69" s="228">
        <v>21.12</v>
      </c>
      <c r="DM69" s="228">
        <v>21.87</v>
      </c>
      <c r="DN69" s="228">
        <v>-0.75</v>
      </c>
      <c r="DO69" s="228">
        <v>-0.75</v>
      </c>
      <c r="DP69" s="228">
        <v>0.7</v>
      </c>
      <c r="DQ69" s="228">
        <v>0.64</v>
      </c>
      <c r="DR69" s="228">
        <v>0.06</v>
      </c>
      <c r="DS69" s="229">
        <v>9.3700000000000006E-2</v>
      </c>
      <c r="DT69" s="231">
        <v>1200</v>
      </c>
      <c r="DU69" s="231">
        <v>1140</v>
      </c>
      <c r="DV69" s="228">
        <v>0.56000000000000005</v>
      </c>
      <c r="DW69" s="228">
        <v>0.49</v>
      </c>
      <c r="DX69" s="228">
        <v>7.0000000000000007E-2</v>
      </c>
      <c r="DY69" s="229">
        <v>0.1429</v>
      </c>
      <c r="DZ69" s="229">
        <v>3.6999999999999998E-2</v>
      </c>
      <c r="EA69" s="230">
        <v>228000</v>
      </c>
      <c r="EB69" s="229">
        <v>6.3E-3</v>
      </c>
      <c r="EC69" s="229">
        <v>3.6999999999999998E-2</v>
      </c>
      <c r="ED69" s="228">
        <v>8.84</v>
      </c>
      <c r="EE69" s="229">
        <v>7.4999999999999997E-3</v>
      </c>
      <c r="EF69" s="230">
        <v>295048</v>
      </c>
      <c r="EG69" s="230">
        <v>665268</v>
      </c>
      <c r="EH69" s="229">
        <v>-0.55649999999999999</v>
      </c>
      <c r="EI69" s="229">
        <v>0.53600000000000003</v>
      </c>
      <c r="EJ69" s="231">
        <v>27407.26</v>
      </c>
      <c r="EK69" s="231">
        <v>14501.4</v>
      </c>
      <c r="EL69" s="231">
        <v>11753.4</v>
      </c>
      <c r="EM69" s="231">
        <v>3607</v>
      </c>
      <c r="EN69" s="231">
        <v>53662.06</v>
      </c>
      <c r="EO69" s="231">
        <v>57695.38</v>
      </c>
      <c r="EP69" s="231">
        <v>-4033.32</v>
      </c>
      <c r="EQ69" s="229">
        <v>-6.9900000000000004E-2</v>
      </c>
      <c r="ER69" s="231">
        <v>34438</v>
      </c>
      <c r="ES69" s="231">
        <v>22153</v>
      </c>
      <c r="ET69" s="231">
        <v>111973</v>
      </c>
      <c r="EU69" s="231">
        <v>58001204</v>
      </c>
      <c r="EV69" s="231">
        <v>168565</v>
      </c>
      <c r="EW69" s="231">
        <v>167667</v>
      </c>
      <c r="EX69" s="228">
        <v>898</v>
      </c>
      <c r="EY69" s="229">
        <v>5.4000000000000003E-3</v>
      </c>
      <c r="EZ69" s="229">
        <v>0.2452</v>
      </c>
      <c r="FA69" s="227" t="s">
        <v>555</v>
      </c>
      <c r="FB69" s="161">
        <f t="shared" si="1"/>
        <v>348000</v>
      </c>
    </row>
    <row r="70" spans="1:158" ht="17.25" hidden="1" thickBot="1" x14ac:dyDescent="0.3">
      <c r="A70" s="226">
        <v>46009</v>
      </c>
      <c r="B70" s="227" t="s">
        <v>206</v>
      </c>
      <c r="C70" s="227" t="s">
        <v>218</v>
      </c>
      <c r="D70" s="228">
        <v>275</v>
      </c>
      <c r="E70" s="231">
        <v>2005.5</v>
      </c>
      <c r="F70" s="231">
        <v>2018.7</v>
      </c>
      <c r="G70" s="228">
        <v>-13.2</v>
      </c>
      <c r="H70" s="229">
        <v>-6.4999999999999997E-3</v>
      </c>
      <c r="I70" s="231">
        <v>1999.8</v>
      </c>
      <c r="J70" s="231">
        <v>2014.9</v>
      </c>
      <c r="K70" s="228">
        <v>-15.1</v>
      </c>
      <c r="L70" s="229">
        <v>-7.4999999999999997E-3</v>
      </c>
      <c r="M70" s="231">
        <v>2005.5</v>
      </c>
      <c r="N70" s="231">
        <v>2018.7</v>
      </c>
      <c r="O70" s="228">
        <v>-13.2</v>
      </c>
      <c r="P70" s="229">
        <v>-6.4999999999999997E-3</v>
      </c>
      <c r="Q70" s="231">
        <v>2016.4</v>
      </c>
      <c r="R70" s="231">
        <v>2028.8</v>
      </c>
      <c r="S70" s="228">
        <v>-12.4</v>
      </c>
      <c r="T70" s="229">
        <v>-6.1000000000000004E-3</v>
      </c>
      <c r="U70" s="231">
        <v>2026.4</v>
      </c>
      <c r="V70" s="231">
        <v>2044</v>
      </c>
      <c r="W70" s="228">
        <v>-17.600000000000001</v>
      </c>
      <c r="X70" s="229">
        <v>-8.6E-3</v>
      </c>
      <c r="Y70" s="228">
        <v>5.7</v>
      </c>
      <c r="Z70" s="228">
        <v>3.8</v>
      </c>
      <c r="AA70" s="228">
        <v>1.9</v>
      </c>
      <c r="AB70" s="229">
        <v>2.8999999999999998E-3</v>
      </c>
      <c r="AC70" s="228">
        <v>5.7</v>
      </c>
      <c r="AD70" s="228">
        <v>3.8</v>
      </c>
      <c r="AE70" s="228">
        <v>1.9</v>
      </c>
      <c r="AF70" s="229">
        <v>2.8999999999999998E-3</v>
      </c>
      <c r="AG70" s="228">
        <v>16.600000000000001</v>
      </c>
      <c r="AH70" s="228">
        <v>13.9</v>
      </c>
      <c r="AI70" s="228">
        <v>2.7</v>
      </c>
      <c r="AJ70" s="229">
        <v>8.3000000000000001E-3</v>
      </c>
      <c r="AK70" s="228">
        <v>26.6</v>
      </c>
      <c r="AL70" s="228">
        <v>29.1</v>
      </c>
      <c r="AM70" s="228">
        <v>-2.5</v>
      </c>
      <c r="AN70" s="229">
        <v>1.3299999999999999E-2</v>
      </c>
      <c r="AO70" s="231">
        <v>2008.78</v>
      </c>
      <c r="AP70" s="231">
        <v>2017.22</v>
      </c>
      <c r="AQ70" s="228">
        <v>0</v>
      </c>
      <c r="AR70" s="230">
        <v>1177550</v>
      </c>
      <c r="AS70" s="230">
        <v>1335400</v>
      </c>
      <c r="AT70" s="230">
        <v>-157850</v>
      </c>
      <c r="AU70" s="229">
        <v>-0.1182</v>
      </c>
      <c r="AV70" s="230">
        <v>932800</v>
      </c>
      <c r="AW70" s="230">
        <v>842875</v>
      </c>
      <c r="AX70" s="230">
        <v>89925</v>
      </c>
      <c r="AY70" s="229">
        <v>0.1067</v>
      </c>
      <c r="AZ70" s="230">
        <v>240625</v>
      </c>
      <c r="BA70" s="230">
        <v>484275</v>
      </c>
      <c r="BB70" s="230">
        <v>-243650</v>
      </c>
      <c r="BC70" s="229">
        <v>-0.50309999999999999</v>
      </c>
      <c r="BD70" s="230">
        <v>4125</v>
      </c>
      <c r="BE70" s="230">
        <v>8250</v>
      </c>
      <c r="BF70" s="230">
        <v>-4125</v>
      </c>
      <c r="BG70" s="229">
        <v>-0.5</v>
      </c>
      <c r="BH70" s="230">
        <v>2770350</v>
      </c>
      <c r="BI70" s="230">
        <v>1131350</v>
      </c>
      <c r="BJ70" s="230">
        <v>1639000</v>
      </c>
      <c r="BK70" s="229">
        <v>1.4487000000000001</v>
      </c>
      <c r="BL70" s="230">
        <v>850025</v>
      </c>
      <c r="BM70" s="230">
        <v>685025</v>
      </c>
      <c r="BN70" s="230">
        <v>165000</v>
      </c>
      <c r="BO70" s="229">
        <v>0.2409</v>
      </c>
      <c r="BP70" s="230">
        <v>4797925</v>
      </c>
      <c r="BQ70" s="230">
        <v>3151775</v>
      </c>
      <c r="BR70" s="230">
        <v>1646150</v>
      </c>
      <c r="BS70" s="229">
        <v>0.52229999999999999</v>
      </c>
      <c r="BT70" s="230">
        <v>598349</v>
      </c>
      <c r="BU70" s="230">
        <v>289979</v>
      </c>
      <c r="BV70" s="230">
        <v>308370</v>
      </c>
      <c r="BW70" s="229">
        <v>1.0633999999999999</v>
      </c>
      <c r="BX70" s="230">
        <v>9269700</v>
      </c>
      <c r="BY70" s="230">
        <v>9103050</v>
      </c>
      <c r="BZ70" s="230">
        <v>166650</v>
      </c>
      <c r="CA70" s="229">
        <v>1.83E-2</v>
      </c>
      <c r="CB70" s="230">
        <v>8364400</v>
      </c>
      <c r="CC70" s="230">
        <v>8319575</v>
      </c>
      <c r="CD70" s="230">
        <v>44825</v>
      </c>
      <c r="CE70" s="229">
        <v>5.4000000000000003E-3</v>
      </c>
      <c r="CF70" s="230">
        <v>827475</v>
      </c>
      <c r="CG70" s="230">
        <v>705925</v>
      </c>
      <c r="CH70" s="230">
        <v>121550</v>
      </c>
      <c r="CI70" s="229">
        <v>0.17219999999999999</v>
      </c>
      <c r="CJ70" s="230">
        <v>77825</v>
      </c>
      <c r="CK70" s="230">
        <v>77550</v>
      </c>
      <c r="CL70" s="228">
        <v>275</v>
      </c>
      <c r="CM70" s="229">
        <v>3.5000000000000001E-3</v>
      </c>
      <c r="CN70" s="230">
        <v>3452900</v>
      </c>
      <c r="CO70" s="230">
        <v>3381950</v>
      </c>
      <c r="CP70" s="230">
        <v>70950</v>
      </c>
      <c r="CQ70" s="229">
        <v>2.1000000000000001E-2</v>
      </c>
      <c r="CR70" s="230">
        <v>2004475</v>
      </c>
      <c r="CS70" s="230">
        <v>2022625</v>
      </c>
      <c r="CT70" s="230">
        <v>-18150</v>
      </c>
      <c r="CU70" s="229">
        <v>-8.9999999999999993E-3</v>
      </c>
      <c r="CV70" s="230">
        <v>14727075</v>
      </c>
      <c r="CW70" s="230">
        <v>14507625</v>
      </c>
      <c r="CX70" s="230">
        <v>219450</v>
      </c>
      <c r="CY70" s="229">
        <v>1.5100000000000001E-2</v>
      </c>
      <c r="CZ70" s="228">
        <v>27.82</v>
      </c>
      <c r="DA70" s="228">
        <v>27.34</v>
      </c>
      <c r="DB70" s="228">
        <v>0.48</v>
      </c>
      <c r="DC70" s="228">
        <v>0.48</v>
      </c>
      <c r="DD70" s="228">
        <v>42.34</v>
      </c>
      <c r="DE70" s="228">
        <v>42.44</v>
      </c>
      <c r="DF70" s="228">
        <v>-14.52</v>
      </c>
      <c r="DG70" s="228">
        <v>-0.1</v>
      </c>
      <c r="DH70" s="228">
        <v>28.15</v>
      </c>
      <c r="DI70" s="228">
        <v>28.14</v>
      </c>
      <c r="DJ70" s="228">
        <v>0.01</v>
      </c>
      <c r="DK70" s="228">
        <v>0.01</v>
      </c>
      <c r="DL70" s="228">
        <v>26.73</v>
      </c>
      <c r="DM70" s="228">
        <v>26.03</v>
      </c>
      <c r="DN70" s="228">
        <v>0.7</v>
      </c>
      <c r="DO70" s="228">
        <v>0.7</v>
      </c>
      <c r="DP70" s="228">
        <v>0.57999999999999996</v>
      </c>
      <c r="DQ70" s="228">
        <v>0.6</v>
      </c>
      <c r="DR70" s="228">
        <v>-0.02</v>
      </c>
      <c r="DS70" s="229">
        <v>-3.3300000000000003E-2</v>
      </c>
      <c r="DT70" s="231">
        <v>2100</v>
      </c>
      <c r="DU70" s="231">
        <v>2100</v>
      </c>
      <c r="DV70" s="228">
        <v>0.31</v>
      </c>
      <c r="DW70" s="228">
        <v>0.61</v>
      </c>
      <c r="DX70" s="228">
        <v>-0.3</v>
      </c>
      <c r="DY70" s="229">
        <v>-0.49180000000000001</v>
      </c>
      <c r="DZ70" s="229">
        <v>9.7699999999999995E-2</v>
      </c>
      <c r="EA70" s="230">
        <v>783475</v>
      </c>
      <c r="EB70" s="229">
        <v>5.4000000000000003E-3</v>
      </c>
      <c r="EC70" s="229">
        <v>9.7699999999999995E-2</v>
      </c>
      <c r="ED70" s="228">
        <v>8.44</v>
      </c>
      <c r="EE70" s="229">
        <v>4.1999999999999997E-3</v>
      </c>
      <c r="EF70" s="230">
        <v>336520</v>
      </c>
      <c r="EG70" s="230">
        <v>136800</v>
      </c>
      <c r="EH70" s="229">
        <v>1.4599</v>
      </c>
      <c r="EI70" s="229">
        <v>0.56240000000000001</v>
      </c>
      <c r="EJ70" s="231">
        <v>58600.91</v>
      </c>
      <c r="EK70" s="231">
        <v>16888.95</v>
      </c>
      <c r="EL70" s="231">
        <v>23675.45</v>
      </c>
      <c r="EM70" s="231">
        <v>3334</v>
      </c>
      <c r="EN70" s="231">
        <v>99165.31</v>
      </c>
      <c r="EO70" s="231">
        <v>65031.24</v>
      </c>
      <c r="EP70" s="231">
        <v>34134.07</v>
      </c>
      <c r="EQ70" s="229">
        <v>0.52490000000000003</v>
      </c>
      <c r="ER70" s="231">
        <v>73876</v>
      </c>
      <c r="ES70" s="231">
        <v>40330</v>
      </c>
      <c r="ET70" s="231">
        <v>186010</v>
      </c>
      <c r="EU70" s="231">
        <v>24082879</v>
      </c>
      <c r="EV70" s="231">
        <v>300216</v>
      </c>
      <c r="EW70" s="231">
        <v>297216</v>
      </c>
      <c r="EX70" s="231">
        <v>3000</v>
      </c>
      <c r="EY70" s="229">
        <v>1.01E-2</v>
      </c>
      <c r="EZ70" s="229">
        <v>0.61150000000000004</v>
      </c>
      <c r="FA70" s="227" t="s">
        <v>567</v>
      </c>
      <c r="FB70" s="161">
        <f t="shared" si="1"/>
        <v>905300</v>
      </c>
    </row>
    <row r="71" spans="1:158" ht="17.25" hidden="1" thickBot="1" x14ac:dyDescent="0.3">
      <c r="A71" s="226">
        <v>46009</v>
      </c>
      <c r="B71" s="227" t="s">
        <v>157</v>
      </c>
      <c r="C71" s="227" t="s">
        <v>219</v>
      </c>
      <c r="D71" s="228">
        <v>250</v>
      </c>
      <c r="E71" s="231">
        <v>2812</v>
      </c>
      <c r="F71" s="231">
        <v>2813.1</v>
      </c>
      <c r="G71" s="228">
        <v>-1.1000000000000001</v>
      </c>
      <c r="H71" s="229">
        <v>-4.0000000000000002E-4</v>
      </c>
      <c r="I71" s="231">
        <v>2807.6</v>
      </c>
      <c r="J71" s="231">
        <v>2806.6</v>
      </c>
      <c r="K71" s="228">
        <v>1</v>
      </c>
      <c r="L71" s="229">
        <v>4.0000000000000002E-4</v>
      </c>
      <c r="M71" s="231">
        <v>2812</v>
      </c>
      <c r="N71" s="231">
        <v>2813.1</v>
      </c>
      <c r="O71" s="228">
        <v>-1.1000000000000001</v>
      </c>
      <c r="P71" s="229">
        <v>-4.0000000000000002E-4</v>
      </c>
      <c r="Q71" s="231">
        <v>2830.4</v>
      </c>
      <c r="R71" s="231">
        <v>2830.9</v>
      </c>
      <c r="S71" s="228">
        <v>-0.5</v>
      </c>
      <c r="T71" s="229">
        <v>-2.0000000000000001E-4</v>
      </c>
      <c r="U71" s="231">
        <v>2847</v>
      </c>
      <c r="V71" s="231">
        <v>2836.3</v>
      </c>
      <c r="W71" s="228">
        <v>10.7</v>
      </c>
      <c r="X71" s="229">
        <v>3.8E-3</v>
      </c>
      <c r="Y71" s="228">
        <v>4.4000000000000004</v>
      </c>
      <c r="Z71" s="228">
        <v>6.5</v>
      </c>
      <c r="AA71" s="228">
        <v>-2.1</v>
      </c>
      <c r="AB71" s="229">
        <v>1.6000000000000001E-3</v>
      </c>
      <c r="AC71" s="228">
        <v>4.4000000000000004</v>
      </c>
      <c r="AD71" s="228">
        <v>6.5</v>
      </c>
      <c r="AE71" s="228">
        <v>-2.1</v>
      </c>
      <c r="AF71" s="229">
        <v>1.6000000000000001E-3</v>
      </c>
      <c r="AG71" s="228">
        <v>22.8</v>
      </c>
      <c r="AH71" s="228">
        <v>24.3</v>
      </c>
      <c r="AI71" s="228">
        <v>-1.5</v>
      </c>
      <c r="AJ71" s="229">
        <v>8.0999999999999996E-3</v>
      </c>
      <c r="AK71" s="228">
        <v>39.4</v>
      </c>
      <c r="AL71" s="228">
        <v>29.7</v>
      </c>
      <c r="AM71" s="228">
        <v>9.6999999999999993</v>
      </c>
      <c r="AN71" s="229">
        <v>1.4E-2</v>
      </c>
      <c r="AO71" s="231">
        <v>2812.54</v>
      </c>
      <c r="AP71" s="231">
        <v>2830.09</v>
      </c>
      <c r="AQ71" s="228">
        <v>0</v>
      </c>
      <c r="AR71" s="230">
        <v>798000</v>
      </c>
      <c r="AS71" s="230">
        <v>983250</v>
      </c>
      <c r="AT71" s="230">
        <v>-185250</v>
      </c>
      <c r="AU71" s="229">
        <v>-0.18840000000000001</v>
      </c>
      <c r="AV71" s="230">
        <v>615250</v>
      </c>
      <c r="AW71" s="230">
        <v>686750</v>
      </c>
      <c r="AX71" s="230">
        <v>-71500</v>
      </c>
      <c r="AY71" s="229">
        <v>-0.1041</v>
      </c>
      <c r="AZ71" s="230">
        <v>178250</v>
      </c>
      <c r="BA71" s="230">
        <v>295750</v>
      </c>
      <c r="BB71" s="230">
        <v>-117500</v>
      </c>
      <c r="BC71" s="229">
        <v>-0.39729999999999999</v>
      </c>
      <c r="BD71" s="230">
        <v>4500</v>
      </c>
      <c r="BE71" s="228">
        <v>750</v>
      </c>
      <c r="BF71" s="230">
        <v>3750</v>
      </c>
      <c r="BG71" s="229">
        <v>5</v>
      </c>
      <c r="BH71" s="230">
        <v>1276500</v>
      </c>
      <c r="BI71" s="230">
        <v>1291750</v>
      </c>
      <c r="BJ71" s="230">
        <v>-15250</v>
      </c>
      <c r="BK71" s="229">
        <v>-1.18E-2</v>
      </c>
      <c r="BL71" s="230">
        <v>678000</v>
      </c>
      <c r="BM71" s="230">
        <v>681500</v>
      </c>
      <c r="BN71" s="230">
        <v>-3500</v>
      </c>
      <c r="BO71" s="229">
        <v>-5.1000000000000004E-3</v>
      </c>
      <c r="BP71" s="230">
        <v>2752500</v>
      </c>
      <c r="BQ71" s="230">
        <v>2956500</v>
      </c>
      <c r="BR71" s="230">
        <v>-204000</v>
      </c>
      <c r="BS71" s="229">
        <v>-6.9000000000000006E-2</v>
      </c>
      <c r="BT71" s="230">
        <v>261897</v>
      </c>
      <c r="BU71" s="230">
        <v>424509</v>
      </c>
      <c r="BV71" s="230">
        <v>-162612</v>
      </c>
      <c r="BW71" s="229">
        <v>-0.3831</v>
      </c>
      <c r="BX71" s="230">
        <v>16032750</v>
      </c>
      <c r="BY71" s="230">
        <v>15975250</v>
      </c>
      <c r="BZ71" s="230">
        <v>57500</v>
      </c>
      <c r="CA71" s="229">
        <v>3.5999999999999999E-3</v>
      </c>
      <c r="CB71" s="230">
        <v>14710250</v>
      </c>
      <c r="CC71" s="230">
        <v>14789250</v>
      </c>
      <c r="CD71" s="230">
        <v>-79000</v>
      </c>
      <c r="CE71" s="229">
        <v>-5.3E-3</v>
      </c>
      <c r="CF71" s="230">
        <v>1304000</v>
      </c>
      <c r="CG71" s="230">
        <v>1171250</v>
      </c>
      <c r="CH71" s="230">
        <v>132750</v>
      </c>
      <c r="CI71" s="229">
        <v>0.1133</v>
      </c>
      <c r="CJ71" s="230">
        <v>18500</v>
      </c>
      <c r="CK71" s="230">
        <v>14750</v>
      </c>
      <c r="CL71" s="230">
        <v>3750</v>
      </c>
      <c r="CM71" s="229">
        <v>0.25419999999999998</v>
      </c>
      <c r="CN71" s="230">
        <v>2182000</v>
      </c>
      <c r="CO71" s="230">
        <v>2191750</v>
      </c>
      <c r="CP71" s="230">
        <v>-9750</v>
      </c>
      <c r="CQ71" s="229">
        <v>-4.4000000000000003E-3</v>
      </c>
      <c r="CR71" s="230">
        <v>2383750</v>
      </c>
      <c r="CS71" s="230">
        <v>2393250</v>
      </c>
      <c r="CT71" s="230">
        <v>-9500</v>
      </c>
      <c r="CU71" s="229">
        <v>-4.0000000000000001E-3</v>
      </c>
      <c r="CV71" s="230">
        <v>20598500</v>
      </c>
      <c r="CW71" s="230">
        <v>20560250</v>
      </c>
      <c r="CX71" s="230">
        <v>38250</v>
      </c>
      <c r="CY71" s="229">
        <v>1.9E-3</v>
      </c>
      <c r="CZ71" s="228">
        <v>15.88</v>
      </c>
      <c r="DA71" s="228">
        <v>16.62</v>
      </c>
      <c r="DB71" s="228">
        <v>-0.74</v>
      </c>
      <c r="DC71" s="228">
        <v>-0.74</v>
      </c>
      <c r="DD71" s="228">
        <v>25.49</v>
      </c>
      <c r="DE71" s="228">
        <v>25.55</v>
      </c>
      <c r="DF71" s="228">
        <v>-9.61</v>
      </c>
      <c r="DG71" s="228">
        <v>-0.06</v>
      </c>
      <c r="DH71" s="228">
        <v>15.51</v>
      </c>
      <c r="DI71" s="228">
        <v>16.91</v>
      </c>
      <c r="DJ71" s="228">
        <v>-1.4</v>
      </c>
      <c r="DK71" s="228">
        <v>-1.4</v>
      </c>
      <c r="DL71" s="228">
        <v>16.59</v>
      </c>
      <c r="DM71" s="228">
        <v>16.059999999999999</v>
      </c>
      <c r="DN71" s="228">
        <v>0.53</v>
      </c>
      <c r="DO71" s="228">
        <v>0.53</v>
      </c>
      <c r="DP71" s="228">
        <v>1.0900000000000001</v>
      </c>
      <c r="DQ71" s="228">
        <v>1.0900000000000001</v>
      </c>
      <c r="DR71" s="228">
        <v>0</v>
      </c>
      <c r="DS71" s="229">
        <v>0</v>
      </c>
      <c r="DT71" s="231">
        <v>2800</v>
      </c>
      <c r="DU71" s="231">
        <v>2700</v>
      </c>
      <c r="DV71" s="228">
        <v>0.53</v>
      </c>
      <c r="DW71" s="228">
        <v>0.53</v>
      </c>
      <c r="DX71" s="228">
        <v>0</v>
      </c>
      <c r="DY71" s="229">
        <v>0</v>
      </c>
      <c r="DZ71" s="229">
        <v>8.2500000000000004E-2</v>
      </c>
      <c r="EA71" s="230">
        <v>1186000</v>
      </c>
      <c r="EB71" s="229">
        <v>6.4999999999999997E-3</v>
      </c>
      <c r="EC71" s="229">
        <v>8.2500000000000004E-2</v>
      </c>
      <c r="ED71" s="228">
        <v>17.55</v>
      </c>
      <c r="EE71" s="229">
        <v>6.1999999999999998E-3</v>
      </c>
      <c r="EF71" s="230">
        <v>149270</v>
      </c>
      <c r="EG71" s="230">
        <v>311950</v>
      </c>
      <c r="EH71" s="229">
        <v>-0.52149999999999996</v>
      </c>
      <c r="EI71" s="229">
        <v>0.56999999999999995</v>
      </c>
      <c r="EJ71" s="231">
        <v>36561.93</v>
      </c>
      <c r="EK71" s="231">
        <v>18736.689999999999</v>
      </c>
      <c r="EL71" s="231">
        <v>22476.799999999999</v>
      </c>
      <c r="EM71" s="231">
        <v>5692</v>
      </c>
      <c r="EN71" s="231">
        <v>77775.42</v>
      </c>
      <c r="EO71" s="231">
        <v>84066.46</v>
      </c>
      <c r="EP71" s="231">
        <v>-6291.04</v>
      </c>
      <c r="EQ71" s="229">
        <v>-7.4800000000000005E-2</v>
      </c>
      <c r="ER71" s="231">
        <v>62782</v>
      </c>
      <c r="ES71" s="231">
        <v>64357</v>
      </c>
      <c r="ET71" s="231">
        <v>451087</v>
      </c>
      <c r="EU71" s="231">
        <v>38514157</v>
      </c>
      <c r="EV71" s="231">
        <v>578227</v>
      </c>
      <c r="EW71" s="231">
        <v>577277</v>
      </c>
      <c r="EX71" s="228">
        <v>950</v>
      </c>
      <c r="EY71" s="229">
        <v>1.6000000000000001E-3</v>
      </c>
      <c r="EZ71" s="229">
        <v>0.53480000000000005</v>
      </c>
      <c r="FA71" s="227" t="s">
        <v>567</v>
      </c>
      <c r="FB71" s="161">
        <f t="shared" si="1"/>
        <v>1322500</v>
      </c>
    </row>
    <row r="72" spans="1:158" ht="17.25" hidden="1" thickBot="1" x14ac:dyDescent="0.3">
      <c r="A72" s="226">
        <v>46009</v>
      </c>
      <c r="B72" s="227" t="s">
        <v>184</v>
      </c>
      <c r="C72" s="227" t="s">
        <v>513</v>
      </c>
      <c r="D72" s="228">
        <v>150</v>
      </c>
      <c r="E72" s="231">
        <v>4263</v>
      </c>
      <c r="F72" s="231">
        <v>4242.1000000000004</v>
      </c>
      <c r="G72" s="228">
        <v>20.9</v>
      </c>
      <c r="H72" s="229">
        <v>4.8999999999999998E-3</v>
      </c>
      <c r="I72" s="231">
        <v>4259.5</v>
      </c>
      <c r="J72" s="231">
        <v>4228.3999999999996</v>
      </c>
      <c r="K72" s="228">
        <v>31.1</v>
      </c>
      <c r="L72" s="229">
        <v>7.4000000000000003E-3</v>
      </c>
      <c r="M72" s="231">
        <v>4263</v>
      </c>
      <c r="N72" s="231">
        <v>4242.1000000000004</v>
      </c>
      <c r="O72" s="228">
        <v>20.9</v>
      </c>
      <c r="P72" s="229">
        <v>4.8999999999999998E-3</v>
      </c>
      <c r="Q72" s="231">
        <v>4289.6000000000004</v>
      </c>
      <c r="R72" s="231">
        <v>4267.3</v>
      </c>
      <c r="S72" s="228">
        <v>22.3</v>
      </c>
      <c r="T72" s="229">
        <v>5.1999999999999998E-3</v>
      </c>
      <c r="U72" s="231">
        <v>4300.6000000000004</v>
      </c>
      <c r="V72" s="231">
        <v>4277.8999999999996</v>
      </c>
      <c r="W72" s="228">
        <v>22.7</v>
      </c>
      <c r="X72" s="229">
        <v>5.3E-3</v>
      </c>
      <c r="Y72" s="228">
        <v>3.5</v>
      </c>
      <c r="Z72" s="228">
        <v>13.7</v>
      </c>
      <c r="AA72" s="228">
        <v>-10.199999999999999</v>
      </c>
      <c r="AB72" s="229">
        <v>8.0000000000000004E-4</v>
      </c>
      <c r="AC72" s="228">
        <v>3.5</v>
      </c>
      <c r="AD72" s="228">
        <v>13.7</v>
      </c>
      <c r="AE72" s="228">
        <v>-10.199999999999999</v>
      </c>
      <c r="AF72" s="229">
        <v>8.0000000000000004E-4</v>
      </c>
      <c r="AG72" s="228">
        <v>30.1</v>
      </c>
      <c r="AH72" s="228">
        <v>38.9</v>
      </c>
      <c r="AI72" s="228">
        <v>-8.8000000000000007</v>
      </c>
      <c r="AJ72" s="229">
        <v>7.1000000000000004E-3</v>
      </c>
      <c r="AK72" s="228">
        <v>41.1</v>
      </c>
      <c r="AL72" s="228">
        <v>49.5</v>
      </c>
      <c r="AM72" s="228">
        <v>-8.4</v>
      </c>
      <c r="AN72" s="229">
        <v>9.5999999999999992E-3</v>
      </c>
      <c r="AO72" s="231">
        <v>4246.33</v>
      </c>
      <c r="AP72" s="231">
        <v>4270.87</v>
      </c>
      <c r="AQ72" s="228">
        <v>0</v>
      </c>
      <c r="AR72" s="230">
        <v>1002450</v>
      </c>
      <c r="AS72" s="230">
        <v>729750</v>
      </c>
      <c r="AT72" s="230">
        <v>272700</v>
      </c>
      <c r="AU72" s="229">
        <v>0.37369999999999998</v>
      </c>
      <c r="AV72" s="230">
        <v>722550</v>
      </c>
      <c r="AW72" s="230">
        <v>523350</v>
      </c>
      <c r="AX72" s="230">
        <v>199200</v>
      </c>
      <c r="AY72" s="229">
        <v>0.38059999999999999</v>
      </c>
      <c r="AZ72" s="230">
        <v>254850</v>
      </c>
      <c r="BA72" s="230">
        <v>187800</v>
      </c>
      <c r="BB72" s="230">
        <v>67050</v>
      </c>
      <c r="BC72" s="229">
        <v>0.35699999999999998</v>
      </c>
      <c r="BD72" s="230">
        <v>25050</v>
      </c>
      <c r="BE72" s="230">
        <v>18600</v>
      </c>
      <c r="BF72" s="230">
        <v>6450</v>
      </c>
      <c r="BG72" s="229">
        <v>0.3468</v>
      </c>
      <c r="BH72" s="230">
        <v>6958500</v>
      </c>
      <c r="BI72" s="230">
        <v>6190650</v>
      </c>
      <c r="BJ72" s="230">
        <v>767850</v>
      </c>
      <c r="BK72" s="229">
        <v>0.124</v>
      </c>
      <c r="BL72" s="230">
        <v>3209400</v>
      </c>
      <c r="BM72" s="230">
        <v>2749200</v>
      </c>
      <c r="BN72" s="230">
        <v>460200</v>
      </c>
      <c r="BO72" s="229">
        <v>0.16739999999999999</v>
      </c>
      <c r="BP72" s="230">
        <v>11170350</v>
      </c>
      <c r="BQ72" s="230">
        <v>9669600</v>
      </c>
      <c r="BR72" s="230">
        <v>1500750</v>
      </c>
      <c r="BS72" s="229">
        <v>0.1552</v>
      </c>
      <c r="BT72" s="230">
        <v>583980</v>
      </c>
      <c r="BU72" s="230">
        <v>669193</v>
      </c>
      <c r="BV72" s="230">
        <v>-85213</v>
      </c>
      <c r="BW72" s="229">
        <v>-0.1273</v>
      </c>
      <c r="BX72" s="230">
        <v>10409100</v>
      </c>
      <c r="BY72" s="230">
        <v>10456200</v>
      </c>
      <c r="BZ72" s="230">
        <v>-47100</v>
      </c>
      <c r="CA72" s="229">
        <v>-4.4999999999999997E-3</v>
      </c>
      <c r="CB72" s="230">
        <v>9099900</v>
      </c>
      <c r="CC72" s="230">
        <v>9246900</v>
      </c>
      <c r="CD72" s="230">
        <v>-147000</v>
      </c>
      <c r="CE72" s="229">
        <v>-1.5900000000000001E-2</v>
      </c>
      <c r="CF72" s="230">
        <v>1147800</v>
      </c>
      <c r="CG72" s="230">
        <v>1051800</v>
      </c>
      <c r="CH72" s="230">
        <v>96000</v>
      </c>
      <c r="CI72" s="229">
        <v>9.1300000000000006E-2</v>
      </c>
      <c r="CJ72" s="230">
        <v>161400</v>
      </c>
      <c r="CK72" s="230">
        <v>157500</v>
      </c>
      <c r="CL72" s="230">
        <v>3900</v>
      </c>
      <c r="CM72" s="229">
        <v>2.4799999999999999E-2</v>
      </c>
      <c r="CN72" s="230">
        <v>8830050</v>
      </c>
      <c r="CO72" s="230">
        <v>9140550</v>
      </c>
      <c r="CP72" s="230">
        <v>-310500</v>
      </c>
      <c r="CQ72" s="229">
        <v>-3.4000000000000002E-2</v>
      </c>
      <c r="CR72" s="230">
        <v>4604250</v>
      </c>
      <c r="CS72" s="230">
        <v>4512000</v>
      </c>
      <c r="CT72" s="230">
        <v>92250</v>
      </c>
      <c r="CU72" s="229">
        <v>2.0400000000000001E-2</v>
      </c>
      <c r="CV72" s="230">
        <v>23843400</v>
      </c>
      <c r="CW72" s="230">
        <v>24108750</v>
      </c>
      <c r="CX72" s="230">
        <v>-265350</v>
      </c>
      <c r="CY72" s="229">
        <v>-1.0999999999999999E-2</v>
      </c>
      <c r="CZ72" s="228">
        <v>23.91</v>
      </c>
      <c r="DA72" s="228">
        <v>25.34</v>
      </c>
      <c r="DB72" s="228">
        <v>-1.43</v>
      </c>
      <c r="DC72" s="228">
        <v>-1.43</v>
      </c>
      <c r="DD72" s="228">
        <v>37.630000000000003</v>
      </c>
      <c r="DE72" s="228">
        <v>37.72</v>
      </c>
      <c r="DF72" s="228">
        <v>-13.72</v>
      </c>
      <c r="DG72" s="228">
        <v>-0.09</v>
      </c>
      <c r="DH72" s="228">
        <v>24.42</v>
      </c>
      <c r="DI72" s="228">
        <v>26.25</v>
      </c>
      <c r="DJ72" s="228">
        <v>-1.83</v>
      </c>
      <c r="DK72" s="228">
        <v>-1.83</v>
      </c>
      <c r="DL72" s="228">
        <v>22.82</v>
      </c>
      <c r="DM72" s="228">
        <v>23.29</v>
      </c>
      <c r="DN72" s="228">
        <v>-0.47</v>
      </c>
      <c r="DO72" s="228">
        <v>-0.47</v>
      </c>
      <c r="DP72" s="228">
        <v>0.52</v>
      </c>
      <c r="DQ72" s="228">
        <v>0.49</v>
      </c>
      <c r="DR72" s="228">
        <v>0.03</v>
      </c>
      <c r="DS72" s="229">
        <v>6.1199999999999997E-2</v>
      </c>
      <c r="DT72" s="231">
        <v>4500</v>
      </c>
      <c r="DU72" s="231">
        <v>4500</v>
      </c>
      <c r="DV72" s="228">
        <v>0.46</v>
      </c>
      <c r="DW72" s="228">
        <v>0.44</v>
      </c>
      <c r="DX72" s="228">
        <v>0.02</v>
      </c>
      <c r="DY72" s="229">
        <v>4.5499999999999999E-2</v>
      </c>
      <c r="DZ72" s="229">
        <v>0.1258</v>
      </c>
      <c r="EA72" s="230">
        <v>1209300</v>
      </c>
      <c r="EB72" s="229">
        <v>6.1999999999999998E-3</v>
      </c>
      <c r="EC72" s="229">
        <v>0.1258</v>
      </c>
      <c r="ED72" s="228">
        <v>24.54</v>
      </c>
      <c r="EE72" s="229">
        <v>5.7999999999999996E-3</v>
      </c>
      <c r="EF72" s="230">
        <v>264516</v>
      </c>
      <c r="EG72" s="230">
        <v>348088</v>
      </c>
      <c r="EH72" s="229">
        <v>-0.24010000000000001</v>
      </c>
      <c r="EI72" s="229">
        <v>0.45300000000000001</v>
      </c>
      <c r="EJ72" s="231">
        <v>310792.33</v>
      </c>
      <c r="EK72" s="231">
        <v>136209.51999999999</v>
      </c>
      <c r="EL72" s="231">
        <v>42637.48</v>
      </c>
      <c r="EM72" s="231">
        <v>6629</v>
      </c>
      <c r="EN72" s="231">
        <v>489639.33</v>
      </c>
      <c r="EO72" s="231">
        <v>427398.77</v>
      </c>
      <c r="EP72" s="231">
        <v>62240.56</v>
      </c>
      <c r="EQ72" s="229">
        <v>0.14560000000000001</v>
      </c>
      <c r="ER72" s="231">
        <v>411017</v>
      </c>
      <c r="ES72" s="231">
        <v>203312</v>
      </c>
      <c r="ET72" s="231">
        <v>444106</v>
      </c>
      <c r="EU72" s="231">
        <v>28450886</v>
      </c>
      <c r="EV72" s="231">
        <v>1058434</v>
      </c>
      <c r="EW72" s="231">
        <v>1069515</v>
      </c>
      <c r="EX72" s="231">
        <v>-11081</v>
      </c>
      <c r="EY72" s="229">
        <v>-1.04E-2</v>
      </c>
      <c r="EZ72" s="229">
        <v>0.83809999999999996</v>
      </c>
      <c r="FA72" s="227" t="s">
        <v>556</v>
      </c>
      <c r="FB72" s="161">
        <f t="shared" si="1"/>
        <v>1309200</v>
      </c>
    </row>
    <row r="73" spans="1:158" ht="17.25" hidden="1" thickBot="1" x14ac:dyDescent="0.3">
      <c r="A73" s="226">
        <v>46009</v>
      </c>
      <c r="B73" s="227" t="s">
        <v>184</v>
      </c>
      <c r="C73" s="227" t="s">
        <v>220</v>
      </c>
      <c r="D73" s="228">
        <v>500</v>
      </c>
      <c r="E73" s="231">
        <v>1404.2</v>
      </c>
      <c r="F73" s="231">
        <v>1398.7</v>
      </c>
      <c r="G73" s="228">
        <v>5.5</v>
      </c>
      <c r="H73" s="229">
        <v>3.8999999999999998E-3</v>
      </c>
      <c r="I73" s="231">
        <v>1401.2</v>
      </c>
      <c r="J73" s="231">
        <v>1397</v>
      </c>
      <c r="K73" s="228">
        <v>4.2</v>
      </c>
      <c r="L73" s="229">
        <v>3.0000000000000001E-3</v>
      </c>
      <c r="M73" s="231">
        <v>1404.2</v>
      </c>
      <c r="N73" s="231">
        <v>1398.7</v>
      </c>
      <c r="O73" s="228">
        <v>5.5</v>
      </c>
      <c r="P73" s="229">
        <v>3.8999999999999998E-3</v>
      </c>
      <c r="Q73" s="231">
        <v>1411.5</v>
      </c>
      <c r="R73" s="231">
        <v>1405.2</v>
      </c>
      <c r="S73" s="228">
        <v>6.3</v>
      </c>
      <c r="T73" s="229">
        <v>4.4999999999999997E-3</v>
      </c>
      <c r="U73" s="231">
        <v>1419.4</v>
      </c>
      <c r="V73" s="231">
        <v>1412</v>
      </c>
      <c r="W73" s="228">
        <v>7.4</v>
      </c>
      <c r="X73" s="229">
        <v>5.1999999999999998E-3</v>
      </c>
      <c r="Y73" s="228">
        <v>3</v>
      </c>
      <c r="Z73" s="228">
        <v>1.7</v>
      </c>
      <c r="AA73" s="228">
        <v>1.3</v>
      </c>
      <c r="AB73" s="229">
        <v>2.0999999999999999E-3</v>
      </c>
      <c r="AC73" s="228">
        <v>3</v>
      </c>
      <c r="AD73" s="228">
        <v>1.7</v>
      </c>
      <c r="AE73" s="228">
        <v>1.3</v>
      </c>
      <c r="AF73" s="229">
        <v>2.0999999999999999E-3</v>
      </c>
      <c r="AG73" s="228">
        <v>10.3</v>
      </c>
      <c r="AH73" s="228">
        <v>8.1999999999999993</v>
      </c>
      <c r="AI73" s="228">
        <v>2.1</v>
      </c>
      <c r="AJ73" s="229">
        <v>7.4000000000000003E-3</v>
      </c>
      <c r="AK73" s="228">
        <v>18.2</v>
      </c>
      <c r="AL73" s="228">
        <v>15</v>
      </c>
      <c r="AM73" s="228">
        <v>3.2</v>
      </c>
      <c r="AN73" s="229">
        <v>1.2999999999999999E-2</v>
      </c>
      <c r="AO73" s="231">
        <v>1404.12</v>
      </c>
      <c r="AP73" s="231">
        <v>1410.87</v>
      </c>
      <c r="AQ73" s="228">
        <v>0</v>
      </c>
      <c r="AR73" s="230">
        <v>1101500</v>
      </c>
      <c r="AS73" s="230">
        <v>1057500</v>
      </c>
      <c r="AT73" s="230">
        <v>44000</v>
      </c>
      <c r="AU73" s="229">
        <v>4.1599999999999998E-2</v>
      </c>
      <c r="AV73" s="230">
        <v>933500</v>
      </c>
      <c r="AW73" s="230">
        <v>961500</v>
      </c>
      <c r="AX73" s="230">
        <v>-28000</v>
      </c>
      <c r="AY73" s="229">
        <v>-2.9100000000000001E-2</v>
      </c>
      <c r="AZ73" s="230">
        <v>158000</v>
      </c>
      <c r="BA73" s="230">
        <v>87500</v>
      </c>
      <c r="BB73" s="230">
        <v>70500</v>
      </c>
      <c r="BC73" s="229">
        <v>0.80569999999999997</v>
      </c>
      <c r="BD73" s="230">
        <v>10000</v>
      </c>
      <c r="BE73" s="230">
        <v>8500</v>
      </c>
      <c r="BF73" s="230">
        <v>1500</v>
      </c>
      <c r="BG73" s="229">
        <v>0.17649999999999999</v>
      </c>
      <c r="BH73" s="230">
        <v>2326000</v>
      </c>
      <c r="BI73" s="230">
        <v>1673000</v>
      </c>
      <c r="BJ73" s="230">
        <v>653000</v>
      </c>
      <c r="BK73" s="229">
        <v>0.39029999999999998</v>
      </c>
      <c r="BL73" s="230">
        <v>1144500</v>
      </c>
      <c r="BM73" s="230">
        <v>1230000</v>
      </c>
      <c r="BN73" s="230">
        <v>-85500</v>
      </c>
      <c r="BO73" s="229">
        <v>-6.9500000000000006E-2</v>
      </c>
      <c r="BP73" s="230">
        <v>4572000</v>
      </c>
      <c r="BQ73" s="230">
        <v>3960500</v>
      </c>
      <c r="BR73" s="230">
        <v>611500</v>
      </c>
      <c r="BS73" s="229">
        <v>0.15440000000000001</v>
      </c>
      <c r="BT73" s="230">
        <v>229960</v>
      </c>
      <c r="BU73" s="230">
        <v>357217</v>
      </c>
      <c r="BV73" s="230">
        <v>-127257</v>
      </c>
      <c r="BW73" s="229">
        <v>-0.35620000000000002</v>
      </c>
      <c r="BX73" s="230">
        <v>8339500</v>
      </c>
      <c r="BY73" s="230">
        <v>8538500</v>
      </c>
      <c r="BZ73" s="230">
        <v>-199000</v>
      </c>
      <c r="CA73" s="229">
        <v>-2.3300000000000001E-2</v>
      </c>
      <c r="CB73" s="230">
        <v>7847500</v>
      </c>
      <c r="CC73" s="230">
        <v>8040500</v>
      </c>
      <c r="CD73" s="230">
        <v>-193000</v>
      </c>
      <c r="CE73" s="229">
        <v>-2.4E-2</v>
      </c>
      <c r="CF73" s="230">
        <v>437000</v>
      </c>
      <c r="CG73" s="230">
        <v>449000</v>
      </c>
      <c r="CH73" s="230">
        <v>-12000</v>
      </c>
      <c r="CI73" s="229">
        <v>-2.6700000000000002E-2</v>
      </c>
      <c r="CJ73" s="230">
        <v>55000</v>
      </c>
      <c r="CK73" s="230">
        <v>49000</v>
      </c>
      <c r="CL73" s="230">
        <v>6000</v>
      </c>
      <c r="CM73" s="229">
        <v>0.12239999999999999</v>
      </c>
      <c r="CN73" s="230">
        <v>2604000</v>
      </c>
      <c r="CO73" s="230">
        <v>2682000</v>
      </c>
      <c r="CP73" s="230">
        <v>-78000</v>
      </c>
      <c r="CQ73" s="229">
        <v>-2.9100000000000001E-2</v>
      </c>
      <c r="CR73" s="230">
        <v>2132000</v>
      </c>
      <c r="CS73" s="230">
        <v>2041500</v>
      </c>
      <c r="CT73" s="230">
        <v>90500</v>
      </c>
      <c r="CU73" s="229">
        <v>4.4299999999999999E-2</v>
      </c>
      <c r="CV73" s="230">
        <v>13075500</v>
      </c>
      <c r="CW73" s="230">
        <v>13262000</v>
      </c>
      <c r="CX73" s="230">
        <v>-186500</v>
      </c>
      <c r="CY73" s="229">
        <v>-1.41E-2</v>
      </c>
      <c r="CZ73" s="228">
        <v>18.600000000000001</v>
      </c>
      <c r="DA73" s="228">
        <v>19.350000000000001</v>
      </c>
      <c r="DB73" s="228">
        <v>-0.75</v>
      </c>
      <c r="DC73" s="228">
        <v>-0.75</v>
      </c>
      <c r="DD73" s="228">
        <v>27.06</v>
      </c>
      <c r="DE73" s="228">
        <v>27.12</v>
      </c>
      <c r="DF73" s="228">
        <v>-8.4600000000000009</v>
      </c>
      <c r="DG73" s="228">
        <v>-0.06</v>
      </c>
      <c r="DH73" s="228">
        <v>18.649999999999999</v>
      </c>
      <c r="DI73" s="228">
        <v>20.07</v>
      </c>
      <c r="DJ73" s="228">
        <v>-1.42</v>
      </c>
      <c r="DK73" s="228">
        <v>-1.42</v>
      </c>
      <c r="DL73" s="228">
        <v>18.489999999999998</v>
      </c>
      <c r="DM73" s="228">
        <v>18.36</v>
      </c>
      <c r="DN73" s="228">
        <v>0.13</v>
      </c>
      <c r="DO73" s="228">
        <v>0.13</v>
      </c>
      <c r="DP73" s="228">
        <v>0.82</v>
      </c>
      <c r="DQ73" s="228">
        <v>0.76</v>
      </c>
      <c r="DR73" s="228">
        <v>0.06</v>
      </c>
      <c r="DS73" s="229">
        <v>7.8899999999999998E-2</v>
      </c>
      <c r="DT73" s="231">
        <v>1500</v>
      </c>
      <c r="DU73" s="231">
        <v>1380</v>
      </c>
      <c r="DV73" s="228">
        <v>0.49</v>
      </c>
      <c r="DW73" s="228">
        <v>0.74</v>
      </c>
      <c r="DX73" s="228">
        <v>-0.25</v>
      </c>
      <c r="DY73" s="229">
        <v>-0.33779999999999999</v>
      </c>
      <c r="DZ73" s="229">
        <v>5.8999999999999997E-2</v>
      </c>
      <c r="EA73" s="230">
        <v>498000</v>
      </c>
      <c r="EB73" s="229">
        <v>5.1999999999999998E-3</v>
      </c>
      <c r="EC73" s="229">
        <v>5.8999999999999997E-2</v>
      </c>
      <c r="ED73" s="228">
        <v>6.75</v>
      </c>
      <c r="EE73" s="229">
        <v>4.7999999999999996E-3</v>
      </c>
      <c r="EF73" s="230">
        <v>103998</v>
      </c>
      <c r="EG73" s="230">
        <v>195769</v>
      </c>
      <c r="EH73" s="229">
        <v>-0.46879999999999999</v>
      </c>
      <c r="EI73" s="229">
        <v>0.45219999999999999</v>
      </c>
      <c r="EJ73" s="231">
        <v>34122.730000000003</v>
      </c>
      <c r="EK73" s="231">
        <v>15589.11</v>
      </c>
      <c r="EL73" s="231">
        <v>15478.47</v>
      </c>
      <c r="EM73" s="231">
        <v>1979</v>
      </c>
      <c r="EN73" s="231">
        <v>65190.31</v>
      </c>
      <c r="EO73" s="231">
        <v>56782.3</v>
      </c>
      <c r="EP73" s="231">
        <v>8408.01</v>
      </c>
      <c r="EQ73" s="229">
        <v>0.14810000000000001</v>
      </c>
      <c r="ER73" s="231">
        <v>38623</v>
      </c>
      <c r="ES73" s="231">
        <v>29686</v>
      </c>
      <c r="ET73" s="231">
        <v>117144</v>
      </c>
      <c r="EU73" s="231">
        <v>38133766</v>
      </c>
      <c r="EV73" s="231">
        <v>185453</v>
      </c>
      <c r="EW73" s="231">
        <v>187743</v>
      </c>
      <c r="EX73" s="231">
        <v>-2290</v>
      </c>
      <c r="EY73" s="229">
        <v>-1.2200000000000001E-2</v>
      </c>
      <c r="EZ73" s="229">
        <v>0.34289999999999998</v>
      </c>
      <c r="FA73" s="227" t="s">
        <v>556</v>
      </c>
      <c r="FB73" s="161">
        <f t="shared" si="1"/>
        <v>492000</v>
      </c>
    </row>
    <row r="74" spans="1:158" ht="17.25" hidden="1" thickBot="1" x14ac:dyDescent="0.3">
      <c r="A74" s="226">
        <v>46009</v>
      </c>
      <c r="B74" s="227" t="s">
        <v>221</v>
      </c>
      <c r="C74" s="227" t="s">
        <v>222</v>
      </c>
      <c r="D74" s="228">
        <v>350</v>
      </c>
      <c r="E74" s="231">
        <v>1666.3</v>
      </c>
      <c r="F74" s="231">
        <v>1661</v>
      </c>
      <c r="G74" s="228">
        <v>5.3</v>
      </c>
      <c r="H74" s="229">
        <v>3.2000000000000002E-3</v>
      </c>
      <c r="I74" s="231">
        <v>1661.4</v>
      </c>
      <c r="J74" s="231">
        <v>1655</v>
      </c>
      <c r="K74" s="228">
        <v>6.4</v>
      </c>
      <c r="L74" s="229">
        <v>3.8999999999999998E-3</v>
      </c>
      <c r="M74" s="231">
        <v>1666.3</v>
      </c>
      <c r="N74" s="231">
        <v>1661</v>
      </c>
      <c r="O74" s="228">
        <v>5.3</v>
      </c>
      <c r="P74" s="229">
        <v>3.2000000000000002E-3</v>
      </c>
      <c r="Q74" s="231">
        <v>1664.3</v>
      </c>
      <c r="R74" s="231">
        <v>1658.5</v>
      </c>
      <c r="S74" s="228">
        <v>5.8</v>
      </c>
      <c r="T74" s="229">
        <v>3.5000000000000001E-3</v>
      </c>
      <c r="U74" s="231">
        <v>1673.9</v>
      </c>
      <c r="V74" s="231">
        <v>1667.4</v>
      </c>
      <c r="W74" s="228">
        <v>6.5</v>
      </c>
      <c r="X74" s="229">
        <v>3.8999999999999998E-3</v>
      </c>
      <c r="Y74" s="228">
        <v>4.9000000000000004</v>
      </c>
      <c r="Z74" s="228">
        <v>6</v>
      </c>
      <c r="AA74" s="228">
        <v>-1.1000000000000001</v>
      </c>
      <c r="AB74" s="229">
        <v>2.8999999999999998E-3</v>
      </c>
      <c r="AC74" s="228">
        <v>4.9000000000000004</v>
      </c>
      <c r="AD74" s="228">
        <v>6</v>
      </c>
      <c r="AE74" s="228">
        <v>-1.1000000000000001</v>
      </c>
      <c r="AF74" s="229">
        <v>2.8999999999999998E-3</v>
      </c>
      <c r="AG74" s="228">
        <v>2.9</v>
      </c>
      <c r="AH74" s="228">
        <v>3.5</v>
      </c>
      <c r="AI74" s="228">
        <v>-0.6</v>
      </c>
      <c r="AJ74" s="229">
        <v>1.6999999999999999E-3</v>
      </c>
      <c r="AK74" s="228">
        <v>12.5</v>
      </c>
      <c r="AL74" s="228">
        <v>12.4</v>
      </c>
      <c r="AM74" s="228">
        <v>0.1</v>
      </c>
      <c r="AN74" s="229">
        <v>7.4999999999999997E-3</v>
      </c>
      <c r="AO74" s="231">
        <v>1666.66</v>
      </c>
      <c r="AP74" s="231">
        <v>1663.99</v>
      </c>
      <c r="AQ74" s="228">
        <v>0</v>
      </c>
      <c r="AR74" s="230">
        <v>2363200</v>
      </c>
      <c r="AS74" s="230">
        <v>1625050</v>
      </c>
      <c r="AT74" s="230">
        <v>738150</v>
      </c>
      <c r="AU74" s="229">
        <v>0.45419999999999999</v>
      </c>
      <c r="AV74" s="230">
        <v>1838900</v>
      </c>
      <c r="AW74" s="230">
        <v>1370600</v>
      </c>
      <c r="AX74" s="230">
        <v>468300</v>
      </c>
      <c r="AY74" s="229">
        <v>0.3417</v>
      </c>
      <c r="AZ74" s="230">
        <v>498050</v>
      </c>
      <c r="BA74" s="230">
        <v>233450</v>
      </c>
      <c r="BB74" s="230">
        <v>264600</v>
      </c>
      <c r="BC74" s="229">
        <v>1.1334</v>
      </c>
      <c r="BD74" s="230">
        <v>26250</v>
      </c>
      <c r="BE74" s="230">
        <v>21000</v>
      </c>
      <c r="BF74" s="230">
        <v>5250</v>
      </c>
      <c r="BG74" s="229">
        <v>0.25</v>
      </c>
      <c r="BH74" s="230">
        <v>11208750</v>
      </c>
      <c r="BI74" s="230">
        <v>5045250</v>
      </c>
      <c r="BJ74" s="230">
        <v>6163500</v>
      </c>
      <c r="BK74" s="229">
        <v>1.2216</v>
      </c>
      <c r="BL74" s="230">
        <v>3411450</v>
      </c>
      <c r="BM74" s="230">
        <v>2504600</v>
      </c>
      <c r="BN74" s="230">
        <v>906850</v>
      </c>
      <c r="BO74" s="229">
        <v>0.36209999999999998</v>
      </c>
      <c r="BP74" s="230">
        <v>16983400</v>
      </c>
      <c r="BQ74" s="230">
        <v>9174900</v>
      </c>
      <c r="BR74" s="230">
        <v>7808500</v>
      </c>
      <c r="BS74" s="229">
        <v>0.85109999999999997</v>
      </c>
      <c r="BT74" s="230">
        <v>2002985</v>
      </c>
      <c r="BU74" s="230">
        <v>1434869</v>
      </c>
      <c r="BV74" s="230">
        <v>568116</v>
      </c>
      <c r="BW74" s="229">
        <v>0.39589999999999997</v>
      </c>
      <c r="BX74" s="230">
        <v>17151750</v>
      </c>
      <c r="BY74" s="230">
        <v>17044650</v>
      </c>
      <c r="BZ74" s="230">
        <v>107100</v>
      </c>
      <c r="CA74" s="229">
        <v>6.3E-3</v>
      </c>
      <c r="CB74" s="230">
        <v>15703450</v>
      </c>
      <c r="CC74" s="230">
        <v>15855000</v>
      </c>
      <c r="CD74" s="230">
        <v>-151550</v>
      </c>
      <c r="CE74" s="229">
        <v>-9.5999999999999992E-3</v>
      </c>
      <c r="CF74" s="230">
        <v>1354500</v>
      </c>
      <c r="CG74" s="230">
        <v>1099350</v>
      </c>
      <c r="CH74" s="230">
        <v>255150</v>
      </c>
      <c r="CI74" s="229">
        <v>0.2321</v>
      </c>
      <c r="CJ74" s="230">
        <v>93800</v>
      </c>
      <c r="CK74" s="230">
        <v>90300</v>
      </c>
      <c r="CL74" s="230">
        <v>3500</v>
      </c>
      <c r="CM74" s="229">
        <v>3.8800000000000001E-2</v>
      </c>
      <c r="CN74" s="230">
        <v>7481250</v>
      </c>
      <c r="CO74" s="230">
        <v>7372750</v>
      </c>
      <c r="CP74" s="230">
        <v>108500</v>
      </c>
      <c r="CQ74" s="229">
        <v>1.47E-2</v>
      </c>
      <c r="CR74" s="230">
        <v>4389350</v>
      </c>
      <c r="CS74" s="230">
        <v>4213300</v>
      </c>
      <c r="CT74" s="230">
        <v>176050</v>
      </c>
      <c r="CU74" s="229">
        <v>4.1799999999999997E-2</v>
      </c>
      <c r="CV74" s="230">
        <v>29022350</v>
      </c>
      <c r="CW74" s="230">
        <v>28630700</v>
      </c>
      <c r="CX74" s="230">
        <v>391650</v>
      </c>
      <c r="CY74" s="229">
        <v>1.37E-2</v>
      </c>
      <c r="CZ74" s="228">
        <v>19.03</v>
      </c>
      <c r="DA74" s="228">
        <v>18.809999999999999</v>
      </c>
      <c r="DB74" s="228">
        <v>0.22</v>
      </c>
      <c r="DC74" s="228">
        <v>0.22</v>
      </c>
      <c r="DD74" s="228">
        <v>27.98</v>
      </c>
      <c r="DE74" s="228">
        <v>28.04</v>
      </c>
      <c r="DF74" s="228">
        <v>-8.9499999999999993</v>
      </c>
      <c r="DG74" s="228">
        <v>-0.06</v>
      </c>
      <c r="DH74" s="228">
        <v>18.96</v>
      </c>
      <c r="DI74" s="228">
        <v>18.649999999999999</v>
      </c>
      <c r="DJ74" s="228">
        <v>0.31</v>
      </c>
      <c r="DK74" s="228">
        <v>0.31</v>
      </c>
      <c r="DL74" s="228">
        <v>19.239999999999998</v>
      </c>
      <c r="DM74" s="228">
        <v>19.11</v>
      </c>
      <c r="DN74" s="228">
        <v>0.13</v>
      </c>
      <c r="DO74" s="228">
        <v>0.13</v>
      </c>
      <c r="DP74" s="228">
        <v>0.59</v>
      </c>
      <c r="DQ74" s="228">
        <v>0.56999999999999995</v>
      </c>
      <c r="DR74" s="228">
        <v>0.02</v>
      </c>
      <c r="DS74" s="229">
        <v>3.5099999999999999E-2</v>
      </c>
      <c r="DT74" s="231">
        <v>1720</v>
      </c>
      <c r="DU74" s="231">
        <v>1440</v>
      </c>
      <c r="DV74" s="228">
        <v>0.3</v>
      </c>
      <c r="DW74" s="228">
        <v>0.5</v>
      </c>
      <c r="DX74" s="228">
        <v>-0.2</v>
      </c>
      <c r="DY74" s="229">
        <v>-0.4</v>
      </c>
      <c r="DZ74" s="229">
        <v>8.4400000000000003E-2</v>
      </c>
      <c r="EA74" s="230">
        <v>1189650</v>
      </c>
      <c r="EB74" s="229">
        <v>-1.1999999999999999E-3</v>
      </c>
      <c r="EC74" s="229">
        <v>8.4400000000000003E-2</v>
      </c>
      <c r="ED74" s="228">
        <v>-2.67</v>
      </c>
      <c r="EE74" s="229">
        <v>-1.6000000000000001E-3</v>
      </c>
      <c r="EF74" s="230">
        <v>1178807</v>
      </c>
      <c r="EG74" s="230">
        <v>934976</v>
      </c>
      <c r="EH74" s="229">
        <v>0.26079999999999998</v>
      </c>
      <c r="EI74" s="229">
        <v>0.58850000000000002</v>
      </c>
      <c r="EJ74" s="231">
        <v>191244.57</v>
      </c>
      <c r="EK74" s="231">
        <v>56553.78</v>
      </c>
      <c r="EL74" s="231">
        <v>39375.14</v>
      </c>
      <c r="EM74" s="231">
        <v>5917</v>
      </c>
      <c r="EN74" s="231">
        <v>287173.49</v>
      </c>
      <c r="EO74" s="231">
        <v>154298.20000000001</v>
      </c>
      <c r="EP74" s="231">
        <v>132875.29</v>
      </c>
      <c r="EQ74" s="229">
        <v>0.86119999999999997</v>
      </c>
      <c r="ER74" s="231">
        <v>128861</v>
      </c>
      <c r="ES74" s="231">
        <v>69044</v>
      </c>
      <c r="ET74" s="231">
        <v>285780</v>
      </c>
      <c r="EU74" s="231">
        <v>145993539</v>
      </c>
      <c r="EV74" s="231">
        <v>483684</v>
      </c>
      <c r="EW74" s="231">
        <v>476246</v>
      </c>
      <c r="EX74" s="231">
        <v>7438</v>
      </c>
      <c r="EY74" s="229">
        <v>1.5599999999999999E-2</v>
      </c>
      <c r="EZ74" s="229">
        <v>0.1988</v>
      </c>
      <c r="FA74" s="227" t="s">
        <v>555</v>
      </c>
      <c r="FB74" s="161">
        <f t="shared" si="1"/>
        <v>1448300</v>
      </c>
    </row>
    <row r="75" spans="1:158" ht="17.25" hidden="1" thickBot="1" x14ac:dyDescent="0.3">
      <c r="A75" s="226">
        <v>46009</v>
      </c>
      <c r="B75" s="227" t="s">
        <v>175</v>
      </c>
      <c r="C75" s="227" t="s">
        <v>475</v>
      </c>
      <c r="D75" s="228">
        <v>300</v>
      </c>
      <c r="E75" s="231">
        <v>2732.7</v>
      </c>
      <c r="F75" s="231">
        <v>2548.9</v>
      </c>
      <c r="G75" s="228">
        <v>183.8</v>
      </c>
      <c r="H75" s="229">
        <v>7.2099999999999997E-2</v>
      </c>
      <c r="I75" s="231">
        <v>2722.9</v>
      </c>
      <c r="J75" s="231">
        <v>2541.1999999999998</v>
      </c>
      <c r="K75" s="228">
        <v>181.7</v>
      </c>
      <c r="L75" s="229">
        <v>7.1499999999999994E-2</v>
      </c>
      <c r="M75" s="231">
        <v>2732.7</v>
      </c>
      <c r="N75" s="231">
        <v>2548.9</v>
      </c>
      <c r="O75" s="228">
        <v>183.8</v>
      </c>
      <c r="P75" s="229">
        <v>7.2099999999999997E-2</v>
      </c>
      <c r="Q75" s="231">
        <v>2748.5</v>
      </c>
      <c r="R75" s="231">
        <v>2563.8000000000002</v>
      </c>
      <c r="S75" s="228">
        <v>184.7</v>
      </c>
      <c r="T75" s="229">
        <v>7.1999999999999995E-2</v>
      </c>
      <c r="U75" s="231">
        <v>2763.2</v>
      </c>
      <c r="V75" s="231">
        <v>2579.5</v>
      </c>
      <c r="W75" s="228">
        <v>183.7</v>
      </c>
      <c r="X75" s="229">
        <v>7.1199999999999999E-2</v>
      </c>
      <c r="Y75" s="228">
        <v>9.8000000000000007</v>
      </c>
      <c r="Z75" s="228">
        <v>7.7</v>
      </c>
      <c r="AA75" s="228">
        <v>2.1</v>
      </c>
      <c r="AB75" s="229">
        <v>3.5999999999999999E-3</v>
      </c>
      <c r="AC75" s="228">
        <v>9.8000000000000007</v>
      </c>
      <c r="AD75" s="228">
        <v>7.7</v>
      </c>
      <c r="AE75" s="228">
        <v>2.1</v>
      </c>
      <c r="AF75" s="229">
        <v>3.5999999999999999E-3</v>
      </c>
      <c r="AG75" s="228">
        <v>25.6</v>
      </c>
      <c r="AH75" s="228">
        <v>22.6</v>
      </c>
      <c r="AI75" s="228">
        <v>3</v>
      </c>
      <c r="AJ75" s="229">
        <v>9.4000000000000004E-3</v>
      </c>
      <c r="AK75" s="228">
        <v>40.299999999999997</v>
      </c>
      <c r="AL75" s="228">
        <v>38.299999999999997</v>
      </c>
      <c r="AM75" s="228">
        <v>2</v>
      </c>
      <c r="AN75" s="229">
        <v>1.4800000000000001E-2</v>
      </c>
      <c r="AO75" s="231">
        <v>2691</v>
      </c>
      <c r="AP75" s="231">
        <v>2712.16</v>
      </c>
      <c r="AQ75" s="228">
        <v>0</v>
      </c>
      <c r="AR75" s="230">
        <v>5221800</v>
      </c>
      <c r="AS75" s="230">
        <v>1247100</v>
      </c>
      <c r="AT75" s="230">
        <v>3974700</v>
      </c>
      <c r="AU75" s="229">
        <v>3.1871999999999998</v>
      </c>
      <c r="AV75" s="230">
        <v>4525200</v>
      </c>
      <c r="AW75" s="230">
        <v>986400</v>
      </c>
      <c r="AX75" s="230">
        <v>3538800</v>
      </c>
      <c r="AY75" s="229">
        <v>3.5876000000000001</v>
      </c>
      <c r="AZ75" s="230">
        <v>668700</v>
      </c>
      <c r="BA75" s="230">
        <v>249000</v>
      </c>
      <c r="BB75" s="230">
        <v>419700</v>
      </c>
      <c r="BC75" s="229">
        <v>1.6855</v>
      </c>
      <c r="BD75" s="230">
        <v>27900</v>
      </c>
      <c r="BE75" s="230">
        <v>11700</v>
      </c>
      <c r="BF75" s="230">
        <v>16200</v>
      </c>
      <c r="BG75" s="229">
        <v>1.3846000000000001</v>
      </c>
      <c r="BH75" s="230">
        <v>32444400</v>
      </c>
      <c r="BI75" s="230">
        <v>2131200</v>
      </c>
      <c r="BJ75" s="230">
        <v>30313200</v>
      </c>
      <c r="BK75" s="229">
        <v>14.2235</v>
      </c>
      <c r="BL75" s="230">
        <v>14648700</v>
      </c>
      <c r="BM75" s="230">
        <v>2082900</v>
      </c>
      <c r="BN75" s="230">
        <v>12565800</v>
      </c>
      <c r="BO75" s="229">
        <v>6.0327999999999999</v>
      </c>
      <c r="BP75" s="230">
        <v>52314900</v>
      </c>
      <c r="BQ75" s="230">
        <v>5461200</v>
      </c>
      <c r="BR75" s="230">
        <v>46853700</v>
      </c>
      <c r="BS75" s="229">
        <v>8.5793999999999997</v>
      </c>
      <c r="BT75" s="230">
        <v>3040468</v>
      </c>
      <c r="BU75" s="230">
        <v>508341</v>
      </c>
      <c r="BV75" s="230">
        <v>2532127</v>
      </c>
      <c r="BW75" s="229">
        <v>4.9812000000000003</v>
      </c>
      <c r="BX75" s="230">
        <v>5699100</v>
      </c>
      <c r="BY75" s="230">
        <v>4976400</v>
      </c>
      <c r="BZ75" s="230">
        <v>722700</v>
      </c>
      <c r="CA75" s="229">
        <v>0.1452</v>
      </c>
      <c r="CB75" s="230">
        <v>4932300</v>
      </c>
      <c r="CC75" s="230">
        <v>4401600</v>
      </c>
      <c r="CD75" s="230">
        <v>530700</v>
      </c>
      <c r="CE75" s="229">
        <v>0.1206</v>
      </c>
      <c r="CF75" s="230">
        <v>744900</v>
      </c>
      <c r="CG75" s="230">
        <v>555300</v>
      </c>
      <c r="CH75" s="230">
        <v>189600</v>
      </c>
      <c r="CI75" s="229">
        <v>0.34139999999999998</v>
      </c>
      <c r="CJ75" s="230">
        <v>21900</v>
      </c>
      <c r="CK75" s="230">
        <v>19500</v>
      </c>
      <c r="CL75" s="230">
        <v>2400</v>
      </c>
      <c r="CM75" s="229">
        <v>0.1231</v>
      </c>
      <c r="CN75" s="230">
        <v>3745800</v>
      </c>
      <c r="CO75" s="230">
        <v>2235600</v>
      </c>
      <c r="CP75" s="230">
        <v>1510200</v>
      </c>
      <c r="CQ75" s="229">
        <v>0.67549999999999999</v>
      </c>
      <c r="CR75" s="230">
        <v>3572100</v>
      </c>
      <c r="CS75" s="230">
        <v>1745400</v>
      </c>
      <c r="CT75" s="230">
        <v>1826700</v>
      </c>
      <c r="CU75" s="229">
        <v>1.0466</v>
      </c>
      <c r="CV75" s="230">
        <v>13017000</v>
      </c>
      <c r="CW75" s="230">
        <v>8957400</v>
      </c>
      <c r="CX75" s="230">
        <v>4059600</v>
      </c>
      <c r="CY75" s="229">
        <v>0.45319999999999999</v>
      </c>
      <c r="CZ75" s="228">
        <v>24.37</v>
      </c>
      <c r="DA75" s="228">
        <v>25.85</v>
      </c>
      <c r="DB75" s="228">
        <v>-1.48</v>
      </c>
      <c r="DC75" s="228">
        <v>-1.48</v>
      </c>
      <c r="DD75" s="228">
        <v>34.299999999999997</v>
      </c>
      <c r="DE75" s="228">
        <v>33.090000000000003</v>
      </c>
      <c r="DF75" s="228">
        <v>-9.93</v>
      </c>
      <c r="DG75" s="228">
        <v>1.21</v>
      </c>
      <c r="DH75" s="228">
        <v>23.69</v>
      </c>
      <c r="DI75" s="228">
        <v>25.76</v>
      </c>
      <c r="DJ75" s="228">
        <v>-2.0699999999999998</v>
      </c>
      <c r="DK75" s="228">
        <v>-2.0699999999999998</v>
      </c>
      <c r="DL75" s="228">
        <v>25.9</v>
      </c>
      <c r="DM75" s="228">
        <v>25.94</v>
      </c>
      <c r="DN75" s="228">
        <v>-0.04</v>
      </c>
      <c r="DO75" s="228">
        <v>-0.04</v>
      </c>
      <c r="DP75" s="228">
        <v>0.95</v>
      </c>
      <c r="DQ75" s="228">
        <v>0.78</v>
      </c>
      <c r="DR75" s="228">
        <v>0.17</v>
      </c>
      <c r="DS75" s="229">
        <v>0.21790000000000001</v>
      </c>
      <c r="DT75" s="231">
        <v>2800</v>
      </c>
      <c r="DU75" s="231">
        <v>2600</v>
      </c>
      <c r="DV75" s="228">
        <v>0.45</v>
      </c>
      <c r="DW75" s="228">
        <v>0.98</v>
      </c>
      <c r="DX75" s="228">
        <v>-0.53</v>
      </c>
      <c r="DY75" s="229">
        <v>-0.54079999999999995</v>
      </c>
      <c r="DZ75" s="229">
        <v>0.13450000000000001</v>
      </c>
      <c r="EA75" s="230">
        <v>574800</v>
      </c>
      <c r="EB75" s="229">
        <v>5.7999999999999996E-3</v>
      </c>
      <c r="EC75" s="229">
        <v>0.13450000000000001</v>
      </c>
      <c r="ED75" s="228">
        <v>21.16</v>
      </c>
      <c r="EE75" s="229">
        <v>7.9000000000000008E-3</v>
      </c>
      <c r="EF75" s="230">
        <v>780304</v>
      </c>
      <c r="EG75" s="230">
        <v>293844</v>
      </c>
      <c r="EH75" s="229">
        <v>1.6555</v>
      </c>
      <c r="EI75" s="229">
        <v>0.25659999999999999</v>
      </c>
      <c r="EJ75" s="231">
        <v>899150.71</v>
      </c>
      <c r="EK75" s="231">
        <v>387300.69</v>
      </c>
      <c r="EL75" s="231">
        <v>140670.22</v>
      </c>
      <c r="EM75" s="231">
        <v>3760</v>
      </c>
      <c r="EN75" s="231">
        <v>1427121.62</v>
      </c>
      <c r="EO75" s="231">
        <v>142002.53</v>
      </c>
      <c r="EP75" s="231">
        <v>1285119.0900000001</v>
      </c>
      <c r="EQ75" s="229">
        <v>9.0500000000000007</v>
      </c>
      <c r="ER75" s="231">
        <v>103910</v>
      </c>
      <c r="ES75" s="231">
        <v>93237</v>
      </c>
      <c r="ET75" s="231">
        <v>155864</v>
      </c>
      <c r="EU75" s="231">
        <v>30518916</v>
      </c>
      <c r="EV75" s="231">
        <v>353011</v>
      </c>
      <c r="EW75" s="231">
        <v>232189</v>
      </c>
      <c r="EX75" s="231">
        <v>120822</v>
      </c>
      <c r="EY75" s="229">
        <v>0.52039999999999997</v>
      </c>
      <c r="EZ75" s="229">
        <v>0.42649999999999999</v>
      </c>
      <c r="FA75" s="227" t="s">
        <v>555</v>
      </c>
      <c r="FB75" s="161">
        <f t="shared" si="1"/>
        <v>766800</v>
      </c>
    </row>
    <row r="76" spans="1:158" ht="17.25" hidden="1" thickBot="1" x14ac:dyDescent="0.3">
      <c r="A76" s="226">
        <v>46009</v>
      </c>
      <c r="B76" s="227" t="s">
        <v>172</v>
      </c>
      <c r="C76" s="227" t="s">
        <v>224</v>
      </c>
      <c r="D76" s="228">
        <v>550</v>
      </c>
      <c r="E76" s="228">
        <v>982.1</v>
      </c>
      <c r="F76" s="228">
        <v>987.5</v>
      </c>
      <c r="G76" s="228">
        <v>-5.4</v>
      </c>
      <c r="H76" s="229">
        <v>-5.4999999999999997E-3</v>
      </c>
      <c r="I76" s="228">
        <v>979.7</v>
      </c>
      <c r="J76" s="228">
        <v>984</v>
      </c>
      <c r="K76" s="228">
        <v>-4.3</v>
      </c>
      <c r="L76" s="229">
        <v>-4.4000000000000003E-3</v>
      </c>
      <c r="M76" s="228">
        <v>982.1</v>
      </c>
      <c r="N76" s="228">
        <v>987.5</v>
      </c>
      <c r="O76" s="228">
        <v>-5.4</v>
      </c>
      <c r="P76" s="229">
        <v>-5.4999999999999997E-3</v>
      </c>
      <c r="Q76" s="228">
        <v>988.4</v>
      </c>
      <c r="R76" s="228">
        <v>993.7</v>
      </c>
      <c r="S76" s="228">
        <v>-5.3</v>
      </c>
      <c r="T76" s="229">
        <v>-5.3E-3</v>
      </c>
      <c r="U76" s="228">
        <v>994.1</v>
      </c>
      <c r="V76" s="228">
        <v>999.6</v>
      </c>
      <c r="W76" s="228">
        <v>-5.5</v>
      </c>
      <c r="X76" s="229">
        <v>-5.4999999999999997E-3</v>
      </c>
      <c r="Y76" s="228">
        <v>2.4</v>
      </c>
      <c r="Z76" s="228">
        <v>3.5</v>
      </c>
      <c r="AA76" s="228">
        <v>-1.1000000000000001</v>
      </c>
      <c r="AB76" s="229">
        <v>2.3999999999999998E-3</v>
      </c>
      <c r="AC76" s="228">
        <v>2.4</v>
      </c>
      <c r="AD76" s="228">
        <v>3.5</v>
      </c>
      <c r="AE76" s="228">
        <v>-1.1000000000000001</v>
      </c>
      <c r="AF76" s="229">
        <v>2.3999999999999998E-3</v>
      </c>
      <c r="AG76" s="228">
        <v>8.6999999999999993</v>
      </c>
      <c r="AH76" s="228">
        <v>9.6999999999999993</v>
      </c>
      <c r="AI76" s="228">
        <v>-1</v>
      </c>
      <c r="AJ76" s="229">
        <v>8.8999999999999999E-3</v>
      </c>
      <c r="AK76" s="228">
        <v>14.4</v>
      </c>
      <c r="AL76" s="228">
        <v>15.6</v>
      </c>
      <c r="AM76" s="228">
        <v>-1.2</v>
      </c>
      <c r="AN76" s="229">
        <v>1.47E-2</v>
      </c>
      <c r="AO76" s="228">
        <v>985.21</v>
      </c>
      <c r="AP76" s="228">
        <v>991.44</v>
      </c>
      <c r="AQ76" s="228">
        <v>0</v>
      </c>
      <c r="AR76" s="230">
        <v>32693650</v>
      </c>
      <c r="AS76" s="230">
        <v>20124500</v>
      </c>
      <c r="AT76" s="230">
        <v>12569150</v>
      </c>
      <c r="AU76" s="229">
        <v>0.62460000000000004</v>
      </c>
      <c r="AV76" s="230">
        <v>18982150</v>
      </c>
      <c r="AW76" s="230">
        <v>11938850</v>
      </c>
      <c r="AX76" s="230">
        <v>7043300</v>
      </c>
      <c r="AY76" s="229">
        <v>0.58989999999999998</v>
      </c>
      <c r="AZ76" s="230">
        <v>13459600</v>
      </c>
      <c r="BA76" s="230">
        <v>8064100</v>
      </c>
      <c r="BB76" s="230">
        <v>5395500</v>
      </c>
      <c r="BC76" s="229">
        <v>0.66910000000000003</v>
      </c>
      <c r="BD76" s="230">
        <v>251900</v>
      </c>
      <c r="BE76" s="230">
        <v>121550</v>
      </c>
      <c r="BF76" s="230">
        <v>130350</v>
      </c>
      <c r="BG76" s="229">
        <v>1.0724</v>
      </c>
      <c r="BH76" s="230">
        <v>48039750</v>
      </c>
      <c r="BI76" s="230">
        <v>51999750</v>
      </c>
      <c r="BJ76" s="230">
        <v>-3960000</v>
      </c>
      <c r="BK76" s="229">
        <v>-7.6200000000000004E-2</v>
      </c>
      <c r="BL76" s="230">
        <v>28754000</v>
      </c>
      <c r="BM76" s="230">
        <v>32388950</v>
      </c>
      <c r="BN76" s="230">
        <v>-3634950</v>
      </c>
      <c r="BO76" s="229">
        <v>-0.11219999999999999</v>
      </c>
      <c r="BP76" s="230">
        <v>109487400</v>
      </c>
      <c r="BQ76" s="230">
        <v>104513200</v>
      </c>
      <c r="BR76" s="230">
        <v>4974200</v>
      </c>
      <c r="BS76" s="229">
        <v>4.7600000000000003E-2</v>
      </c>
      <c r="BT76" s="230">
        <v>16440523</v>
      </c>
      <c r="BU76" s="230">
        <v>20149342</v>
      </c>
      <c r="BV76" s="230">
        <v>-3708819</v>
      </c>
      <c r="BW76" s="229">
        <v>-0.18410000000000001</v>
      </c>
      <c r="BX76" s="230">
        <v>225091900</v>
      </c>
      <c r="BY76" s="230">
        <v>221651100</v>
      </c>
      <c r="BZ76" s="230">
        <v>3440800</v>
      </c>
      <c r="CA76" s="229">
        <v>1.55E-2</v>
      </c>
      <c r="CB76" s="230">
        <v>175563300</v>
      </c>
      <c r="CC76" s="230">
        <v>185022750</v>
      </c>
      <c r="CD76" s="230">
        <v>-9459450</v>
      </c>
      <c r="CE76" s="229">
        <v>-5.11E-2</v>
      </c>
      <c r="CF76" s="230">
        <v>48448400</v>
      </c>
      <c r="CG76" s="230">
        <v>35721400</v>
      </c>
      <c r="CH76" s="230">
        <v>12727000</v>
      </c>
      <c r="CI76" s="229">
        <v>0.35630000000000001</v>
      </c>
      <c r="CJ76" s="230">
        <v>1080200</v>
      </c>
      <c r="CK76" s="230">
        <v>906950</v>
      </c>
      <c r="CL76" s="230">
        <v>173250</v>
      </c>
      <c r="CM76" s="229">
        <v>0.191</v>
      </c>
      <c r="CN76" s="230">
        <v>45953050</v>
      </c>
      <c r="CO76" s="230">
        <v>43398300</v>
      </c>
      <c r="CP76" s="230">
        <v>2554750</v>
      </c>
      <c r="CQ76" s="229">
        <v>5.8900000000000001E-2</v>
      </c>
      <c r="CR76" s="230">
        <v>28318400</v>
      </c>
      <c r="CS76" s="230">
        <v>27794800</v>
      </c>
      <c r="CT76" s="230">
        <v>523600</v>
      </c>
      <c r="CU76" s="229">
        <v>1.8800000000000001E-2</v>
      </c>
      <c r="CV76" s="230">
        <v>299363350</v>
      </c>
      <c r="CW76" s="230">
        <v>292844200</v>
      </c>
      <c r="CX76" s="230">
        <v>6519150</v>
      </c>
      <c r="CY76" s="229">
        <v>2.23E-2</v>
      </c>
      <c r="CZ76" s="228">
        <v>15.19</v>
      </c>
      <c r="DA76" s="228">
        <v>15.62</v>
      </c>
      <c r="DB76" s="228">
        <v>-0.43</v>
      </c>
      <c r="DC76" s="228">
        <v>-0.43</v>
      </c>
      <c r="DD76" s="228">
        <v>19.96</v>
      </c>
      <c r="DE76" s="228">
        <v>20</v>
      </c>
      <c r="DF76" s="228">
        <v>-4.7699999999999996</v>
      </c>
      <c r="DG76" s="228">
        <v>-0.04</v>
      </c>
      <c r="DH76" s="228">
        <v>15.53</v>
      </c>
      <c r="DI76" s="228">
        <v>15.83</v>
      </c>
      <c r="DJ76" s="228">
        <v>-0.3</v>
      </c>
      <c r="DK76" s="228">
        <v>-0.3</v>
      </c>
      <c r="DL76" s="228">
        <v>14.64</v>
      </c>
      <c r="DM76" s="228">
        <v>15.28</v>
      </c>
      <c r="DN76" s="228">
        <v>-0.64</v>
      </c>
      <c r="DO76" s="228">
        <v>-0.64</v>
      </c>
      <c r="DP76" s="228">
        <v>0.62</v>
      </c>
      <c r="DQ76" s="228">
        <v>0.64</v>
      </c>
      <c r="DR76" s="228">
        <v>-0.02</v>
      </c>
      <c r="DS76" s="229">
        <v>-3.1300000000000001E-2</v>
      </c>
      <c r="DT76" s="231">
        <v>1000</v>
      </c>
      <c r="DU76" s="231">
        <v>1000</v>
      </c>
      <c r="DV76" s="228">
        <v>0.6</v>
      </c>
      <c r="DW76" s="228">
        <v>0.62</v>
      </c>
      <c r="DX76" s="228">
        <v>-0.02</v>
      </c>
      <c r="DY76" s="229">
        <v>-3.2300000000000002E-2</v>
      </c>
      <c r="DZ76" s="229">
        <v>0.22</v>
      </c>
      <c r="EA76" s="230">
        <v>36628350</v>
      </c>
      <c r="EB76" s="229">
        <v>6.4000000000000003E-3</v>
      </c>
      <c r="EC76" s="229">
        <v>0.22</v>
      </c>
      <c r="ED76" s="228">
        <v>6.23</v>
      </c>
      <c r="EE76" s="229">
        <v>6.3E-3</v>
      </c>
      <c r="EF76" s="230">
        <v>10276882</v>
      </c>
      <c r="EG76" s="230">
        <v>14624529</v>
      </c>
      <c r="EH76" s="229">
        <v>-0.29730000000000001</v>
      </c>
      <c r="EI76" s="229">
        <v>0.62509999999999999</v>
      </c>
      <c r="EJ76" s="231">
        <v>483498.13</v>
      </c>
      <c r="EK76" s="231">
        <v>283018.19</v>
      </c>
      <c r="EL76" s="231">
        <v>322970.46999999997</v>
      </c>
      <c r="EM76" s="231">
        <v>30236</v>
      </c>
      <c r="EN76" s="231">
        <v>1089486.79</v>
      </c>
      <c r="EO76" s="231">
        <v>1046160.03</v>
      </c>
      <c r="EP76" s="231">
        <v>43326.76</v>
      </c>
      <c r="EQ76" s="229">
        <v>4.1399999999999999E-2</v>
      </c>
      <c r="ER76" s="231">
        <v>467657</v>
      </c>
      <c r="ES76" s="231">
        <v>275421</v>
      </c>
      <c r="ET76" s="231">
        <v>2213809</v>
      </c>
      <c r="EU76" s="231">
        <v>1329733550</v>
      </c>
      <c r="EV76" s="231">
        <v>2956887</v>
      </c>
      <c r="EW76" s="231">
        <v>2904169</v>
      </c>
      <c r="EX76" s="231">
        <v>52718</v>
      </c>
      <c r="EY76" s="229">
        <v>1.8200000000000001E-2</v>
      </c>
      <c r="EZ76" s="229">
        <v>0.22509999999999999</v>
      </c>
      <c r="FA76" s="227" t="s">
        <v>567</v>
      </c>
      <c r="FB76" s="161">
        <f t="shared" si="1"/>
        <v>49528600</v>
      </c>
    </row>
    <row r="77" spans="1:158" ht="17.25" hidden="1" thickBot="1" x14ac:dyDescent="0.3">
      <c r="A77" s="226">
        <v>46009</v>
      </c>
      <c r="B77" s="227" t="s">
        <v>175</v>
      </c>
      <c r="C77" s="227" t="s">
        <v>225</v>
      </c>
      <c r="D77" s="228">
        <v>1100</v>
      </c>
      <c r="E77" s="228">
        <v>758.7</v>
      </c>
      <c r="F77" s="228">
        <v>754.85</v>
      </c>
      <c r="G77" s="228">
        <v>3.85</v>
      </c>
      <c r="H77" s="229">
        <v>5.1000000000000004E-3</v>
      </c>
      <c r="I77" s="228">
        <v>757</v>
      </c>
      <c r="J77" s="228">
        <v>753.5</v>
      </c>
      <c r="K77" s="228">
        <v>3.5</v>
      </c>
      <c r="L77" s="229">
        <v>4.5999999999999999E-3</v>
      </c>
      <c r="M77" s="228">
        <v>758.7</v>
      </c>
      <c r="N77" s="228">
        <v>754.85</v>
      </c>
      <c r="O77" s="228">
        <v>3.85</v>
      </c>
      <c r="P77" s="229">
        <v>5.1000000000000004E-3</v>
      </c>
      <c r="Q77" s="228">
        <v>763.9</v>
      </c>
      <c r="R77" s="228">
        <v>759.8</v>
      </c>
      <c r="S77" s="228">
        <v>4.0999999999999996</v>
      </c>
      <c r="T77" s="229">
        <v>5.4000000000000003E-3</v>
      </c>
      <c r="U77" s="228">
        <v>767.8</v>
      </c>
      <c r="V77" s="228">
        <v>763.95</v>
      </c>
      <c r="W77" s="228">
        <v>3.85</v>
      </c>
      <c r="X77" s="229">
        <v>5.0000000000000001E-3</v>
      </c>
      <c r="Y77" s="228">
        <v>1.7</v>
      </c>
      <c r="Z77" s="228">
        <v>1.35</v>
      </c>
      <c r="AA77" s="228">
        <v>0.35</v>
      </c>
      <c r="AB77" s="229">
        <v>2.2000000000000001E-3</v>
      </c>
      <c r="AC77" s="228">
        <v>1.7</v>
      </c>
      <c r="AD77" s="228">
        <v>1.35</v>
      </c>
      <c r="AE77" s="228">
        <v>0.35</v>
      </c>
      <c r="AF77" s="229">
        <v>2.2000000000000001E-3</v>
      </c>
      <c r="AG77" s="228">
        <v>6.9</v>
      </c>
      <c r="AH77" s="228">
        <v>6.3</v>
      </c>
      <c r="AI77" s="228">
        <v>0.6</v>
      </c>
      <c r="AJ77" s="229">
        <v>9.1000000000000004E-3</v>
      </c>
      <c r="AK77" s="228">
        <v>10.8</v>
      </c>
      <c r="AL77" s="228">
        <v>10.45</v>
      </c>
      <c r="AM77" s="228">
        <v>0.35</v>
      </c>
      <c r="AN77" s="229">
        <v>1.43E-2</v>
      </c>
      <c r="AO77" s="228">
        <v>756.72</v>
      </c>
      <c r="AP77" s="228">
        <v>761.64</v>
      </c>
      <c r="AQ77" s="228">
        <v>0</v>
      </c>
      <c r="AR77" s="230">
        <v>2740100</v>
      </c>
      <c r="AS77" s="230">
        <v>4440700</v>
      </c>
      <c r="AT77" s="230">
        <v>-1700600</v>
      </c>
      <c r="AU77" s="229">
        <v>-0.38300000000000001</v>
      </c>
      <c r="AV77" s="230">
        <v>2057000</v>
      </c>
      <c r="AW77" s="230">
        <v>3919300</v>
      </c>
      <c r="AX77" s="230">
        <v>-1862300</v>
      </c>
      <c r="AY77" s="229">
        <v>-0.47520000000000001</v>
      </c>
      <c r="AZ77" s="230">
        <v>657800</v>
      </c>
      <c r="BA77" s="230">
        <v>492800</v>
      </c>
      <c r="BB77" s="230">
        <v>165000</v>
      </c>
      <c r="BC77" s="229">
        <v>0.33479999999999999</v>
      </c>
      <c r="BD77" s="230">
        <v>25300</v>
      </c>
      <c r="BE77" s="230">
        <v>28600</v>
      </c>
      <c r="BF77" s="230">
        <v>-3300</v>
      </c>
      <c r="BG77" s="229">
        <v>-0.1154</v>
      </c>
      <c r="BH77" s="230">
        <v>12063700</v>
      </c>
      <c r="BI77" s="230">
        <v>30162000</v>
      </c>
      <c r="BJ77" s="230">
        <v>-18098300</v>
      </c>
      <c r="BK77" s="229">
        <v>-0.6</v>
      </c>
      <c r="BL77" s="230">
        <v>4042500</v>
      </c>
      <c r="BM77" s="230">
        <v>9735000</v>
      </c>
      <c r="BN77" s="230">
        <v>-5692500</v>
      </c>
      <c r="BO77" s="229">
        <v>-0.5847</v>
      </c>
      <c r="BP77" s="230">
        <v>18846300</v>
      </c>
      <c r="BQ77" s="230">
        <v>44337700</v>
      </c>
      <c r="BR77" s="230">
        <v>-25491400</v>
      </c>
      <c r="BS77" s="229">
        <v>-0.57489999999999997</v>
      </c>
      <c r="BT77" s="230">
        <v>767503</v>
      </c>
      <c r="BU77" s="230">
        <v>1863967</v>
      </c>
      <c r="BV77" s="230">
        <v>-1096464</v>
      </c>
      <c r="BW77" s="229">
        <v>-0.58819999999999995</v>
      </c>
      <c r="BX77" s="230">
        <v>31784500</v>
      </c>
      <c r="BY77" s="230">
        <v>31430300</v>
      </c>
      <c r="BZ77" s="230">
        <v>354200</v>
      </c>
      <c r="CA77" s="229">
        <v>1.1299999999999999E-2</v>
      </c>
      <c r="CB77" s="230">
        <v>28783700</v>
      </c>
      <c r="CC77" s="230">
        <v>28877200</v>
      </c>
      <c r="CD77" s="230">
        <v>-93500</v>
      </c>
      <c r="CE77" s="229">
        <v>-3.2000000000000002E-3</v>
      </c>
      <c r="CF77" s="230">
        <v>2849000</v>
      </c>
      <c r="CG77" s="230">
        <v>2410100</v>
      </c>
      <c r="CH77" s="230">
        <v>438900</v>
      </c>
      <c r="CI77" s="229">
        <v>0.18210000000000001</v>
      </c>
      <c r="CJ77" s="230">
        <v>151800</v>
      </c>
      <c r="CK77" s="230">
        <v>143000</v>
      </c>
      <c r="CL77" s="230">
        <v>8800</v>
      </c>
      <c r="CM77" s="229">
        <v>6.1499999999999999E-2</v>
      </c>
      <c r="CN77" s="230">
        <v>18704400</v>
      </c>
      <c r="CO77" s="230">
        <v>19741700</v>
      </c>
      <c r="CP77" s="230">
        <v>-1037300</v>
      </c>
      <c r="CQ77" s="229">
        <v>-5.2499999999999998E-2</v>
      </c>
      <c r="CR77" s="230">
        <v>8532700</v>
      </c>
      <c r="CS77" s="230">
        <v>8538200</v>
      </c>
      <c r="CT77" s="230">
        <v>-5500</v>
      </c>
      <c r="CU77" s="229">
        <v>-5.9999999999999995E-4</v>
      </c>
      <c r="CV77" s="230">
        <v>59021600</v>
      </c>
      <c r="CW77" s="230">
        <v>59710200</v>
      </c>
      <c r="CX77" s="230">
        <v>-688600</v>
      </c>
      <c r="CY77" s="229">
        <v>-1.15E-2</v>
      </c>
      <c r="CZ77" s="228">
        <v>18.21</v>
      </c>
      <c r="DA77" s="228">
        <v>19.82</v>
      </c>
      <c r="DB77" s="228">
        <v>-1.61</v>
      </c>
      <c r="DC77" s="228">
        <v>-1.61</v>
      </c>
      <c r="DD77" s="228">
        <v>25.27</v>
      </c>
      <c r="DE77" s="228">
        <v>25.32</v>
      </c>
      <c r="DF77" s="228">
        <v>-7.06</v>
      </c>
      <c r="DG77" s="228">
        <v>-0.05</v>
      </c>
      <c r="DH77" s="228">
        <v>18.399999999999999</v>
      </c>
      <c r="DI77" s="228">
        <v>20.440000000000001</v>
      </c>
      <c r="DJ77" s="228">
        <v>-2.04</v>
      </c>
      <c r="DK77" s="228">
        <v>-2.04</v>
      </c>
      <c r="DL77" s="228">
        <v>17.670000000000002</v>
      </c>
      <c r="DM77" s="228">
        <v>17.89</v>
      </c>
      <c r="DN77" s="228">
        <v>-0.22</v>
      </c>
      <c r="DO77" s="228">
        <v>-0.22</v>
      </c>
      <c r="DP77" s="228">
        <v>0.46</v>
      </c>
      <c r="DQ77" s="228">
        <v>0.43</v>
      </c>
      <c r="DR77" s="228">
        <v>0.03</v>
      </c>
      <c r="DS77" s="229">
        <v>6.9800000000000001E-2</v>
      </c>
      <c r="DT77" s="228">
        <v>800</v>
      </c>
      <c r="DU77" s="228">
        <v>700</v>
      </c>
      <c r="DV77" s="228">
        <v>0.34</v>
      </c>
      <c r="DW77" s="228">
        <v>0.32</v>
      </c>
      <c r="DX77" s="228">
        <v>0.02</v>
      </c>
      <c r="DY77" s="229">
        <v>6.25E-2</v>
      </c>
      <c r="DZ77" s="229">
        <v>9.4399999999999998E-2</v>
      </c>
      <c r="EA77" s="230">
        <v>2553100</v>
      </c>
      <c r="EB77" s="229">
        <v>6.8999999999999999E-3</v>
      </c>
      <c r="EC77" s="229">
        <v>9.4399999999999998E-2</v>
      </c>
      <c r="ED77" s="228">
        <v>4.92</v>
      </c>
      <c r="EE77" s="229">
        <v>6.4999999999999997E-3</v>
      </c>
      <c r="EF77" s="230">
        <v>374206</v>
      </c>
      <c r="EG77" s="230">
        <v>972360</v>
      </c>
      <c r="EH77" s="229">
        <v>-0.61519999999999997</v>
      </c>
      <c r="EI77" s="229">
        <v>0.48759999999999998</v>
      </c>
      <c r="EJ77" s="231">
        <v>94334.78</v>
      </c>
      <c r="EK77" s="231">
        <v>30342.32</v>
      </c>
      <c r="EL77" s="231">
        <v>20769.599999999999</v>
      </c>
      <c r="EM77" s="231">
        <v>3382</v>
      </c>
      <c r="EN77" s="231">
        <v>145446.70000000001</v>
      </c>
      <c r="EO77" s="231">
        <v>345228.81</v>
      </c>
      <c r="EP77" s="231">
        <v>-199782.11</v>
      </c>
      <c r="EQ77" s="229">
        <v>-0.57869999999999999</v>
      </c>
      <c r="ER77" s="231">
        <v>149739</v>
      </c>
      <c r="ES77" s="231">
        <v>63335</v>
      </c>
      <c r="ET77" s="231">
        <v>241311</v>
      </c>
      <c r="EU77" s="231">
        <v>119296253</v>
      </c>
      <c r="EV77" s="231">
        <v>454385</v>
      </c>
      <c r="EW77" s="231">
        <v>458790</v>
      </c>
      <c r="EX77" s="231">
        <v>-4405</v>
      </c>
      <c r="EY77" s="229">
        <v>-9.5999999999999992E-3</v>
      </c>
      <c r="EZ77" s="229">
        <v>0.49469999999999997</v>
      </c>
      <c r="FA77" s="227" t="s">
        <v>555</v>
      </c>
      <c r="FB77" s="161">
        <f t="shared" si="1"/>
        <v>3000800</v>
      </c>
    </row>
    <row r="78" spans="1:158" ht="17.25" hidden="1" thickBot="1" x14ac:dyDescent="0.3">
      <c r="A78" s="226">
        <v>46009</v>
      </c>
      <c r="B78" s="227" t="s">
        <v>162</v>
      </c>
      <c r="C78" s="227" t="s">
        <v>226</v>
      </c>
      <c r="D78" s="228">
        <v>150</v>
      </c>
      <c r="E78" s="231">
        <v>5749.5</v>
      </c>
      <c r="F78" s="231">
        <v>5827.5</v>
      </c>
      <c r="G78" s="228">
        <v>-78</v>
      </c>
      <c r="H78" s="229">
        <v>-1.34E-2</v>
      </c>
      <c r="I78" s="231">
        <v>5748.5</v>
      </c>
      <c r="J78" s="231">
        <v>5817</v>
      </c>
      <c r="K78" s="228">
        <v>-68.5</v>
      </c>
      <c r="L78" s="229">
        <v>-1.18E-2</v>
      </c>
      <c r="M78" s="231">
        <v>5749.5</v>
      </c>
      <c r="N78" s="231">
        <v>5827.5</v>
      </c>
      <c r="O78" s="228">
        <v>-78</v>
      </c>
      <c r="P78" s="229">
        <v>-1.34E-2</v>
      </c>
      <c r="Q78" s="231">
        <v>5785</v>
      </c>
      <c r="R78" s="231">
        <v>5861.5</v>
      </c>
      <c r="S78" s="228">
        <v>-76.5</v>
      </c>
      <c r="T78" s="229">
        <v>-1.3100000000000001E-2</v>
      </c>
      <c r="U78" s="231">
        <v>5782.5</v>
      </c>
      <c r="V78" s="231">
        <v>5854</v>
      </c>
      <c r="W78" s="228">
        <v>-71.5</v>
      </c>
      <c r="X78" s="229">
        <v>-1.2200000000000001E-2</v>
      </c>
      <c r="Y78" s="228">
        <v>1</v>
      </c>
      <c r="Z78" s="228">
        <v>10.5</v>
      </c>
      <c r="AA78" s="228">
        <v>-9.5</v>
      </c>
      <c r="AB78" s="229">
        <v>2.0000000000000001E-4</v>
      </c>
      <c r="AC78" s="228">
        <v>1</v>
      </c>
      <c r="AD78" s="228">
        <v>10.5</v>
      </c>
      <c r="AE78" s="228">
        <v>-9.5</v>
      </c>
      <c r="AF78" s="229">
        <v>2.0000000000000001E-4</v>
      </c>
      <c r="AG78" s="228">
        <v>36.5</v>
      </c>
      <c r="AH78" s="228">
        <v>44.5</v>
      </c>
      <c r="AI78" s="228">
        <v>-8</v>
      </c>
      <c r="AJ78" s="229">
        <v>6.3E-3</v>
      </c>
      <c r="AK78" s="228">
        <v>34</v>
      </c>
      <c r="AL78" s="228">
        <v>37</v>
      </c>
      <c r="AM78" s="228">
        <v>-3</v>
      </c>
      <c r="AN78" s="229">
        <v>5.8999999999999999E-3</v>
      </c>
      <c r="AO78" s="231">
        <v>5701.74</v>
      </c>
      <c r="AP78" s="231">
        <v>5745.84</v>
      </c>
      <c r="AQ78" s="228">
        <v>0</v>
      </c>
      <c r="AR78" s="230">
        <v>1990200</v>
      </c>
      <c r="AS78" s="230">
        <v>987450</v>
      </c>
      <c r="AT78" s="230">
        <v>1002750</v>
      </c>
      <c r="AU78" s="229">
        <v>1.0155000000000001</v>
      </c>
      <c r="AV78" s="230">
        <v>1767300</v>
      </c>
      <c r="AW78" s="230">
        <v>872250</v>
      </c>
      <c r="AX78" s="230">
        <v>895050</v>
      </c>
      <c r="AY78" s="229">
        <v>1.0261</v>
      </c>
      <c r="AZ78" s="230">
        <v>210600</v>
      </c>
      <c r="BA78" s="230">
        <v>107100</v>
      </c>
      <c r="BB78" s="230">
        <v>103500</v>
      </c>
      <c r="BC78" s="229">
        <v>0.96640000000000004</v>
      </c>
      <c r="BD78" s="230">
        <v>12300</v>
      </c>
      <c r="BE78" s="230">
        <v>8100</v>
      </c>
      <c r="BF78" s="230">
        <v>4200</v>
      </c>
      <c r="BG78" s="229">
        <v>0.51849999999999996</v>
      </c>
      <c r="BH78" s="230">
        <v>14958150</v>
      </c>
      <c r="BI78" s="230">
        <v>6744450</v>
      </c>
      <c r="BJ78" s="230">
        <v>8213700</v>
      </c>
      <c r="BK78" s="229">
        <v>1.2178</v>
      </c>
      <c r="BL78" s="230">
        <v>10013400</v>
      </c>
      <c r="BM78" s="230">
        <v>5308650</v>
      </c>
      <c r="BN78" s="230">
        <v>4704750</v>
      </c>
      <c r="BO78" s="229">
        <v>0.88619999999999999</v>
      </c>
      <c r="BP78" s="230">
        <v>26961750</v>
      </c>
      <c r="BQ78" s="230">
        <v>13040550</v>
      </c>
      <c r="BR78" s="230">
        <v>13921200</v>
      </c>
      <c r="BS78" s="229">
        <v>1.0674999999999999</v>
      </c>
      <c r="BT78" s="230">
        <v>1135158</v>
      </c>
      <c r="BU78" s="230">
        <v>627506</v>
      </c>
      <c r="BV78" s="230">
        <v>507652</v>
      </c>
      <c r="BW78" s="229">
        <v>0.80900000000000005</v>
      </c>
      <c r="BX78" s="230">
        <v>6104250</v>
      </c>
      <c r="BY78" s="230">
        <v>6099300</v>
      </c>
      <c r="BZ78" s="230">
        <v>4950</v>
      </c>
      <c r="CA78" s="229">
        <v>8.0000000000000004E-4</v>
      </c>
      <c r="CB78" s="230">
        <v>5789550</v>
      </c>
      <c r="CC78" s="230">
        <v>5850900</v>
      </c>
      <c r="CD78" s="230">
        <v>-61350</v>
      </c>
      <c r="CE78" s="229">
        <v>-1.0500000000000001E-2</v>
      </c>
      <c r="CF78" s="230">
        <v>273300</v>
      </c>
      <c r="CG78" s="230">
        <v>209400</v>
      </c>
      <c r="CH78" s="230">
        <v>63900</v>
      </c>
      <c r="CI78" s="229">
        <v>0.30520000000000003</v>
      </c>
      <c r="CJ78" s="230">
        <v>41400</v>
      </c>
      <c r="CK78" s="230">
        <v>39000</v>
      </c>
      <c r="CL78" s="230">
        <v>2400</v>
      </c>
      <c r="CM78" s="229">
        <v>6.1499999999999999E-2</v>
      </c>
      <c r="CN78" s="230">
        <v>5154300</v>
      </c>
      <c r="CO78" s="230">
        <v>3677850</v>
      </c>
      <c r="CP78" s="230">
        <v>1476450</v>
      </c>
      <c r="CQ78" s="229">
        <v>0.40139999999999998</v>
      </c>
      <c r="CR78" s="230">
        <v>2218800</v>
      </c>
      <c r="CS78" s="230">
        <v>2010150</v>
      </c>
      <c r="CT78" s="230">
        <v>208650</v>
      </c>
      <c r="CU78" s="229">
        <v>0.1038</v>
      </c>
      <c r="CV78" s="230">
        <v>13477350</v>
      </c>
      <c r="CW78" s="230">
        <v>11787300</v>
      </c>
      <c r="CX78" s="230">
        <v>1690050</v>
      </c>
      <c r="CY78" s="229">
        <v>0.1434</v>
      </c>
      <c r="CZ78" s="228">
        <v>22.37</v>
      </c>
      <c r="DA78" s="228">
        <v>22.65</v>
      </c>
      <c r="DB78" s="228">
        <v>-0.28000000000000003</v>
      </c>
      <c r="DC78" s="228">
        <v>-0.28000000000000003</v>
      </c>
      <c r="DD78" s="228">
        <v>30.37</v>
      </c>
      <c r="DE78" s="228">
        <v>30.4</v>
      </c>
      <c r="DF78" s="228">
        <v>-8</v>
      </c>
      <c r="DG78" s="228">
        <v>-0.03</v>
      </c>
      <c r="DH78" s="228">
        <v>23.21</v>
      </c>
      <c r="DI78" s="228">
        <v>23.64</v>
      </c>
      <c r="DJ78" s="228">
        <v>-0.43</v>
      </c>
      <c r="DK78" s="228">
        <v>-0.43</v>
      </c>
      <c r="DL78" s="228">
        <v>21.11</v>
      </c>
      <c r="DM78" s="228">
        <v>21.38</v>
      </c>
      <c r="DN78" s="228">
        <v>-0.27</v>
      </c>
      <c r="DO78" s="228">
        <v>-0.27</v>
      </c>
      <c r="DP78" s="228">
        <v>0.43</v>
      </c>
      <c r="DQ78" s="228">
        <v>0.55000000000000004</v>
      </c>
      <c r="DR78" s="228">
        <v>-0.12</v>
      </c>
      <c r="DS78" s="229">
        <v>-0.21820000000000001</v>
      </c>
      <c r="DT78" s="231">
        <v>6100</v>
      </c>
      <c r="DU78" s="231">
        <v>5400</v>
      </c>
      <c r="DV78" s="228">
        <v>0.67</v>
      </c>
      <c r="DW78" s="228">
        <v>0.79</v>
      </c>
      <c r="DX78" s="228">
        <v>-0.12</v>
      </c>
      <c r="DY78" s="229">
        <v>-0.15190000000000001</v>
      </c>
      <c r="DZ78" s="229">
        <v>5.16E-2</v>
      </c>
      <c r="EA78" s="230">
        <v>248400</v>
      </c>
      <c r="EB78" s="229">
        <v>6.1999999999999998E-3</v>
      </c>
      <c r="EC78" s="229">
        <v>5.16E-2</v>
      </c>
      <c r="ED78" s="228">
        <v>44.1</v>
      </c>
      <c r="EE78" s="229">
        <v>7.7000000000000002E-3</v>
      </c>
      <c r="EF78" s="230">
        <v>621156</v>
      </c>
      <c r="EG78" s="230">
        <v>415417</v>
      </c>
      <c r="EH78" s="229">
        <v>0.49530000000000002</v>
      </c>
      <c r="EI78" s="229">
        <v>0.54720000000000002</v>
      </c>
      <c r="EJ78" s="231">
        <v>901492.39</v>
      </c>
      <c r="EK78" s="231">
        <v>570712.12</v>
      </c>
      <c r="EL78" s="231">
        <v>113571.91</v>
      </c>
      <c r="EM78" s="231">
        <v>5033</v>
      </c>
      <c r="EN78" s="231">
        <v>1585776.42</v>
      </c>
      <c r="EO78" s="231">
        <v>781466.06</v>
      </c>
      <c r="EP78" s="231">
        <v>804310.36</v>
      </c>
      <c r="EQ78" s="229">
        <v>1.0291999999999999</v>
      </c>
      <c r="ER78" s="231">
        <v>318668</v>
      </c>
      <c r="ES78" s="231">
        <v>127261</v>
      </c>
      <c r="ET78" s="231">
        <v>351075</v>
      </c>
      <c r="EU78" s="231">
        <v>19579129</v>
      </c>
      <c r="EV78" s="231">
        <v>797003</v>
      </c>
      <c r="EW78" s="231">
        <v>701882</v>
      </c>
      <c r="EX78" s="231">
        <v>95121</v>
      </c>
      <c r="EY78" s="229">
        <v>0.13550000000000001</v>
      </c>
      <c r="EZ78" s="229">
        <v>0.68840000000000001</v>
      </c>
      <c r="FA78" s="227" t="s">
        <v>567</v>
      </c>
      <c r="FB78" s="161">
        <f t="shared" si="1"/>
        <v>314700</v>
      </c>
    </row>
    <row r="79" spans="1:158" ht="17.25" hidden="1" thickBot="1" x14ac:dyDescent="0.3">
      <c r="A79" s="226">
        <v>46009</v>
      </c>
      <c r="B79" s="227" t="s">
        <v>221</v>
      </c>
      <c r="C79" s="227" t="s">
        <v>576</v>
      </c>
      <c r="D79" s="228">
        <v>6450</v>
      </c>
      <c r="E79" s="228">
        <v>64.75</v>
      </c>
      <c r="F79" s="228">
        <v>64.63</v>
      </c>
      <c r="G79" s="228">
        <v>0.12</v>
      </c>
      <c r="H79" s="229">
        <v>1.9E-3</v>
      </c>
      <c r="I79" s="228">
        <v>64.62</v>
      </c>
      <c r="J79" s="228">
        <v>64.53</v>
      </c>
      <c r="K79" s="228">
        <v>0.09</v>
      </c>
      <c r="L79" s="229">
        <v>1.4E-3</v>
      </c>
      <c r="M79" s="228">
        <v>64.75</v>
      </c>
      <c r="N79" s="228">
        <v>64.63</v>
      </c>
      <c r="O79" s="228">
        <v>0.12</v>
      </c>
      <c r="P79" s="229">
        <v>1.9E-3</v>
      </c>
      <c r="Q79" s="228">
        <v>0</v>
      </c>
      <c r="R79" s="228">
        <v>0</v>
      </c>
      <c r="S79" s="228">
        <v>0</v>
      </c>
      <c r="T79" s="229">
        <v>0</v>
      </c>
      <c r="U79" s="228">
        <v>0</v>
      </c>
      <c r="V79" s="228">
        <v>0</v>
      </c>
      <c r="W79" s="228">
        <v>0</v>
      </c>
      <c r="X79" s="229">
        <v>0</v>
      </c>
      <c r="Y79" s="228">
        <v>0.13</v>
      </c>
      <c r="Z79" s="228">
        <v>0.1</v>
      </c>
      <c r="AA79" s="228">
        <v>0.03</v>
      </c>
      <c r="AB79" s="229">
        <v>2E-3</v>
      </c>
      <c r="AC79" s="228">
        <v>0.13</v>
      </c>
      <c r="AD79" s="228">
        <v>0.1</v>
      </c>
      <c r="AE79" s="228">
        <v>0.03</v>
      </c>
      <c r="AF79" s="229">
        <v>2E-3</v>
      </c>
      <c r="AG79" s="228">
        <v>0</v>
      </c>
      <c r="AH79" s="228">
        <v>0</v>
      </c>
      <c r="AI79" s="228">
        <v>0</v>
      </c>
      <c r="AJ79" s="229">
        <v>0</v>
      </c>
      <c r="AK79" s="228">
        <v>0</v>
      </c>
      <c r="AL79" s="228">
        <v>0</v>
      </c>
      <c r="AM79" s="228">
        <v>0</v>
      </c>
      <c r="AN79" s="229">
        <v>0</v>
      </c>
      <c r="AO79" s="228">
        <v>64.849999999999994</v>
      </c>
      <c r="AP79" s="228">
        <v>0</v>
      </c>
      <c r="AQ79" s="228">
        <v>0</v>
      </c>
      <c r="AR79" s="230">
        <v>8694600</v>
      </c>
      <c r="AS79" s="230">
        <v>7759350</v>
      </c>
      <c r="AT79" s="230">
        <v>935250</v>
      </c>
      <c r="AU79" s="229">
        <v>0.1205</v>
      </c>
      <c r="AV79" s="230">
        <v>8694600</v>
      </c>
      <c r="AW79" s="230">
        <v>7759350</v>
      </c>
      <c r="AX79" s="230">
        <v>935250</v>
      </c>
      <c r="AY79" s="229">
        <v>0.1205</v>
      </c>
      <c r="AZ79" s="228">
        <v>0</v>
      </c>
      <c r="BA79" s="228">
        <v>0</v>
      </c>
      <c r="BB79" s="228">
        <v>0</v>
      </c>
      <c r="BC79" s="229">
        <v>0</v>
      </c>
      <c r="BD79" s="228">
        <v>0</v>
      </c>
      <c r="BE79" s="228">
        <v>0</v>
      </c>
      <c r="BF79" s="228">
        <v>0</v>
      </c>
      <c r="BG79" s="229">
        <v>0</v>
      </c>
      <c r="BH79" s="230">
        <v>28631550</v>
      </c>
      <c r="BI79" s="230">
        <v>30031200</v>
      </c>
      <c r="BJ79" s="230">
        <v>-1399650</v>
      </c>
      <c r="BK79" s="229">
        <v>-4.6600000000000003E-2</v>
      </c>
      <c r="BL79" s="230">
        <v>11158500</v>
      </c>
      <c r="BM79" s="230">
        <v>19137150</v>
      </c>
      <c r="BN79" s="230">
        <v>-7978650</v>
      </c>
      <c r="BO79" s="229">
        <v>-0.41689999999999999</v>
      </c>
      <c r="BP79" s="230">
        <v>48484650</v>
      </c>
      <c r="BQ79" s="230">
        <v>56927700</v>
      </c>
      <c r="BR79" s="230">
        <v>-8443050</v>
      </c>
      <c r="BS79" s="229">
        <v>-0.14829999999999999</v>
      </c>
      <c r="BT79" s="230">
        <v>10907238</v>
      </c>
      <c r="BU79" s="230">
        <v>9463945</v>
      </c>
      <c r="BV79" s="230">
        <v>1443293</v>
      </c>
      <c r="BW79" s="229">
        <v>0.1525</v>
      </c>
      <c r="BX79" s="230">
        <v>103670850</v>
      </c>
      <c r="BY79" s="230">
        <v>104715750</v>
      </c>
      <c r="BZ79" s="230">
        <v>-1044900</v>
      </c>
      <c r="CA79" s="229">
        <v>-0.01</v>
      </c>
      <c r="CB79" s="230">
        <v>103670850</v>
      </c>
      <c r="CC79" s="230">
        <v>104715750</v>
      </c>
      <c r="CD79" s="230">
        <v>-1044900</v>
      </c>
      <c r="CE79" s="229">
        <v>-0.01</v>
      </c>
      <c r="CF79" s="228">
        <v>0</v>
      </c>
      <c r="CG79" s="228">
        <v>0</v>
      </c>
      <c r="CH79" s="228">
        <v>0</v>
      </c>
      <c r="CI79" s="229">
        <v>0</v>
      </c>
      <c r="CJ79" s="228">
        <v>0</v>
      </c>
      <c r="CK79" s="228">
        <v>0</v>
      </c>
      <c r="CL79" s="228">
        <v>0</v>
      </c>
      <c r="CM79" s="229">
        <v>0</v>
      </c>
      <c r="CN79" s="230">
        <v>74523300</v>
      </c>
      <c r="CO79" s="230">
        <v>76548600</v>
      </c>
      <c r="CP79" s="230">
        <v>-2025300</v>
      </c>
      <c r="CQ79" s="229">
        <v>-2.6499999999999999E-2</v>
      </c>
      <c r="CR79" s="230">
        <v>31927500</v>
      </c>
      <c r="CS79" s="230">
        <v>31759800</v>
      </c>
      <c r="CT79" s="230">
        <v>167700</v>
      </c>
      <c r="CU79" s="229">
        <v>5.3E-3</v>
      </c>
      <c r="CV79" s="230">
        <v>210121650</v>
      </c>
      <c r="CW79" s="230">
        <v>213024150</v>
      </c>
      <c r="CX79" s="230">
        <v>-2902500</v>
      </c>
      <c r="CY79" s="229">
        <v>-1.3599999999999999E-2</v>
      </c>
      <c r="CZ79" s="228">
        <v>37.96</v>
      </c>
      <c r="DA79" s="228">
        <v>40.04</v>
      </c>
      <c r="DB79" s="228">
        <v>-2.08</v>
      </c>
      <c r="DC79" s="228">
        <v>-2.08</v>
      </c>
      <c r="DD79" s="228">
        <v>52.13</v>
      </c>
      <c r="DE79" s="228">
        <v>52.26</v>
      </c>
      <c r="DF79" s="228">
        <v>-14.17</v>
      </c>
      <c r="DG79" s="228">
        <v>-0.13</v>
      </c>
      <c r="DH79" s="228">
        <v>38.130000000000003</v>
      </c>
      <c r="DI79" s="228">
        <v>40.74</v>
      </c>
      <c r="DJ79" s="228">
        <v>-2.61</v>
      </c>
      <c r="DK79" s="228">
        <v>-2.61</v>
      </c>
      <c r="DL79" s="228">
        <v>37.53</v>
      </c>
      <c r="DM79" s="228">
        <v>38.94</v>
      </c>
      <c r="DN79" s="228">
        <v>-1.41</v>
      </c>
      <c r="DO79" s="228">
        <v>-1.41</v>
      </c>
      <c r="DP79" s="228">
        <v>0.43</v>
      </c>
      <c r="DQ79" s="228">
        <v>0.41</v>
      </c>
      <c r="DR79" s="228">
        <v>0.02</v>
      </c>
      <c r="DS79" s="229">
        <v>4.8800000000000003E-2</v>
      </c>
      <c r="DT79" s="228">
        <v>70</v>
      </c>
      <c r="DU79" s="228">
        <v>75</v>
      </c>
      <c r="DV79" s="228">
        <v>0.39</v>
      </c>
      <c r="DW79" s="228">
        <v>0.64</v>
      </c>
      <c r="DX79" s="228">
        <v>-0.25</v>
      </c>
      <c r="DY79" s="229">
        <v>-0.3906</v>
      </c>
      <c r="DZ79" s="229">
        <v>0</v>
      </c>
      <c r="EA79" s="228">
        <v>0</v>
      </c>
      <c r="EB79" s="229">
        <v>0</v>
      </c>
      <c r="EC79" s="229">
        <v>0</v>
      </c>
      <c r="ED79" s="228">
        <v>0</v>
      </c>
      <c r="EE79" s="229">
        <v>0</v>
      </c>
      <c r="EF79" s="230">
        <v>2486441</v>
      </c>
      <c r="EG79" s="230">
        <v>2864349</v>
      </c>
      <c r="EH79" s="229">
        <v>-0.13189999999999999</v>
      </c>
      <c r="EI79" s="229">
        <v>0.22800000000000001</v>
      </c>
      <c r="EJ79" s="231">
        <v>19982.61</v>
      </c>
      <c r="EK79" s="231">
        <v>7252.5</v>
      </c>
      <c r="EL79" s="231">
        <v>5638.07</v>
      </c>
      <c r="EM79" s="231">
        <v>1974</v>
      </c>
      <c r="EN79" s="231">
        <v>32873.18</v>
      </c>
      <c r="EO79" s="231">
        <v>38507.589999999997</v>
      </c>
      <c r="EP79" s="231">
        <v>-5634.41</v>
      </c>
      <c r="EQ79" s="229">
        <v>-0.14630000000000001</v>
      </c>
      <c r="ER79" s="231">
        <v>53764</v>
      </c>
      <c r="ES79" s="231">
        <v>21838</v>
      </c>
      <c r="ET79" s="231">
        <v>67127</v>
      </c>
      <c r="EU79" s="231">
        <v>147979599</v>
      </c>
      <c r="EV79" s="231">
        <v>142729</v>
      </c>
      <c r="EW79" s="231">
        <v>144788</v>
      </c>
      <c r="EX79" s="231">
        <v>-2059</v>
      </c>
      <c r="EY79" s="229">
        <v>-1.4200000000000001E-2</v>
      </c>
      <c r="EZ79" s="229">
        <v>1.4198999999999999</v>
      </c>
      <c r="FA79" s="227" t="s">
        <v>556</v>
      </c>
      <c r="FB79" s="161">
        <f t="shared" si="1"/>
        <v>0</v>
      </c>
    </row>
    <row r="80" spans="1:158" ht="17.25" hidden="1" thickBot="1" x14ac:dyDescent="0.3">
      <c r="A80" s="226">
        <v>46009</v>
      </c>
      <c r="B80" s="227" t="s">
        <v>227</v>
      </c>
      <c r="C80" s="227" t="s">
        <v>228</v>
      </c>
      <c r="D80" s="228">
        <v>700</v>
      </c>
      <c r="E80" s="228">
        <v>858</v>
      </c>
      <c r="F80" s="228">
        <v>849.65</v>
      </c>
      <c r="G80" s="228">
        <v>8.35</v>
      </c>
      <c r="H80" s="229">
        <v>9.7999999999999997E-3</v>
      </c>
      <c r="I80" s="228">
        <v>856.7</v>
      </c>
      <c r="J80" s="228">
        <v>848.8</v>
      </c>
      <c r="K80" s="228">
        <v>7.9</v>
      </c>
      <c r="L80" s="229">
        <v>9.2999999999999992E-3</v>
      </c>
      <c r="M80" s="228">
        <v>858</v>
      </c>
      <c r="N80" s="228">
        <v>849.65</v>
      </c>
      <c r="O80" s="228">
        <v>8.35</v>
      </c>
      <c r="P80" s="229">
        <v>9.7999999999999997E-3</v>
      </c>
      <c r="Q80" s="228">
        <v>863.55</v>
      </c>
      <c r="R80" s="228">
        <v>855</v>
      </c>
      <c r="S80" s="228">
        <v>8.5500000000000007</v>
      </c>
      <c r="T80" s="229">
        <v>0.01</v>
      </c>
      <c r="U80" s="228">
        <v>868.2</v>
      </c>
      <c r="V80" s="228">
        <v>859.45</v>
      </c>
      <c r="W80" s="228">
        <v>8.75</v>
      </c>
      <c r="X80" s="229">
        <v>1.0200000000000001E-2</v>
      </c>
      <c r="Y80" s="228">
        <v>1.3</v>
      </c>
      <c r="Z80" s="228">
        <v>0.85</v>
      </c>
      <c r="AA80" s="228">
        <v>0.45</v>
      </c>
      <c r="AB80" s="229">
        <v>1.5E-3</v>
      </c>
      <c r="AC80" s="228">
        <v>1.3</v>
      </c>
      <c r="AD80" s="228">
        <v>0.85</v>
      </c>
      <c r="AE80" s="228">
        <v>0.45</v>
      </c>
      <c r="AF80" s="229">
        <v>1.5E-3</v>
      </c>
      <c r="AG80" s="228">
        <v>6.85</v>
      </c>
      <c r="AH80" s="228">
        <v>6.2</v>
      </c>
      <c r="AI80" s="228">
        <v>0.65</v>
      </c>
      <c r="AJ80" s="229">
        <v>8.0000000000000002E-3</v>
      </c>
      <c r="AK80" s="228">
        <v>11.5</v>
      </c>
      <c r="AL80" s="228">
        <v>10.65</v>
      </c>
      <c r="AM80" s="228">
        <v>0.85</v>
      </c>
      <c r="AN80" s="229">
        <v>1.34E-2</v>
      </c>
      <c r="AO80" s="228">
        <v>857.39</v>
      </c>
      <c r="AP80" s="228">
        <v>863.55</v>
      </c>
      <c r="AQ80" s="228">
        <v>0</v>
      </c>
      <c r="AR80" s="230">
        <v>19485200</v>
      </c>
      <c r="AS80" s="230">
        <v>8379000</v>
      </c>
      <c r="AT80" s="230">
        <v>11106200</v>
      </c>
      <c r="AU80" s="229">
        <v>1.3254999999999999</v>
      </c>
      <c r="AV80" s="230">
        <v>12594400</v>
      </c>
      <c r="AW80" s="230">
        <v>6815900</v>
      </c>
      <c r="AX80" s="230">
        <v>5778500</v>
      </c>
      <c r="AY80" s="229">
        <v>0.8478</v>
      </c>
      <c r="AZ80" s="230">
        <v>6772500</v>
      </c>
      <c r="BA80" s="230">
        <v>1503600</v>
      </c>
      <c r="BB80" s="230">
        <v>5268900</v>
      </c>
      <c r="BC80" s="229">
        <v>3.5042</v>
      </c>
      <c r="BD80" s="230">
        <v>118300</v>
      </c>
      <c r="BE80" s="230">
        <v>59500</v>
      </c>
      <c r="BF80" s="230">
        <v>58800</v>
      </c>
      <c r="BG80" s="229">
        <v>0.98819999999999997</v>
      </c>
      <c r="BH80" s="230">
        <v>34814500</v>
      </c>
      <c r="BI80" s="230">
        <v>26565000</v>
      </c>
      <c r="BJ80" s="230">
        <v>8249500</v>
      </c>
      <c r="BK80" s="229">
        <v>0.3105</v>
      </c>
      <c r="BL80" s="230">
        <v>18685800</v>
      </c>
      <c r="BM80" s="230">
        <v>11707500</v>
      </c>
      <c r="BN80" s="230">
        <v>6978300</v>
      </c>
      <c r="BO80" s="229">
        <v>0.59609999999999996</v>
      </c>
      <c r="BP80" s="230">
        <v>72985500</v>
      </c>
      <c r="BQ80" s="230">
        <v>46651500</v>
      </c>
      <c r="BR80" s="230">
        <v>26334000</v>
      </c>
      <c r="BS80" s="229">
        <v>0.5645</v>
      </c>
      <c r="BT80" s="230">
        <v>4277747</v>
      </c>
      <c r="BU80" s="230">
        <v>3347045</v>
      </c>
      <c r="BV80" s="230">
        <v>930702</v>
      </c>
      <c r="BW80" s="229">
        <v>0.27810000000000001</v>
      </c>
      <c r="BX80" s="230">
        <v>78810900</v>
      </c>
      <c r="BY80" s="230">
        <v>78094800</v>
      </c>
      <c r="BZ80" s="230">
        <v>716100</v>
      </c>
      <c r="CA80" s="229">
        <v>9.1999999999999998E-3</v>
      </c>
      <c r="CB80" s="230">
        <v>69514200</v>
      </c>
      <c r="CC80" s="230">
        <v>74827900</v>
      </c>
      <c r="CD80" s="230">
        <v>-5313700</v>
      </c>
      <c r="CE80" s="229">
        <v>-7.0999999999999994E-2</v>
      </c>
      <c r="CF80" s="230">
        <v>9032100</v>
      </c>
      <c r="CG80" s="230">
        <v>3047100</v>
      </c>
      <c r="CH80" s="230">
        <v>5985000</v>
      </c>
      <c r="CI80" s="229">
        <v>1.9641999999999999</v>
      </c>
      <c r="CJ80" s="230">
        <v>264600</v>
      </c>
      <c r="CK80" s="230">
        <v>219800</v>
      </c>
      <c r="CL80" s="230">
        <v>44800</v>
      </c>
      <c r="CM80" s="229">
        <v>0.20380000000000001</v>
      </c>
      <c r="CN80" s="230">
        <v>15368500</v>
      </c>
      <c r="CO80" s="230">
        <v>15589700</v>
      </c>
      <c r="CP80" s="230">
        <v>-221200</v>
      </c>
      <c r="CQ80" s="229">
        <v>-1.4200000000000001E-2</v>
      </c>
      <c r="CR80" s="230">
        <v>11883200</v>
      </c>
      <c r="CS80" s="230">
        <v>11472300</v>
      </c>
      <c r="CT80" s="230">
        <v>410900</v>
      </c>
      <c r="CU80" s="229">
        <v>3.5799999999999998E-2</v>
      </c>
      <c r="CV80" s="230">
        <v>106062600</v>
      </c>
      <c r="CW80" s="230">
        <v>105156800</v>
      </c>
      <c r="CX80" s="230">
        <v>905800</v>
      </c>
      <c r="CY80" s="229">
        <v>8.6E-3</v>
      </c>
      <c r="CZ80" s="228">
        <v>21.58</v>
      </c>
      <c r="DA80" s="228">
        <v>22.4</v>
      </c>
      <c r="DB80" s="228">
        <v>-0.82</v>
      </c>
      <c r="DC80" s="228">
        <v>-0.82</v>
      </c>
      <c r="DD80" s="228">
        <v>32.53</v>
      </c>
      <c r="DE80" s="228">
        <v>32.590000000000003</v>
      </c>
      <c r="DF80" s="228">
        <v>-10.95</v>
      </c>
      <c r="DG80" s="228">
        <v>-0.06</v>
      </c>
      <c r="DH80" s="228">
        <v>20.95</v>
      </c>
      <c r="DI80" s="228">
        <v>21.89</v>
      </c>
      <c r="DJ80" s="228">
        <v>-0.94</v>
      </c>
      <c r="DK80" s="228">
        <v>-0.94</v>
      </c>
      <c r="DL80" s="228">
        <v>22.75</v>
      </c>
      <c r="DM80" s="228">
        <v>23.55</v>
      </c>
      <c r="DN80" s="228">
        <v>-0.8</v>
      </c>
      <c r="DO80" s="228">
        <v>-0.8</v>
      </c>
      <c r="DP80" s="228">
        <v>0.77</v>
      </c>
      <c r="DQ80" s="228">
        <v>0.74</v>
      </c>
      <c r="DR80" s="228">
        <v>0.03</v>
      </c>
      <c r="DS80" s="229">
        <v>4.0500000000000001E-2</v>
      </c>
      <c r="DT80" s="228">
        <v>800</v>
      </c>
      <c r="DU80" s="228">
        <v>780</v>
      </c>
      <c r="DV80" s="228">
        <v>0.54</v>
      </c>
      <c r="DW80" s="228">
        <v>0.44</v>
      </c>
      <c r="DX80" s="228">
        <v>0.1</v>
      </c>
      <c r="DY80" s="229">
        <v>0.2273</v>
      </c>
      <c r="DZ80" s="229">
        <v>0.11799999999999999</v>
      </c>
      <c r="EA80" s="230">
        <v>3266900</v>
      </c>
      <c r="EB80" s="229">
        <v>6.4999999999999997E-3</v>
      </c>
      <c r="EC80" s="229">
        <v>0.11799999999999999</v>
      </c>
      <c r="ED80" s="228">
        <v>6.16</v>
      </c>
      <c r="EE80" s="229">
        <v>7.1999999999999998E-3</v>
      </c>
      <c r="EF80" s="230">
        <v>2528479</v>
      </c>
      <c r="EG80" s="230">
        <v>1894962</v>
      </c>
      <c r="EH80" s="229">
        <v>0.33429999999999999</v>
      </c>
      <c r="EI80" s="229">
        <v>0.59109999999999996</v>
      </c>
      <c r="EJ80" s="231">
        <v>305995.5</v>
      </c>
      <c r="EK80" s="231">
        <v>157373.84</v>
      </c>
      <c r="EL80" s="231">
        <v>167492.89000000001</v>
      </c>
      <c r="EM80" s="231">
        <v>10398</v>
      </c>
      <c r="EN80" s="231">
        <v>630862.23</v>
      </c>
      <c r="EO80" s="231">
        <v>400253.55</v>
      </c>
      <c r="EP80" s="231">
        <v>230608.68</v>
      </c>
      <c r="EQ80" s="229">
        <v>0.57620000000000005</v>
      </c>
      <c r="ER80" s="231">
        <v>131602</v>
      </c>
      <c r="ES80" s="231">
        <v>94980</v>
      </c>
      <c r="ET80" s="231">
        <v>676726</v>
      </c>
      <c r="EU80" s="231">
        <v>176136372</v>
      </c>
      <c r="EV80" s="231">
        <v>903308</v>
      </c>
      <c r="EW80" s="231">
        <v>887752</v>
      </c>
      <c r="EX80" s="231">
        <v>15556</v>
      </c>
      <c r="EY80" s="229">
        <v>1.7500000000000002E-2</v>
      </c>
      <c r="EZ80" s="229">
        <v>0.60219999999999996</v>
      </c>
      <c r="FA80" s="227" t="s">
        <v>555</v>
      </c>
      <c r="FB80" s="161">
        <f t="shared" si="1"/>
        <v>9296700</v>
      </c>
    </row>
    <row r="81" spans="1:158" ht="17.25" hidden="1" thickBot="1" x14ac:dyDescent="0.3">
      <c r="A81" s="226">
        <v>46009</v>
      </c>
      <c r="B81" s="227" t="s">
        <v>193</v>
      </c>
      <c r="C81" s="227" t="s">
        <v>229</v>
      </c>
      <c r="D81" s="228">
        <v>2025</v>
      </c>
      <c r="E81" s="228">
        <v>464.6</v>
      </c>
      <c r="F81" s="228">
        <v>466.4</v>
      </c>
      <c r="G81" s="228">
        <v>-1.8</v>
      </c>
      <c r="H81" s="229">
        <v>-3.8999999999999998E-3</v>
      </c>
      <c r="I81" s="228">
        <v>464</v>
      </c>
      <c r="J81" s="228">
        <v>465.45</v>
      </c>
      <c r="K81" s="228">
        <v>-1.45</v>
      </c>
      <c r="L81" s="229">
        <v>-3.0999999999999999E-3</v>
      </c>
      <c r="M81" s="228">
        <v>464.6</v>
      </c>
      <c r="N81" s="228">
        <v>466.4</v>
      </c>
      <c r="O81" s="228">
        <v>-1.8</v>
      </c>
      <c r="P81" s="229">
        <v>-3.8999999999999998E-3</v>
      </c>
      <c r="Q81" s="228">
        <v>467.6</v>
      </c>
      <c r="R81" s="228">
        <v>469.2</v>
      </c>
      <c r="S81" s="228">
        <v>-1.6</v>
      </c>
      <c r="T81" s="229">
        <v>-3.3999999999999998E-3</v>
      </c>
      <c r="U81" s="228">
        <v>467.35</v>
      </c>
      <c r="V81" s="228">
        <v>469.85</v>
      </c>
      <c r="W81" s="228">
        <v>-2.5</v>
      </c>
      <c r="X81" s="229">
        <v>-5.3E-3</v>
      </c>
      <c r="Y81" s="228">
        <v>0.6</v>
      </c>
      <c r="Z81" s="228">
        <v>0.95</v>
      </c>
      <c r="AA81" s="228">
        <v>-0.35</v>
      </c>
      <c r="AB81" s="229">
        <v>1.2999999999999999E-3</v>
      </c>
      <c r="AC81" s="228">
        <v>0.6</v>
      </c>
      <c r="AD81" s="228">
        <v>0.95</v>
      </c>
      <c r="AE81" s="228">
        <v>-0.35</v>
      </c>
      <c r="AF81" s="229">
        <v>1.2999999999999999E-3</v>
      </c>
      <c r="AG81" s="228">
        <v>3.6</v>
      </c>
      <c r="AH81" s="228">
        <v>3.75</v>
      </c>
      <c r="AI81" s="228">
        <v>-0.15</v>
      </c>
      <c r="AJ81" s="229">
        <v>7.7999999999999996E-3</v>
      </c>
      <c r="AK81" s="228">
        <v>3.35</v>
      </c>
      <c r="AL81" s="228">
        <v>4.4000000000000004</v>
      </c>
      <c r="AM81" s="228">
        <v>-1.05</v>
      </c>
      <c r="AN81" s="229">
        <v>7.1999999999999998E-3</v>
      </c>
      <c r="AO81" s="228">
        <v>462.99</v>
      </c>
      <c r="AP81" s="228">
        <v>466.26</v>
      </c>
      <c r="AQ81" s="228">
        <v>0</v>
      </c>
      <c r="AR81" s="230">
        <v>4058100</v>
      </c>
      <c r="AS81" s="230">
        <v>4305150</v>
      </c>
      <c r="AT81" s="230">
        <v>-247050</v>
      </c>
      <c r="AU81" s="229">
        <v>-5.74E-2</v>
      </c>
      <c r="AV81" s="230">
        <v>3361500</v>
      </c>
      <c r="AW81" s="230">
        <v>3817125</v>
      </c>
      <c r="AX81" s="230">
        <v>-455625</v>
      </c>
      <c r="AY81" s="229">
        <v>-0.11940000000000001</v>
      </c>
      <c r="AZ81" s="230">
        <v>656100</v>
      </c>
      <c r="BA81" s="230">
        <v>437400</v>
      </c>
      <c r="BB81" s="230">
        <v>218700</v>
      </c>
      <c r="BC81" s="229">
        <v>0.5</v>
      </c>
      <c r="BD81" s="230">
        <v>40500</v>
      </c>
      <c r="BE81" s="230">
        <v>50625</v>
      </c>
      <c r="BF81" s="230">
        <v>-10125</v>
      </c>
      <c r="BG81" s="229">
        <v>-0.2</v>
      </c>
      <c r="BH81" s="230">
        <v>11540475</v>
      </c>
      <c r="BI81" s="230">
        <v>19496700</v>
      </c>
      <c r="BJ81" s="230">
        <v>-7956225</v>
      </c>
      <c r="BK81" s="229">
        <v>-0.40810000000000002</v>
      </c>
      <c r="BL81" s="230">
        <v>6012225</v>
      </c>
      <c r="BM81" s="230">
        <v>7340625</v>
      </c>
      <c r="BN81" s="230">
        <v>-1328400</v>
      </c>
      <c r="BO81" s="229">
        <v>-0.18099999999999999</v>
      </c>
      <c r="BP81" s="230">
        <v>21610800</v>
      </c>
      <c r="BQ81" s="230">
        <v>31142475</v>
      </c>
      <c r="BR81" s="230">
        <v>-9531675</v>
      </c>
      <c r="BS81" s="229">
        <v>-0.30609999999999998</v>
      </c>
      <c r="BT81" s="230">
        <v>1264823</v>
      </c>
      <c r="BU81" s="230">
        <v>2370570</v>
      </c>
      <c r="BV81" s="230">
        <v>-1105747</v>
      </c>
      <c r="BW81" s="229">
        <v>-0.46639999999999998</v>
      </c>
      <c r="BX81" s="230">
        <v>38456775</v>
      </c>
      <c r="BY81" s="230">
        <v>38282625</v>
      </c>
      <c r="BZ81" s="230">
        <v>174150</v>
      </c>
      <c r="CA81" s="229">
        <v>4.4999999999999997E-3</v>
      </c>
      <c r="CB81" s="230">
        <v>36512775</v>
      </c>
      <c r="CC81" s="230">
        <v>36749700</v>
      </c>
      <c r="CD81" s="230">
        <v>-236925</v>
      </c>
      <c r="CE81" s="229">
        <v>-6.4000000000000003E-3</v>
      </c>
      <c r="CF81" s="230">
        <v>1707075</v>
      </c>
      <c r="CG81" s="230">
        <v>1306125</v>
      </c>
      <c r="CH81" s="230">
        <v>400950</v>
      </c>
      <c r="CI81" s="229">
        <v>0.307</v>
      </c>
      <c r="CJ81" s="230">
        <v>236925</v>
      </c>
      <c r="CK81" s="230">
        <v>226800</v>
      </c>
      <c r="CL81" s="230">
        <v>10125</v>
      </c>
      <c r="CM81" s="229">
        <v>4.4600000000000001E-2</v>
      </c>
      <c r="CN81" s="230">
        <v>14993100</v>
      </c>
      <c r="CO81" s="230">
        <v>15189525</v>
      </c>
      <c r="CP81" s="230">
        <v>-196425</v>
      </c>
      <c r="CQ81" s="229">
        <v>-1.29E-2</v>
      </c>
      <c r="CR81" s="230">
        <v>8903925</v>
      </c>
      <c r="CS81" s="230">
        <v>8737875</v>
      </c>
      <c r="CT81" s="230">
        <v>166050</v>
      </c>
      <c r="CU81" s="229">
        <v>1.9E-2</v>
      </c>
      <c r="CV81" s="230">
        <v>62353800</v>
      </c>
      <c r="CW81" s="230">
        <v>62210025</v>
      </c>
      <c r="CX81" s="230">
        <v>143775</v>
      </c>
      <c r="CY81" s="229">
        <v>2.3E-3</v>
      </c>
      <c r="CZ81" s="228">
        <v>22.99</v>
      </c>
      <c r="DA81" s="228">
        <v>23.87</v>
      </c>
      <c r="DB81" s="228">
        <v>-0.88</v>
      </c>
      <c r="DC81" s="228">
        <v>-0.88</v>
      </c>
      <c r="DD81" s="228">
        <v>38.29</v>
      </c>
      <c r="DE81" s="228">
        <v>38.380000000000003</v>
      </c>
      <c r="DF81" s="228">
        <v>-15.3</v>
      </c>
      <c r="DG81" s="228">
        <v>-0.09</v>
      </c>
      <c r="DH81" s="228">
        <v>22.97</v>
      </c>
      <c r="DI81" s="228">
        <v>23.88</v>
      </c>
      <c r="DJ81" s="228">
        <v>-0.91</v>
      </c>
      <c r="DK81" s="228">
        <v>-0.91</v>
      </c>
      <c r="DL81" s="228">
        <v>23.02</v>
      </c>
      <c r="DM81" s="228">
        <v>23.83</v>
      </c>
      <c r="DN81" s="228">
        <v>-0.81</v>
      </c>
      <c r="DO81" s="228">
        <v>-0.81</v>
      </c>
      <c r="DP81" s="228">
        <v>0.59</v>
      </c>
      <c r="DQ81" s="228">
        <v>0.57999999999999996</v>
      </c>
      <c r="DR81" s="228">
        <v>0.01</v>
      </c>
      <c r="DS81" s="229">
        <v>1.72E-2</v>
      </c>
      <c r="DT81" s="228">
        <v>470</v>
      </c>
      <c r="DU81" s="228">
        <v>450</v>
      </c>
      <c r="DV81" s="228">
        <v>0.52</v>
      </c>
      <c r="DW81" s="228">
        <v>0.38</v>
      </c>
      <c r="DX81" s="228">
        <v>0.14000000000000001</v>
      </c>
      <c r="DY81" s="229">
        <v>0.36840000000000001</v>
      </c>
      <c r="DZ81" s="229">
        <v>5.0599999999999999E-2</v>
      </c>
      <c r="EA81" s="230">
        <v>1532925</v>
      </c>
      <c r="EB81" s="229">
        <v>6.4999999999999997E-3</v>
      </c>
      <c r="EC81" s="229">
        <v>5.0599999999999999E-2</v>
      </c>
      <c r="ED81" s="228">
        <v>3.27</v>
      </c>
      <c r="EE81" s="229">
        <v>7.1000000000000004E-3</v>
      </c>
      <c r="EF81" s="230">
        <v>543236</v>
      </c>
      <c r="EG81" s="230">
        <v>1085188</v>
      </c>
      <c r="EH81" s="229">
        <v>-0.49940000000000001</v>
      </c>
      <c r="EI81" s="229">
        <v>0.42949999999999999</v>
      </c>
      <c r="EJ81" s="231">
        <v>55589.08</v>
      </c>
      <c r="EK81" s="231">
        <v>27380.76</v>
      </c>
      <c r="EL81" s="231">
        <v>18811.03</v>
      </c>
      <c r="EM81" s="231">
        <v>3028</v>
      </c>
      <c r="EN81" s="231">
        <v>101780.87</v>
      </c>
      <c r="EO81" s="231">
        <v>148045.37</v>
      </c>
      <c r="EP81" s="231">
        <v>-46264.5</v>
      </c>
      <c r="EQ81" s="229">
        <v>-0.3125</v>
      </c>
      <c r="ER81" s="231">
        <v>71964</v>
      </c>
      <c r="ES81" s="231">
        <v>39768</v>
      </c>
      <c r="ET81" s="231">
        <v>178728</v>
      </c>
      <c r="EU81" s="231">
        <v>143933168</v>
      </c>
      <c r="EV81" s="231">
        <v>290459</v>
      </c>
      <c r="EW81" s="231">
        <v>290655</v>
      </c>
      <c r="EX81" s="228">
        <v>-196</v>
      </c>
      <c r="EY81" s="229">
        <v>-6.9999999999999999E-4</v>
      </c>
      <c r="EZ81" s="229">
        <v>0.43319999999999997</v>
      </c>
      <c r="FA81" s="227" t="s">
        <v>567</v>
      </c>
      <c r="FB81" s="161">
        <f t="shared" si="1"/>
        <v>1944000</v>
      </c>
    </row>
    <row r="82" spans="1:158" ht="17.25" hidden="1" thickBot="1" x14ac:dyDescent="0.3">
      <c r="A82" s="226">
        <v>46009</v>
      </c>
      <c r="B82" s="227" t="s">
        <v>168</v>
      </c>
      <c r="C82" s="227" t="s">
        <v>230</v>
      </c>
      <c r="D82" s="228">
        <v>300</v>
      </c>
      <c r="E82" s="231">
        <v>2265.6</v>
      </c>
      <c r="F82" s="231">
        <v>2275.3000000000002</v>
      </c>
      <c r="G82" s="228">
        <v>-9.6999999999999993</v>
      </c>
      <c r="H82" s="229">
        <v>-4.3E-3</v>
      </c>
      <c r="I82" s="231">
        <v>2265.5</v>
      </c>
      <c r="J82" s="231">
        <v>2275.6</v>
      </c>
      <c r="K82" s="228">
        <v>-10.1</v>
      </c>
      <c r="L82" s="229">
        <v>-4.4000000000000003E-3</v>
      </c>
      <c r="M82" s="231">
        <v>2265.6</v>
      </c>
      <c r="N82" s="231">
        <v>2275.3000000000002</v>
      </c>
      <c r="O82" s="228">
        <v>-9.6999999999999993</v>
      </c>
      <c r="P82" s="229">
        <v>-4.3E-3</v>
      </c>
      <c r="Q82" s="231">
        <v>2283</v>
      </c>
      <c r="R82" s="231">
        <v>2291.6</v>
      </c>
      <c r="S82" s="228">
        <v>-8.6</v>
      </c>
      <c r="T82" s="229">
        <v>-3.8E-3</v>
      </c>
      <c r="U82" s="231">
        <v>2297.6999999999998</v>
      </c>
      <c r="V82" s="231">
        <v>2305</v>
      </c>
      <c r="W82" s="228">
        <v>-7.3</v>
      </c>
      <c r="X82" s="229">
        <v>-3.2000000000000002E-3</v>
      </c>
      <c r="Y82" s="228">
        <v>0.1</v>
      </c>
      <c r="Z82" s="228">
        <v>-0.3</v>
      </c>
      <c r="AA82" s="228">
        <v>0.4</v>
      </c>
      <c r="AB82" s="229">
        <v>0</v>
      </c>
      <c r="AC82" s="228">
        <v>0.1</v>
      </c>
      <c r="AD82" s="228">
        <v>-0.3</v>
      </c>
      <c r="AE82" s="228">
        <v>0.4</v>
      </c>
      <c r="AF82" s="229">
        <v>0</v>
      </c>
      <c r="AG82" s="228">
        <v>17.5</v>
      </c>
      <c r="AH82" s="228">
        <v>16</v>
      </c>
      <c r="AI82" s="228">
        <v>1.5</v>
      </c>
      <c r="AJ82" s="229">
        <v>7.7000000000000002E-3</v>
      </c>
      <c r="AK82" s="228">
        <v>32.200000000000003</v>
      </c>
      <c r="AL82" s="228">
        <v>29.4</v>
      </c>
      <c r="AM82" s="228">
        <v>2.8</v>
      </c>
      <c r="AN82" s="229">
        <v>1.4200000000000001E-2</v>
      </c>
      <c r="AO82" s="231">
        <v>2265.9299999999998</v>
      </c>
      <c r="AP82" s="231">
        <v>2284.33</v>
      </c>
      <c r="AQ82" s="228">
        <v>0</v>
      </c>
      <c r="AR82" s="230">
        <v>1919400</v>
      </c>
      <c r="AS82" s="230">
        <v>1203300</v>
      </c>
      <c r="AT82" s="230">
        <v>716100</v>
      </c>
      <c r="AU82" s="229">
        <v>0.59509999999999996</v>
      </c>
      <c r="AV82" s="230">
        <v>1509600</v>
      </c>
      <c r="AW82" s="230">
        <v>1007400</v>
      </c>
      <c r="AX82" s="230">
        <v>502200</v>
      </c>
      <c r="AY82" s="229">
        <v>0.4985</v>
      </c>
      <c r="AZ82" s="230">
        <v>387600</v>
      </c>
      <c r="BA82" s="230">
        <v>186600</v>
      </c>
      <c r="BB82" s="230">
        <v>201000</v>
      </c>
      <c r="BC82" s="229">
        <v>1.0771999999999999</v>
      </c>
      <c r="BD82" s="230">
        <v>22200</v>
      </c>
      <c r="BE82" s="230">
        <v>9300</v>
      </c>
      <c r="BF82" s="230">
        <v>12900</v>
      </c>
      <c r="BG82" s="229">
        <v>1.3871</v>
      </c>
      <c r="BH82" s="230">
        <v>5951400</v>
      </c>
      <c r="BI82" s="230">
        <v>5253900</v>
      </c>
      <c r="BJ82" s="230">
        <v>697500</v>
      </c>
      <c r="BK82" s="229">
        <v>0.1328</v>
      </c>
      <c r="BL82" s="230">
        <v>2205600</v>
      </c>
      <c r="BM82" s="230">
        <v>1683300</v>
      </c>
      <c r="BN82" s="230">
        <v>522300</v>
      </c>
      <c r="BO82" s="229">
        <v>0.31030000000000002</v>
      </c>
      <c r="BP82" s="230">
        <v>10076400</v>
      </c>
      <c r="BQ82" s="230">
        <v>8140500</v>
      </c>
      <c r="BR82" s="230">
        <v>1935900</v>
      </c>
      <c r="BS82" s="229">
        <v>0.23780000000000001</v>
      </c>
      <c r="BT82" s="230">
        <v>1344632</v>
      </c>
      <c r="BU82" s="230">
        <v>844134</v>
      </c>
      <c r="BV82" s="230">
        <v>500498</v>
      </c>
      <c r="BW82" s="229">
        <v>0.59289999999999998</v>
      </c>
      <c r="BX82" s="230">
        <v>11712300</v>
      </c>
      <c r="BY82" s="230">
        <v>10963800</v>
      </c>
      <c r="BZ82" s="230">
        <v>748500</v>
      </c>
      <c r="CA82" s="229">
        <v>6.83E-2</v>
      </c>
      <c r="CB82" s="230">
        <v>9652500</v>
      </c>
      <c r="CC82" s="230">
        <v>9201900</v>
      </c>
      <c r="CD82" s="230">
        <v>450600</v>
      </c>
      <c r="CE82" s="229">
        <v>4.9000000000000002E-2</v>
      </c>
      <c r="CF82" s="230">
        <v>1886400</v>
      </c>
      <c r="CG82" s="230">
        <v>1600200</v>
      </c>
      <c r="CH82" s="230">
        <v>286200</v>
      </c>
      <c r="CI82" s="229">
        <v>0.1789</v>
      </c>
      <c r="CJ82" s="230">
        <v>173400</v>
      </c>
      <c r="CK82" s="230">
        <v>161700</v>
      </c>
      <c r="CL82" s="230">
        <v>11700</v>
      </c>
      <c r="CM82" s="229">
        <v>7.2400000000000006E-2</v>
      </c>
      <c r="CN82" s="230">
        <v>6781500</v>
      </c>
      <c r="CO82" s="230">
        <v>6619500</v>
      </c>
      <c r="CP82" s="230">
        <v>162000</v>
      </c>
      <c r="CQ82" s="229">
        <v>2.4500000000000001E-2</v>
      </c>
      <c r="CR82" s="230">
        <v>3465600</v>
      </c>
      <c r="CS82" s="230">
        <v>3423000</v>
      </c>
      <c r="CT82" s="230">
        <v>42600</v>
      </c>
      <c r="CU82" s="229">
        <v>1.24E-2</v>
      </c>
      <c r="CV82" s="230">
        <v>21959400</v>
      </c>
      <c r="CW82" s="230">
        <v>21006300</v>
      </c>
      <c r="CX82" s="230">
        <v>953100</v>
      </c>
      <c r="CY82" s="229">
        <v>4.5400000000000003E-2</v>
      </c>
      <c r="CZ82" s="228">
        <v>15.83</v>
      </c>
      <c r="DA82" s="228">
        <v>16.53</v>
      </c>
      <c r="DB82" s="228">
        <v>-0.7</v>
      </c>
      <c r="DC82" s="228">
        <v>-0.7</v>
      </c>
      <c r="DD82" s="228">
        <v>22.11</v>
      </c>
      <c r="DE82" s="228">
        <v>22.15</v>
      </c>
      <c r="DF82" s="228">
        <v>-6.28</v>
      </c>
      <c r="DG82" s="228">
        <v>-0.04</v>
      </c>
      <c r="DH82" s="228">
        <v>15.95</v>
      </c>
      <c r="DI82" s="228">
        <v>16.64</v>
      </c>
      <c r="DJ82" s="228">
        <v>-0.69</v>
      </c>
      <c r="DK82" s="228">
        <v>-0.69</v>
      </c>
      <c r="DL82" s="228">
        <v>15.51</v>
      </c>
      <c r="DM82" s="228">
        <v>16.18</v>
      </c>
      <c r="DN82" s="228">
        <v>-0.67</v>
      </c>
      <c r="DO82" s="228">
        <v>-0.67</v>
      </c>
      <c r="DP82" s="228">
        <v>0.51</v>
      </c>
      <c r="DQ82" s="228">
        <v>0.52</v>
      </c>
      <c r="DR82" s="228">
        <v>-0.01</v>
      </c>
      <c r="DS82" s="229">
        <v>-1.9199999999999998E-2</v>
      </c>
      <c r="DT82" s="231">
        <v>2300</v>
      </c>
      <c r="DU82" s="231">
        <v>2300</v>
      </c>
      <c r="DV82" s="228">
        <v>0.37</v>
      </c>
      <c r="DW82" s="228">
        <v>0.32</v>
      </c>
      <c r="DX82" s="228">
        <v>0.05</v>
      </c>
      <c r="DY82" s="229">
        <v>0.15620000000000001</v>
      </c>
      <c r="DZ82" s="229">
        <v>0.1759</v>
      </c>
      <c r="EA82" s="230">
        <v>1761900</v>
      </c>
      <c r="EB82" s="229">
        <v>7.7000000000000002E-3</v>
      </c>
      <c r="EC82" s="229">
        <v>0.1759</v>
      </c>
      <c r="ED82" s="228">
        <v>18.399999999999999</v>
      </c>
      <c r="EE82" s="229">
        <v>8.0999999999999996E-3</v>
      </c>
      <c r="EF82" s="230">
        <v>667834</v>
      </c>
      <c r="EG82" s="230">
        <v>534412</v>
      </c>
      <c r="EH82" s="229">
        <v>0.24970000000000001</v>
      </c>
      <c r="EI82" s="229">
        <v>0.49669999999999997</v>
      </c>
      <c r="EJ82" s="231">
        <v>139022.39000000001</v>
      </c>
      <c r="EK82" s="231">
        <v>49653.77</v>
      </c>
      <c r="EL82" s="231">
        <v>43570.06</v>
      </c>
      <c r="EM82" s="231">
        <v>8380</v>
      </c>
      <c r="EN82" s="231">
        <v>232246.22</v>
      </c>
      <c r="EO82" s="231">
        <v>189045.2</v>
      </c>
      <c r="EP82" s="231">
        <v>43201.02</v>
      </c>
      <c r="EQ82" s="229">
        <v>0.22850000000000001</v>
      </c>
      <c r="ER82" s="231">
        <v>160406</v>
      </c>
      <c r="ES82" s="231">
        <v>78520</v>
      </c>
      <c r="ET82" s="231">
        <v>265738</v>
      </c>
      <c r="EU82" s="231">
        <v>89517840</v>
      </c>
      <c r="EV82" s="231">
        <v>504663</v>
      </c>
      <c r="EW82" s="231">
        <v>484281</v>
      </c>
      <c r="EX82" s="231">
        <v>20382</v>
      </c>
      <c r="EY82" s="229">
        <v>4.2099999999999999E-2</v>
      </c>
      <c r="EZ82" s="229">
        <v>0.24529999999999999</v>
      </c>
      <c r="FA82" s="227" t="s">
        <v>567</v>
      </c>
      <c r="FB82" s="161">
        <f t="shared" si="1"/>
        <v>2059800</v>
      </c>
    </row>
    <row r="83" spans="1:158" ht="17.25" hidden="1" thickBot="1" x14ac:dyDescent="0.3">
      <c r="A83" s="226">
        <v>46009</v>
      </c>
      <c r="B83" s="227" t="s">
        <v>227</v>
      </c>
      <c r="C83" s="227" t="s">
        <v>669</v>
      </c>
      <c r="D83" s="228">
        <v>1225</v>
      </c>
      <c r="E83" s="228">
        <v>592.35</v>
      </c>
      <c r="F83" s="228">
        <v>578.9</v>
      </c>
      <c r="G83" s="228">
        <v>13.45</v>
      </c>
      <c r="H83" s="229">
        <v>2.3199999999999998E-2</v>
      </c>
      <c r="I83" s="228">
        <v>592.15</v>
      </c>
      <c r="J83" s="228">
        <v>578.29999999999995</v>
      </c>
      <c r="K83" s="228">
        <v>13.85</v>
      </c>
      <c r="L83" s="229">
        <v>2.3900000000000001E-2</v>
      </c>
      <c r="M83" s="228">
        <v>592.35</v>
      </c>
      <c r="N83" s="228">
        <v>578.9</v>
      </c>
      <c r="O83" s="228">
        <v>13.45</v>
      </c>
      <c r="P83" s="229">
        <v>2.3199999999999998E-2</v>
      </c>
      <c r="Q83" s="228">
        <v>595.79999999999995</v>
      </c>
      <c r="R83" s="228">
        <v>582.6</v>
      </c>
      <c r="S83" s="228">
        <v>13.2</v>
      </c>
      <c r="T83" s="229">
        <v>2.2700000000000001E-2</v>
      </c>
      <c r="U83" s="228">
        <v>599.45000000000005</v>
      </c>
      <c r="V83" s="228">
        <v>585.65</v>
      </c>
      <c r="W83" s="228">
        <v>13.8</v>
      </c>
      <c r="X83" s="229">
        <v>2.3599999999999999E-2</v>
      </c>
      <c r="Y83" s="228">
        <v>0.2</v>
      </c>
      <c r="Z83" s="228">
        <v>0.6</v>
      </c>
      <c r="AA83" s="228">
        <v>-0.4</v>
      </c>
      <c r="AB83" s="229">
        <v>2.9999999999999997E-4</v>
      </c>
      <c r="AC83" s="228">
        <v>0.2</v>
      </c>
      <c r="AD83" s="228">
        <v>0.6</v>
      </c>
      <c r="AE83" s="228">
        <v>-0.4</v>
      </c>
      <c r="AF83" s="229">
        <v>2.9999999999999997E-4</v>
      </c>
      <c r="AG83" s="228">
        <v>3.65</v>
      </c>
      <c r="AH83" s="228">
        <v>4.3</v>
      </c>
      <c r="AI83" s="228">
        <v>-0.65</v>
      </c>
      <c r="AJ83" s="229">
        <v>6.1999999999999998E-3</v>
      </c>
      <c r="AK83" s="228">
        <v>7.3</v>
      </c>
      <c r="AL83" s="228">
        <v>7.35</v>
      </c>
      <c r="AM83" s="228">
        <v>-0.05</v>
      </c>
      <c r="AN83" s="229">
        <v>1.23E-2</v>
      </c>
      <c r="AO83" s="228">
        <v>589.13</v>
      </c>
      <c r="AP83" s="228">
        <v>593.13</v>
      </c>
      <c r="AQ83" s="228">
        <v>0</v>
      </c>
      <c r="AR83" s="230">
        <v>19533850</v>
      </c>
      <c r="AS83" s="230">
        <v>24537975</v>
      </c>
      <c r="AT83" s="230">
        <v>-5004125</v>
      </c>
      <c r="AU83" s="229">
        <v>-0.2039</v>
      </c>
      <c r="AV83" s="230">
        <v>15559950</v>
      </c>
      <c r="AW83" s="230">
        <v>20706175</v>
      </c>
      <c r="AX83" s="230">
        <v>-5146225</v>
      </c>
      <c r="AY83" s="229">
        <v>-0.2485</v>
      </c>
      <c r="AZ83" s="230">
        <v>3264625</v>
      </c>
      <c r="BA83" s="230">
        <v>3240125</v>
      </c>
      <c r="BB83" s="230">
        <v>24500</v>
      </c>
      <c r="BC83" s="229">
        <v>7.6E-3</v>
      </c>
      <c r="BD83" s="230">
        <v>709275</v>
      </c>
      <c r="BE83" s="230">
        <v>591675</v>
      </c>
      <c r="BF83" s="230">
        <v>117600</v>
      </c>
      <c r="BG83" s="229">
        <v>0.1988</v>
      </c>
      <c r="BH83" s="230">
        <v>137746350</v>
      </c>
      <c r="BI83" s="230">
        <v>200877950</v>
      </c>
      <c r="BJ83" s="230">
        <v>-63131600</v>
      </c>
      <c r="BK83" s="229">
        <v>-0.31430000000000002</v>
      </c>
      <c r="BL83" s="230">
        <v>62885375</v>
      </c>
      <c r="BM83" s="230">
        <v>82768350</v>
      </c>
      <c r="BN83" s="230">
        <v>-19882975</v>
      </c>
      <c r="BO83" s="229">
        <v>-0.2402</v>
      </c>
      <c r="BP83" s="230">
        <v>220165575</v>
      </c>
      <c r="BQ83" s="230">
        <v>308184275</v>
      </c>
      <c r="BR83" s="230">
        <v>-88018700</v>
      </c>
      <c r="BS83" s="229">
        <v>-0.28560000000000002</v>
      </c>
      <c r="BT83" s="230">
        <v>16198057</v>
      </c>
      <c r="BU83" s="230">
        <v>19863787</v>
      </c>
      <c r="BV83" s="230">
        <v>-3665730</v>
      </c>
      <c r="BW83" s="229">
        <v>-0.1845</v>
      </c>
      <c r="BX83" s="230">
        <v>36400875</v>
      </c>
      <c r="BY83" s="230">
        <v>36180375</v>
      </c>
      <c r="BZ83" s="230">
        <v>220500</v>
      </c>
      <c r="CA83" s="229">
        <v>6.1000000000000004E-3</v>
      </c>
      <c r="CB83" s="230">
        <v>30884700</v>
      </c>
      <c r="CC83" s="230">
        <v>31846325</v>
      </c>
      <c r="CD83" s="230">
        <v>-961625</v>
      </c>
      <c r="CE83" s="229">
        <v>-3.0200000000000001E-2</v>
      </c>
      <c r="CF83" s="230">
        <v>4163775</v>
      </c>
      <c r="CG83" s="230">
        <v>3296475</v>
      </c>
      <c r="CH83" s="230">
        <v>867300</v>
      </c>
      <c r="CI83" s="229">
        <v>0.2631</v>
      </c>
      <c r="CJ83" s="230">
        <v>1352400</v>
      </c>
      <c r="CK83" s="230">
        <v>1037575</v>
      </c>
      <c r="CL83" s="230">
        <v>314825</v>
      </c>
      <c r="CM83" s="229">
        <v>0.3034</v>
      </c>
      <c r="CN83" s="230">
        <v>51061675</v>
      </c>
      <c r="CO83" s="230">
        <v>51931425</v>
      </c>
      <c r="CP83" s="230">
        <v>-869750</v>
      </c>
      <c r="CQ83" s="229">
        <v>-1.67E-2</v>
      </c>
      <c r="CR83" s="230">
        <v>36775725</v>
      </c>
      <c r="CS83" s="230">
        <v>34507025</v>
      </c>
      <c r="CT83" s="230">
        <v>2268700</v>
      </c>
      <c r="CU83" s="229">
        <v>6.5699999999999995E-2</v>
      </c>
      <c r="CV83" s="230">
        <v>124238275</v>
      </c>
      <c r="CW83" s="230">
        <v>122618825</v>
      </c>
      <c r="CX83" s="230">
        <v>1619450</v>
      </c>
      <c r="CY83" s="229">
        <v>1.32E-2</v>
      </c>
      <c r="CZ83" s="228">
        <v>34.409999999999997</v>
      </c>
      <c r="DA83" s="228">
        <v>36.72</v>
      </c>
      <c r="DB83" s="228">
        <v>-2.31</v>
      </c>
      <c r="DC83" s="228">
        <v>-2.31</v>
      </c>
      <c r="DD83" s="228">
        <v>43.61</v>
      </c>
      <c r="DE83" s="228">
        <v>43.61</v>
      </c>
      <c r="DF83" s="228">
        <v>-9.1999999999999993</v>
      </c>
      <c r="DG83" s="228">
        <v>0</v>
      </c>
      <c r="DH83" s="228">
        <v>33.81</v>
      </c>
      <c r="DI83" s="228">
        <v>36.81</v>
      </c>
      <c r="DJ83" s="228">
        <v>-3</v>
      </c>
      <c r="DK83" s="228">
        <v>-3</v>
      </c>
      <c r="DL83" s="228">
        <v>35.72</v>
      </c>
      <c r="DM83" s="228">
        <v>36.49</v>
      </c>
      <c r="DN83" s="228">
        <v>-0.77</v>
      </c>
      <c r="DO83" s="228">
        <v>-0.77</v>
      </c>
      <c r="DP83" s="228">
        <v>0.72</v>
      </c>
      <c r="DQ83" s="228">
        <v>0.66</v>
      </c>
      <c r="DR83" s="228">
        <v>0.06</v>
      </c>
      <c r="DS83" s="229">
        <v>9.0899999999999995E-2</v>
      </c>
      <c r="DT83" s="228">
        <v>600</v>
      </c>
      <c r="DU83" s="228">
        <v>540</v>
      </c>
      <c r="DV83" s="228">
        <v>0.46</v>
      </c>
      <c r="DW83" s="228">
        <v>0.41</v>
      </c>
      <c r="DX83" s="228">
        <v>0.05</v>
      </c>
      <c r="DY83" s="229">
        <v>0.122</v>
      </c>
      <c r="DZ83" s="229">
        <v>0.1515</v>
      </c>
      <c r="EA83" s="230">
        <v>4334050</v>
      </c>
      <c r="EB83" s="229">
        <v>5.7999999999999996E-3</v>
      </c>
      <c r="EC83" s="229">
        <v>0.1515</v>
      </c>
      <c r="ED83" s="228">
        <v>4</v>
      </c>
      <c r="EE83" s="229">
        <v>6.7999999999999996E-3</v>
      </c>
      <c r="EF83" s="230">
        <v>5408815</v>
      </c>
      <c r="EG83" s="230">
        <v>4605091</v>
      </c>
      <c r="EH83" s="229">
        <v>0.17449999999999999</v>
      </c>
      <c r="EI83" s="229">
        <v>0.33389999999999997</v>
      </c>
      <c r="EJ83" s="231">
        <v>845283.83999999997</v>
      </c>
      <c r="EK83" s="231">
        <v>358757.24</v>
      </c>
      <c r="EL83" s="231">
        <v>115267.73</v>
      </c>
      <c r="EM83" s="231">
        <v>19138</v>
      </c>
      <c r="EN83" s="231">
        <v>1319308.81</v>
      </c>
      <c r="EO83" s="231">
        <v>1832240.25</v>
      </c>
      <c r="EP83" s="231">
        <v>-512931.44</v>
      </c>
      <c r="EQ83" s="229">
        <v>-0.27989999999999998</v>
      </c>
      <c r="ER83" s="231">
        <v>300674</v>
      </c>
      <c r="ES83" s="231">
        <v>195561</v>
      </c>
      <c r="ET83" s="231">
        <v>215860</v>
      </c>
      <c r="EU83" s="231">
        <v>167680340</v>
      </c>
      <c r="EV83" s="231">
        <v>712095</v>
      </c>
      <c r="EW83" s="231">
        <v>694314</v>
      </c>
      <c r="EX83" s="231">
        <v>17781</v>
      </c>
      <c r="EY83" s="229">
        <v>2.5600000000000001E-2</v>
      </c>
      <c r="EZ83" s="229">
        <v>0.7409</v>
      </c>
      <c r="FA83" s="227" t="s">
        <v>555</v>
      </c>
      <c r="FB83" s="161">
        <f t="shared" si="1"/>
        <v>5516175</v>
      </c>
    </row>
    <row r="84" spans="1:158" ht="17.25" hidden="1" thickBot="1" x14ac:dyDescent="0.3">
      <c r="A84" s="226">
        <v>46009</v>
      </c>
      <c r="B84" s="227" t="s">
        <v>206</v>
      </c>
      <c r="C84" s="227" t="s">
        <v>608</v>
      </c>
      <c r="D84" s="228">
        <v>2775</v>
      </c>
      <c r="E84" s="228">
        <v>207.03</v>
      </c>
      <c r="F84" s="228">
        <v>207.89</v>
      </c>
      <c r="G84" s="228">
        <v>-0.86</v>
      </c>
      <c r="H84" s="229">
        <v>-4.1000000000000003E-3</v>
      </c>
      <c r="I84" s="228">
        <v>206.9</v>
      </c>
      <c r="J84" s="228">
        <v>207.91</v>
      </c>
      <c r="K84" s="228">
        <v>-1.01</v>
      </c>
      <c r="L84" s="229">
        <v>-4.8999999999999998E-3</v>
      </c>
      <c r="M84" s="228">
        <v>207.03</v>
      </c>
      <c r="N84" s="228">
        <v>207.89</v>
      </c>
      <c r="O84" s="228">
        <v>-0.86</v>
      </c>
      <c r="P84" s="229">
        <v>-4.1000000000000003E-3</v>
      </c>
      <c r="Q84" s="228">
        <v>208.31</v>
      </c>
      <c r="R84" s="228">
        <v>209.39</v>
      </c>
      <c r="S84" s="228">
        <v>-1.08</v>
      </c>
      <c r="T84" s="229">
        <v>-5.1999999999999998E-3</v>
      </c>
      <c r="U84" s="228">
        <v>208.08</v>
      </c>
      <c r="V84" s="228">
        <v>209.76</v>
      </c>
      <c r="W84" s="228">
        <v>-1.68</v>
      </c>
      <c r="X84" s="229">
        <v>-8.0000000000000002E-3</v>
      </c>
      <c r="Y84" s="228">
        <v>0.13</v>
      </c>
      <c r="Z84" s="228">
        <v>-0.02</v>
      </c>
      <c r="AA84" s="228">
        <v>0.15</v>
      </c>
      <c r="AB84" s="229">
        <v>5.9999999999999995E-4</v>
      </c>
      <c r="AC84" s="228">
        <v>0.13</v>
      </c>
      <c r="AD84" s="228">
        <v>-0.02</v>
      </c>
      <c r="AE84" s="228">
        <v>0.15</v>
      </c>
      <c r="AF84" s="229">
        <v>5.9999999999999995E-4</v>
      </c>
      <c r="AG84" s="228">
        <v>1.41</v>
      </c>
      <c r="AH84" s="228">
        <v>1.48</v>
      </c>
      <c r="AI84" s="228">
        <v>-7.0000000000000007E-2</v>
      </c>
      <c r="AJ84" s="229">
        <v>6.7999999999999996E-3</v>
      </c>
      <c r="AK84" s="228">
        <v>1.18</v>
      </c>
      <c r="AL84" s="228">
        <v>1.85</v>
      </c>
      <c r="AM84" s="228">
        <v>-0.67</v>
      </c>
      <c r="AN84" s="229">
        <v>5.7000000000000002E-3</v>
      </c>
      <c r="AO84" s="228">
        <v>206.65</v>
      </c>
      <c r="AP84" s="228">
        <v>207.96</v>
      </c>
      <c r="AQ84" s="228">
        <v>0</v>
      </c>
      <c r="AR84" s="230">
        <v>7317675</v>
      </c>
      <c r="AS84" s="230">
        <v>6085575</v>
      </c>
      <c r="AT84" s="230">
        <v>1232100</v>
      </c>
      <c r="AU84" s="229">
        <v>0.20250000000000001</v>
      </c>
      <c r="AV84" s="230">
        <v>5871900</v>
      </c>
      <c r="AW84" s="230">
        <v>5308575</v>
      </c>
      <c r="AX84" s="230">
        <v>563325</v>
      </c>
      <c r="AY84" s="229">
        <v>0.1061</v>
      </c>
      <c r="AZ84" s="230">
        <v>1381950</v>
      </c>
      <c r="BA84" s="230">
        <v>743700</v>
      </c>
      <c r="BB84" s="230">
        <v>638250</v>
      </c>
      <c r="BC84" s="229">
        <v>0.85819999999999996</v>
      </c>
      <c r="BD84" s="230">
        <v>63825</v>
      </c>
      <c r="BE84" s="230">
        <v>33300</v>
      </c>
      <c r="BF84" s="230">
        <v>30525</v>
      </c>
      <c r="BG84" s="229">
        <v>0.91669999999999996</v>
      </c>
      <c r="BH84" s="230">
        <v>37615125</v>
      </c>
      <c r="BI84" s="230">
        <v>20521125</v>
      </c>
      <c r="BJ84" s="230">
        <v>17094000</v>
      </c>
      <c r="BK84" s="229">
        <v>0.83299999999999996</v>
      </c>
      <c r="BL84" s="230">
        <v>12268275</v>
      </c>
      <c r="BM84" s="230">
        <v>9817950</v>
      </c>
      <c r="BN84" s="230">
        <v>2450325</v>
      </c>
      <c r="BO84" s="229">
        <v>0.24959999999999999</v>
      </c>
      <c r="BP84" s="230">
        <v>57201075</v>
      </c>
      <c r="BQ84" s="230">
        <v>36424650</v>
      </c>
      <c r="BR84" s="230">
        <v>20776425</v>
      </c>
      <c r="BS84" s="229">
        <v>0.57040000000000002</v>
      </c>
      <c r="BT84" s="230">
        <v>2863278</v>
      </c>
      <c r="BU84" s="230">
        <v>2266227</v>
      </c>
      <c r="BV84" s="230">
        <v>597051</v>
      </c>
      <c r="BW84" s="229">
        <v>0.26350000000000001</v>
      </c>
      <c r="BX84" s="230">
        <v>34360050</v>
      </c>
      <c r="BY84" s="230">
        <v>34948350</v>
      </c>
      <c r="BZ84" s="230">
        <v>-588300</v>
      </c>
      <c r="CA84" s="229">
        <v>-1.6799999999999999E-2</v>
      </c>
      <c r="CB84" s="230">
        <v>30752550</v>
      </c>
      <c r="CC84" s="230">
        <v>31762650</v>
      </c>
      <c r="CD84" s="230">
        <v>-1010100</v>
      </c>
      <c r="CE84" s="229">
        <v>-3.1800000000000002E-2</v>
      </c>
      <c r="CF84" s="230">
        <v>3199575</v>
      </c>
      <c r="CG84" s="230">
        <v>2794425</v>
      </c>
      <c r="CH84" s="230">
        <v>405150</v>
      </c>
      <c r="CI84" s="229">
        <v>0.14499999999999999</v>
      </c>
      <c r="CJ84" s="230">
        <v>407925</v>
      </c>
      <c r="CK84" s="230">
        <v>391275</v>
      </c>
      <c r="CL84" s="230">
        <v>16650</v>
      </c>
      <c r="CM84" s="229">
        <v>4.2599999999999999E-2</v>
      </c>
      <c r="CN84" s="230">
        <v>42379800</v>
      </c>
      <c r="CO84" s="230">
        <v>41647200</v>
      </c>
      <c r="CP84" s="230">
        <v>732600</v>
      </c>
      <c r="CQ84" s="229">
        <v>1.7600000000000001E-2</v>
      </c>
      <c r="CR84" s="230">
        <v>18786750</v>
      </c>
      <c r="CS84" s="230">
        <v>18245625</v>
      </c>
      <c r="CT84" s="230">
        <v>541125</v>
      </c>
      <c r="CU84" s="229">
        <v>2.9700000000000001E-2</v>
      </c>
      <c r="CV84" s="230">
        <v>95526600</v>
      </c>
      <c r="CW84" s="230">
        <v>94841175</v>
      </c>
      <c r="CX84" s="230">
        <v>685425</v>
      </c>
      <c r="CY84" s="229">
        <v>7.1999999999999998E-3</v>
      </c>
      <c r="CZ84" s="228">
        <v>28.38</v>
      </c>
      <c r="DA84" s="228">
        <v>30.33</v>
      </c>
      <c r="DB84" s="228">
        <v>-1.95</v>
      </c>
      <c r="DC84" s="228">
        <v>-1.95</v>
      </c>
      <c r="DD84" s="228">
        <v>51.18</v>
      </c>
      <c r="DE84" s="228">
        <v>51.3</v>
      </c>
      <c r="DF84" s="228">
        <v>-22.8</v>
      </c>
      <c r="DG84" s="228">
        <v>-0.12</v>
      </c>
      <c r="DH84" s="228">
        <v>29.26</v>
      </c>
      <c r="DI84" s="228">
        <v>32.18</v>
      </c>
      <c r="DJ84" s="228">
        <v>-2.92</v>
      </c>
      <c r="DK84" s="228">
        <v>-2.92</v>
      </c>
      <c r="DL84" s="228">
        <v>25.68</v>
      </c>
      <c r="DM84" s="228">
        <v>26.47</v>
      </c>
      <c r="DN84" s="228">
        <v>-0.79</v>
      </c>
      <c r="DO84" s="228">
        <v>-0.79</v>
      </c>
      <c r="DP84" s="228">
        <v>0.44</v>
      </c>
      <c r="DQ84" s="228">
        <v>0.44</v>
      </c>
      <c r="DR84" s="228">
        <v>0</v>
      </c>
      <c r="DS84" s="229">
        <v>0</v>
      </c>
      <c r="DT84" s="228">
        <v>240</v>
      </c>
      <c r="DU84" s="228">
        <v>210</v>
      </c>
      <c r="DV84" s="228">
        <v>0.33</v>
      </c>
      <c r="DW84" s="228">
        <v>0.48</v>
      </c>
      <c r="DX84" s="228">
        <v>-0.15</v>
      </c>
      <c r="DY84" s="229">
        <v>-0.3125</v>
      </c>
      <c r="DZ84" s="229">
        <v>0.105</v>
      </c>
      <c r="EA84" s="230">
        <v>3185700</v>
      </c>
      <c r="EB84" s="229">
        <v>6.1999999999999998E-3</v>
      </c>
      <c r="EC84" s="229">
        <v>0.105</v>
      </c>
      <c r="ED84" s="228">
        <v>1.31</v>
      </c>
      <c r="EE84" s="229">
        <v>6.3E-3</v>
      </c>
      <c r="EF84" s="230">
        <v>712843</v>
      </c>
      <c r="EG84" s="230">
        <v>771227</v>
      </c>
      <c r="EH84" s="229">
        <v>-7.5700000000000003E-2</v>
      </c>
      <c r="EI84" s="229">
        <v>0.249</v>
      </c>
      <c r="EJ84" s="231">
        <v>82981.56</v>
      </c>
      <c r="EK84" s="231">
        <v>25481.94</v>
      </c>
      <c r="EL84" s="231">
        <v>15141.66</v>
      </c>
      <c r="EM84" s="231">
        <v>2045</v>
      </c>
      <c r="EN84" s="231">
        <v>123605.16</v>
      </c>
      <c r="EO84" s="231">
        <v>79914.97</v>
      </c>
      <c r="EP84" s="231">
        <v>43690.19</v>
      </c>
      <c r="EQ84" s="229">
        <v>0.54669999999999996</v>
      </c>
      <c r="ER84" s="231">
        <v>98330</v>
      </c>
      <c r="ES84" s="231">
        <v>40773</v>
      </c>
      <c r="ET84" s="231">
        <v>71181</v>
      </c>
      <c r="EU84" s="231">
        <v>75071250</v>
      </c>
      <c r="EV84" s="231">
        <v>210284</v>
      </c>
      <c r="EW84" s="231">
        <v>209618</v>
      </c>
      <c r="EX84" s="228">
        <v>666</v>
      </c>
      <c r="EY84" s="229">
        <v>3.2000000000000002E-3</v>
      </c>
      <c r="EZ84" s="229">
        <v>1.2725</v>
      </c>
      <c r="FA84" s="227" t="s">
        <v>568</v>
      </c>
      <c r="FB84" s="161">
        <f t="shared" si="1"/>
        <v>3607500</v>
      </c>
    </row>
    <row r="85" spans="1:158" ht="17.25" hidden="1" thickBot="1" x14ac:dyDescent="0.3">
      <c r="A85" s="226">
        <v>46009</v>
      </c>
      <c r="B85" s="227" t="s">
        <v>172</v>
      </c>
      <c r="C85" s="227" t="s">
        <v>232</v>
      </c>
      <c r="D85" s="228">
        <v>700</v>
      </c>
      <c r="E85" s="231">
        <v>1359.5</v>
      </c>
      <c r="F85" s="231">
        <v>1356.5</v>
      </c>
      <c r="G85" s="228">
        <v>3</v>
      </c>
      <c r="H85" s="229">
        <v>2.2000000000000001E-3</v>
      </c>
      <c r="I85" s="231">
        <v>1356.8</v>
      </c>
      <c r="J85" s="231">
        <v>1352.4</v>
      </c>
      <c r="K85" s="228">
        <v>4.4000000000000004</v>
      </c>
      <c r="L85" s="229">
        <v>3.3E-3</v>
      </c>
      <c r="M85" s="231">
        <v>1359.5</v>
      </c>
      <c r="N85" s="231">
        <v>1356.5</v>
      </c>
      <c r="O85" s="228">
        <v>3</v>
      </c>
      <c r="P85" s="229">
        <v>2.2000000000000001E-3</v>
      </c>
      <c r="Q85" s="231">
        <v>1368.3</v>
      </c>
      <c r="R85" s="231">
        <v>1364.9</v>
      </c>
      <c r="S85" s="228">
        <v>3.4</v>
      </c>
      <c r="T85" s="229">
        <v>2.5000000000000001E-3</v>
      </c>
      <c r="U85" s="231">
        <v>1376.2</v>
      </c>
      <c r="V85" s="231">
        <v>1372.6</v>
      </c>
      <c r="W85" s="228">
        <v>3.6</v>
      </c>
      <c r="X85" s="229">
        <v>2.5999999999999999E-3</v>
      </c>
      <c r="Y85" s="228">
        <v>2.7</v>
      </c>
      <c r="Z85" s="228">
        <v>4.0999999999999996</v>
      </c>
      <c r="AA85" s="228">
        <v>-1.4</v>
      </c>
      <c r="AB85" s="229">
        <v>2E-3</v>
      </c>
      <c r="AC85" s="228">
        <v>2.7</v>
      </c>
      <c r="AD85" s="228">
        <v>4.0999999999999996</v>
      </c>
      <c r="AE85" s="228">
        <v>-1.4</v>
      </c>
      <c r="AF85" s="229">
        <v>2E-3</v>
      </c>
      <c r="AG85" s="228">
        <v>11.5</v>
      </c>
      <c r="AH85" s="228">
        <v>12.5</v>
      </c>
      <c r="AI85" s="228">
        <v>-1</v>
      </c>
      <c r="AJ85" s="229">
        <v>8.5000000000000006E-3</v>
      </c>
      <c r="AK85" s="228">
        <v>19.399999999999999</v>
      </c>
      <c r="AL85" s="228">
        <v>20.2</v>
      </c>
      <c r="AM85" s="228">
        <v>-0.8</v>
      </c>
      <c r="AN85" s="229">
        <v>1.43E-2</v>
      </c>
      <c r="AO85" s="231">
        <v>1360.89</v>
      </c>
      <c r="AP85" s="231">
        <v>1368.72</v>
      </c>
      <c r="AQ85" s="228">
        <v>0</v>
      </c>
      <c r="AR85" s="230">
        <v>27444200</v>
      </c>
      <c r="AS85" s="230">
        <v>15409800</v>
      </c>
      <c r="AT85" s="230">
        <v>12034400</v>
      </c>
      <c r="AU85" s="229">
        <v>0.78100000000000003</v>
      </c>
      <c r="AV85" s="230">
        <v>16972900</v>
      </c>
      <c r="AW85" s="230">
        <v>10273900</v>
      </c>
      <c r="AX85" s="230">
        <v>6699000</v>
      </c>
      <c r="AY85" s="229">
        <v>0.65200000000000002</v>
      </c>
      <c r="AZ85" s="230">
        <v>10324300</v>
      </c>
      <c r="BA85" s="230">
        <v>4938500</v>
      </c>
      <c r="BB85" s="230">
        <v>5385800</v>
      </c>
      <c r="BC85" s="229">
        <v>1.0906</v>
      </c>
      <c r="BD85" s="230">
        <v>147000</v>
      </c>
      <c r="BE85" s="230">
        <v>197400</v>
      </c>
      <c r="BF85" s="230">
        <v>-50400</v>
      </c>
      <c r="BG85" s="229">
        <v>-0.25530000000000003</v>
      </c>
      <c r="BH85" s="230">
        <v>49450100</v>
      </c>
      <c r="BI85" s="230">
        <v>51583700</v>
      </c>
      <c r="BJ85" s="230">
        <v>-2133600</v>
      </c>
      <c r="BK85" s="229">
        <v>-4.1399999999999999E-2</v>
      </c>
      <c r="BL85" s="230">
        <v>30652300</v>
      </c>
      <c r="BM85" s="230">
        <v>39176900</v>
      </c>
      <c r="BN85" s="230">
        <v>-8524600</v>
      </c>
      <c r="BO85" s="229">
        <v>-0.21759999999999999</v>
      </c>
      <c r="BP85" s="230">
        <v>107546600</v>
      </c>
      <c r="BQ85" s="230">
        <v>106170400</v>
      </c>
      <c r="BR85" s="230">
        <v>1376200</v>
      </c>
      <c r="BS85" s="229">
        <v>1.2999999999999999E-2</v>
      </c>
      <c r="BT85" s="230">
        <v>8291310</v>
      </c>
      <c r="BU85" s="230">
        <v>9787109</v>
      </c>
      <c r="BV85" s="230">
        <v>-1495799</v>
      </c>
      <c r="BW85" s="229">
        <v>-0.15279999999999999</v>
      </c>
      <c r="BX85" s="230">
        <v>121207800</v>
      </c>
      <c r="BY85" s="230">
        <v>120298500</v>
      </c>
      <c r="BZ85" s="230">
        <v>909300</v>
      </c>
      <c r="CA85" s="229">
        <v>7.6E-3</v>
      </c>
      <c r="CB85" s="230">
        <v>92607900</v>
      </c>
      <c r="CC85" s="230">
        <v>100984800</v>
      </c>
      <c r="CD85" s="230">
        <v>-8376900</v>
      </c>
      <c r="CE85" s="229">
        <v>-8.3000000000000004E-2</v>
      </c>
      <c r="CF85" s="230">
        <v>27523300</v>
      </c>
      <c r="CG85" s="230">
        <v>18314800</v>
      </c>
      <c r="CH85" s="230">
        <v>9208500</v>
      </c>
      <c r="CI85" s="229">
        <v>0.50280000000000002</v>
      </c>
      <c r="CJ85" s="230">
        <v>1076600</v>
      </c>
      <c r="CK85" s="230">
        <v>998900</v>
      </c>
      <c r="CL85" s="230">
        <v>77700</v>
      </c>
      <c r="CM85" s="229">
        <v>7.7799999999999994E-2</v>
      </c>
      <c r="CN85" s="230">
        <v>40168800</v>
      </c>
      <c r="CO85" s="230">
        <v>41790700</v>
      </c>
      <c r="CP85" s="230">
        <v>-1621900</v>
      </c>
      <c r="CQ85" s="229">
        <v>-3.8800000000000001E-2</v>
      </c>
      <c r="CR85" s="230">
        <v>24539900</v>
      </c>
      <c r="CS85" s="230">
        <v>24943100</v>
      </c>
      <c r="CT85" s="230">
        <v>-403200</v>
      </c>
      <c r="CU85" s="229">
        <v>-1.6199999999999999E-2</v>
      </c>
      <c r="CV85" s="230">
        <v>185916500</v>
      </c>
      <c r="CW85" s="230">
        <v>187032300</v>
      </c>
      <c r="CX85" s="230">
        <v>-1115800</v>
      </c>
      <c r="CY85" s="229">
        <v>-6.0000000000000001E-3</v>
      </c>
      <c r="CZ85" s="228">
        <v>13.97</v>
      </c>
      <c r="DA85" s="228">
        <v>15.35</v>
      </c>
      <c r="DB85" s="228">
        <v>-1.38</v>
      </c>
      <c r="DC85" s="228">
        <v>-1.38</v>
      </c>
      <c r="DD85" s="228">
        <v>20.45</v>
      </c>
      <c r="DE85" s="228">
        <v>20.5</v>
      </c>
      <c r="DF85" s="228">
        <v>-6.48</v>
      </c>
      <c r="DG85" s="228">
        <v>-0.05</v>
      </c>
      <c r="DH85" s="228">
        <v>13.98</v>
      </c>
      <c r="DI85" s="228">
        <v>15.43</v>
      </c>
      <c r="DJ85" s="228">
        <v>-1.45</v>
      </c>
      <c r="DK85" s="228">
        <v>-1.45</v>
      </c>
      <c r="DL85" s="228">
        <v>13.95</v>
      </c>
      <c r="DM85" s="228">
        <v>15.25</v>
      </c>
      <c r="DN85" s="228">
        <v>-1.3</v>
      </c>
      <c r="DO85" s="228">
        <v>-1.3</v>
      </c>
      <c r="DP85" s="228">
        <v>0.61</v>
      </c>
      <c r="DQ85" s="228">
        <v>0.6</v>
      </c>
      <c r="DR85" s="228">
        <v>0.01</v>
      </c>
      <c r="DS85" s="229">
        <v>1.67E-2</v>
      </c>
      <c r="DT85" s="231">
        <v>1400</v>
      </c>
      <c r="DU85" s="231">
        <v>1400</v>
      </c>
      <c r="DV85" s="228">
        <v>0.62</v>
      </c>
      <c r="DW85" s="228">
        <v>0.76</v>
      </c>
      <c r="DX85" s="228">
        <v>-0.14000000000000001</v>
      </c>
      <c r="DY85" s="229">
        <v>-0.1842</v>
      </c>
      <c r="DZ85" s="229">
        <v>0.23599999999999999</v>
      </c>
      <c r="EA85" s="230">
        <v>19313700</v>
      </c>
      <c r="EB85" s="229">
        <v>6.4999999999999997E-3</v>
      </c>
      <c r="EC85" s="229">
        <v>0.23599999999999999</v>
      </c>
      <c r="ED85" s="228">
        <v>7.83</v>
      </c>
      <c r="EE85" s="229">
        <v>5.7999999999999996E-3</v>
      </c>
      <c r="EF85" s="230">
        <v>3766053</v>
      </c>
      <c r="EG85" s="230">
        <v>5870069</v>
      </c>
      <c r="EH85" s="229">
        <v>-0.3584</v>
      </c>
      <c r="EI85" s="229">
        <v>0.45419999999999999</v>
      </c>
      <c r="EJ85" s="231">
        <v>687538.3</v>
      </c>
      <c r="EK85" s="231">
        <v>415190.53</v>
      </c>
      <c r="EL85" s="231">
        <v>374319.26</v>
      </c>
      <c r="EM85" s="231">
        <v>13507</v>
      </c>
      <c r="EN85" s="231">
        <v>1477048.09</v>
      </c>
      <c r="EO85" s="231">
        <v>1454950.3</v>
      </c>
      <c r="EP85" s="231">
        <v>22097.79</v>
      </c>
      <c r="EQ85" s="229">
        <v>1.52E-2</v>
      </c>
      <c r="ER85" s="231">
        <v>562730</v>
      </c>
      <c r="ES85" s="231">
        <v>332131</v>
      </c>
      <c r="ET85" s="231">
        <v>1650422</v>
      </c>
      <c r="EU85" s="231">
        <v>579785172</v>
      </c>
      <c r="EV85" s="231">
        <v>2545282</v>
      </c>
      <c r="EW85" s="231">
        <v>2556109</v>
      </c>
      <c r="EX85" s="231">
        <v>-10827</v>
      </c>
      <c r="EY85" s="229">
        <v>-4.1999999999999997E-3</v>
      </c>
      <c r="EZ85" s="229">
        <v>0.32069999999999999</v>
      </c>
      <c r="FA85" s="227" t="s">
        <v>555</v>
      </c>
      <c r="FB85" s="161">
        <f t="shared" si="1"/>
        <v>28599900</v>
      </c>
    </row>
    <row r="86" spans="1:158" ht="17.25" hidden="1" thickBot="1" x14ac:dyDescent="0.3">
      <c r="A86" s="226">
        <v>46009</v>
      </c>
      <c r="B86" s="227" t="s">
        <v>175</v>
      </c>
      <c r="C86" s="227" t="s">
        <v>472</v>
      </c>
      <c r="D86" s="228">
        <v>325</v>
      </c>
      <c r="E86" s="231">
        <v>1955.3</v>
      </c>
      <c r="F86" s="231">
        <v>1947.1</v>
      </c>
      <c r="G86" s="228">
        <v>8.1999999999999993</v>
      </c>
      <c r="H86" s="229">
        <v>4.1999999999999997E-3</v>
      </c>
      <c r="I86" s="231">
        <v>1949.8</v>
      </c>
      <c r="J86" s="231">
        <v>1947</v>
      </c>
      <c r="K86" s="228">
        <v>2.8</v>
      </c>
      <c r="L86" s="229">
        <v>1.4E-3</v>
      </c>
      <c r="M86" s="231">
        <v>1955.3</v>
      </c>
      <c r="N86" s="231">
        <v>1947.1</v>
      </c>
      <c r="O86" s="228">
        <v>8.1999999999999993</v>
      </c>
      <c r="P86" s="229">
        <v>4.1999999999999997E-3</v>
      </c>
      <c r="Q86" s="231">
        <v>1967.8</v>
      </c>
      <c r="R86" s="231">
        <v>1957.1</v>
      </c>
      <c r="S86" s="228">
        <v>10.7</v>
      </c>
      <c r="T86" s="229">
        <v>5.4999999999999997E-3</v>
      </c>
      <c r="U86" s="231">
        <v>1978.1</v>
      </c>
      <c r="V86" s="231">
        <v>1978.1</v>
      </c>
      <c r="W86" s="228">
        <v>0</v>
      </c>
      <c r="X86" s="229">
        <v>0</v>
      </c>
      <c r="Y86" s="228">
        <v>5.5</v>
      </c>
      <c r="Z86" s="228">
        <v>0.1</v>
      </c>
      <c r="AA86" s="228">
        <v>5.4</v>
      </c>
      <c r="AB86" s="229">
        <v>2.8E-3</v>
      </c>
      <c r="AC86" s="228">
        <v>5.5</v>
      </c>
      <c r="AD86" s="228">
        <v>0.1</v>
      </c>
      <c r="AE86" s="228">
        <v>5.4</v>
      </c>
      <c r="AF86" s="229">
        <v>2.8E-3</v>
      </c>
      <c r="AG86" s="228">
        <v>18</v>
      </c>
      <c r="AH86" s="228">
        <v>10.1</v>
      </c>
      <c r="AI86" s="228">
        <v>7.9</v>
      </c>
      <c r="AJ86" s="229">
        <v>9.1999999999999998E-3</v>
      </c>
      <c r="AK86" s="228">
        <v>28.3</v>
      </c>
      <c r="AL86" s="228">
        <v>31.1</v>
      </c>
      <c r="AM86" s="228">
        <v>-2.8</v>
      </c>
      <c r="AN86" s="229">
        <v>1.4500000000000001E-2</v>
      </c>
      <c r="AO86" s="231">
        <v>1949.12</v>
      </c>
      <c r="AP86" s="231">
        <v>1964.68</v>
      </c>
      <c r="AQ86" s="228">
        <v>0</v>
      </c>
      <c r="AR86" s="230">
        <v>504075</v>
      </c>
      <c r="AS86" s="230">
        <v>664625</v>
      </c>
      <c r="AT86" s="230">
        <v>-160550</v>
      </c>
      <c r="AU86" s="229">
        <v>-0.24160000000000001</v>
      </c>
      <c r="AV86" s="230">
        <v>396825</v>
      </c>
      <c r="AW86" s="230">
        <v>591175</v>
      </c>
      <c r="AX86" s="230">
        <v>-194350</v>
      </c>
      <c r="AY86" s="229">
        <v>-0.32879999999999998</v>
      </c>
      <c r="AZ86" s="230">
        <v>107250</v>
      </c>
      <c r="BA86" s="230">
        <v>73450</v>
      </c>
      <c r="BB86" s="230">
        <v>33800</v>
      </c>
      <c r="BC86" s="229">
        <v>0.4602</v>
      </c>
      <c r="BD86" s="228">
        <v>0</v>
      </c>
      <c r="BE86" s="228">
        <v>0</v>
      </c>
      <c r="BF86" s="228">
        <v>0</v>
      </c>
      <c r="BG86" s="229">
        <v>0</v>
      </c>
      <c r="BH86" s="230">
        <v>681525</v>
      </c>
      <c r="BI86" s="230">
        <v>792350</v>
      </c>
      <c r="BJ86" s="230">
        <v>-110825</v>
      </c>
      <c r="BK86" s="229">
        <v>-0.1399</v>
      </c>
      <c r="BL86" s="230">
        <v>479375</v>
      </c>
      <c r="BM86" s="230">
        <v>250575</v>
      </c>
      <c r="BN86" s="230">
        <v>228800</v>
      </c>
      <c r="BO86" s="229">
        <v>0.91310000000000002</v>
      </c>
      <c r="BP86" s="230">
        <v>1664975</v>
      </c>
      <c r="BQ86" s="230">
        <v>1707550</v>
      </c>
      <c r="BR86" s="230">
        <v>-42575</v>
      </c>
      <c r="BS86" s="229">
        <v>-2.4899999999999999E-2</v>
      </c>
      <c r="BT86" s="230">
        <v>339078</v>
      </c>
      <c r="BU86" s="230">
        <v>596109</v>
      </c>
      <c r="BV86" s="230">
        <v>-257031</v>
      </c>
      <c r="BW86" s="229">
        <v>-0.43120000000000003</v>
      </c>
      <c r="BX86" s="230">
        <v>5668650</v>
      </c>
      <c r="BY86" s="230">
        <v>5715775</v>
      </c>
      <c r="BZ86" s="230">
        <v>-47125</v>
      </c>
      <c r="CA86" s="229">
        <v>-8.2000000000000007E-3</v>
      </c>
      <c r="CB86" s="230">
        <v>5475600</v>
      </c>
      <c r="CC86" s="230">
        <v>5585450</v>
      </c>
      <c r="CD86" s="230">
        <v>-109850</v>
      </c>
      <c r="CE86" s="229">
        <v>-1.9699999999999999E-2</v>
      </c>
      <c r="CF86" s="230">
        <v>187850</v>
      </c>
      <c r="CG86" s="230">
        <v>125125</v>
      </c>
      <c r="CH86" s="230">
        <v>62725</v>
      </c>
      <c r="CI86" s="229">
        <v>0.50129999999999997</v>
      </c>
      <c r="CJ86" s="230">
        <v>5200</v>
      </c>
      <c r="CK86" s="230">
        <v>5200</v>
      </c>
      <c r="CL86" s="228">
        <v>0</v>
      </c>
      <c r="CM86" s="229">
        <v>0</v>
      </c>
      <c r="CN86" s="230">
        <v>1981525</v>
      </c>
      <c r="CO86" s="230">
        <v>1993550</v>
      </c>
      <c r="CP86" s="230">
        <v>-12025</v>
      </c>
      <c r="CQ86" s="229">
        <v>-6.0000000000000001E-3</v>
      </c>
      <c r="CR86" s="230">
        <v>1071850</v>
      </c>
      <c r="CS86" s="230">
        <v>1041300</v>
      </c>
      <c r="CT86" s="230">
        <v>30550</v>
      </c>
      <c r="CU86" s="229">
        <v>2.93E-2</v>
      </c>
      <c r="CV86" s="230">
        <v>8722025</v>
      </c>
      <c r="CW86" s="230">
        <v>8750625</v>
      </c>
      <c r="CX86" s="230">
        <v>-28600</v>
      </c>
      <c r="CY86" s="229">
        <v>-3.3E-3</v>
      </c>
      <c r="CZ86" s="228">
        <v>19.010000000000002</v>
      </c>
      <c r="DA86" s="228">
        <v>20.71</v>
      </c>
      <c r="DB86" s="228">
        <v>-1.7</v>
      </c>
      <c r="DC86" s="228">
        <v>-1.7</v>
      </c>
      <c r="DD86" s="228">
        <v>28.23</v>
      </c>
      <c r="DE86" s="228">
        <v>28.3</v>
      </c>
      <c r="DF86" s="228">
        <v>-9.2200000000000006</v>
      </c>
      <c r="DG86" s="228">
        <v>-7.0000000000000007E-2</v>
      </c>
      <c r="DH86" s="228">
        <v>19.45</v>
      </c>
      <c r="DI86" s="228">
        <v>21.04</v>
      </c>
      <c r="DJ86" s="228">
        <v>-1.59</v>
      </c>
      <c r="DK86" s="228">
        <v>-1.59</v>
      </c>
      <c r="DL86" s="228">
        <v>18.38</v>
      </c>
      <c r="DM86" s="228">
        <v>19.649999999999999</v>
      </c>
      <c r="DN86" s="228">
        <v>-1.27</v>
      </c>
      <c r="DO86" s="228">
        <v>-1.27</v>
      </c>
      <c r="DP86" s="228">
        <v>0.54</v>
      </c>
      <c r="DQ86" s="228">
        <v>0.52</v>
      </c>
      <c r="DR86" s="228">
        <v>0.02</v>
      </c>
      <c r="DS86" s="229">
        <v>3.85E-2</v>
      </c>
      <c r="DT86" s="231">
        <v>2040</v>
      </c>
      <c r="DU86" s="231">
        <v>1900</v>
      </c>
      <c r="DV86" s="228">
        <v>0.7</v>
      </c>
      <c r="DW86" s="228">
        <v>0.32</v>
      </c>
      <c r="DX86" s="228">
        <v>0.38</v>
      </c>
      <c r="DY86" s="229">
        <v>1.1875</v>
      </c>
      <c r="DZ86" s="229">
        <v>3.4099999999999998E-2</v>
      </c>
      <c r="EA86" s="230">
        <v>130325</v>
      </c>
      <c r="EB86" s="229">
        <v>6.4000000000000003E-3</v>
      </c>
      <c r="EC86" s="229">
        <v>3.4099999999999998E-2</v>
      </c>
      <c r="ED86" s="228">
        <v>15.56</v>
      </c>
      <c r="EE86" s="229">
        <v>8.0000000000000002E-3</v>
      </c>
      <c r="EF86" s="230">
        <v>211741</v>
      </c>
      <c r="EG86" s="230">
        <v>391691</v>
      </c>
      <c r="EH86" s="229">
        <v>-0.45939999999999998</v>
      </c>
      <c r="EI86" s="229">
        <v>0.62450000000000006</v>
      </c>
      <c r="EJ86" s="231">
        <v>13758.18</v>
      </c>
      <c r="EK86" s="231">
        <v>9208.5300000000007</v>
      </c>
      <c r="EL86" s="231">
        <v>9841.7099999999991</v>
      </c>
      <c r="EM86" s="231">
        <v>1380</v>
      </c>
      <c r="EN86" s="231">
        <v>32808.42</v>
      </c>
      <c r="EO86" s="231">
        <v>33939.9</v>
      </c>
      <c r="EP86" s="231">
        <v>-1131.48</v>
      </c>
      <c r="EQ86" s="229">
        <v>-3.3300000000000003E-2</v>
      </c>
      <c r="ER86" s="231">
        <v>41036</v>
      </c>
      <c r="ES86" s="231">
        <v>20477</v>
      </c>
      <c r="ET86" s="231">
        <v>110864</v>
      </c>
      <c r="EU86" s="231">
        <v>26688038</v>
      </c>
      <c r="EV86" s="231">
        <v>172377</v>
      </c>
      <c r="EW86" s="231">
        <v>172492</v>
      </c>
      <c r="EX86" s="228">
        <v>-115</v>
      </c>
      <c r="EY86" s="229">
        <v>-6.9999999999999999E-4</v>
      </c>
      <c r="EZ86" s="229">
        <v>0.32679999999999998</v>
      </c>
      <c r="FA86" s="227" t="s">
        <v>556</v>
      </c>
      <c r="FB86" s="161">
        <f t="shared" si="1"/>
        <v>193050</v>
      </c>
    </row>
    <row r="87" spans="1:158" ht="17.25" hidden="1" thickBot="1" x14ac:dyDescent="0.3">
      <c r="A87" s="226">
        <v>46009</v>
      </c>
      <c r="B87" s="227" t="s">
        <v>175</v>
      </c>
      <c r="C87" s="227" t="s">
        <v>233</v>
      </c>
      <c r="D87" s="228">
        <v>925</v>
      </c>
      <c r="E87" s="228">
        <v>646.95000000000005</v>
      </c>
      <c r="F87" s="228">
        <v>631.20000000000005</v>
      </c>
      <c r="G87" s="228">
        <v>15.75</v>
      </c>
      <c r="H87" s="229">
        <v>2.5000000000000001E-2</v>
      </c>
      <c r="I87" s="228">
        <v>645.65</v>
      </c>
      <c r="J87" s="228">
        <v>630.5</v>
      </c>
      <c r="K87" s="228">
        <v>15.15</v>
      </c>
      <c r="L87" s="229">
        <v>2.4E-2</v>
      </c>
      <c r="M87" s="228">
        <v>646.95000000000005</v>
      </c>
      <c r="N87" s="228">
        <v>631.20000000000005</v>
      </c>
      <c r="O87" s="228">
        <v>15.75</v>
      </c>
      <c r="P87" s="229">
        <v>2.5000000000000001E-2</v>
      </c>
      <c r="Q87" s="228">
        <v>650.54999999999995</v>
      </c>
      <c r="R87" s="228">
        <v>634.85</v>
      </c>
      <c r="S87" s="228">
        <v>15.7</v>
      </c>
      <c r="T87" s="229">
        <v>2.47E-2</v>
      </c>
      <c r="U87" s="228">
        <v>653.70000000000005</v>
      </c>
      <c r="V87" s="228">
        <v>636.65</v>
      </c>
      <c r="W87" s="228">
        <v>17.05</v>
      </c>
      <c r="X87" s="229">
        <v>2.6800000000000001E-2</v>
      </c>
      <c r="Y87" s="228">
        <v>1.3</v>
      </c>
      <c r="Z87" s="228">
        <v>0.7</v>
      </c>
      <c r="AA87" s="228">
        <v>0.6</v>
      </c>
      <c r="AB87" s="229">
        <v>2E-3</v>
      </c>
      <c r="AC87" s="228">
        <v>1.3</v>
      </c>
      <c r="AD87" s="228">
        <v>0.7</v>
      </c>
      <c r="AE87" s="228">
        <v>0.6</v>
      </c>
      <c r="AF87" s="229">
        <v>2E-3</v>
      </c>
      <c r="AG87" s="228">
        <v>4.9000000000000004</v>
      </c>
      <c r="AH87" s="228">
        <v>4.3499999999999996</v>
      </c>
      <c r="AI87" s="228">
        <v>0.55000000000000004</v>
      </c>
      <c r="AJ87" s="229">
        <v>7.6E-3</v>
      </c>
      <c r="AK87" s="228">
        <v>8.0500000000000007</v>
      </c>
      <c r="AL87" s="228">
        <v>6.15</v>
      </c>
      <c r="AM87" s="228">
        <v>1.9</v>
      </c>
      <c r="AN87" s="229">
        <v>1.2500000000000001E-2</v>
      </c>
      <c r="AO87" s="228">
        <v>640.86</v>
      </c>
      <c r="AP87" s="228">
        <v>644.61</v>
      </c>
      <c r="AQ87" s="228">
        <v>0</v>
      </c>
      <c r="AR87" s="230">
        <v>2043325</v>
      </c>
      <c r="AS87" s="230">
        <v>1507750</v>
      </c>
      <c r="AT87" s="230">
        <v>535575</v>
      </c>
      <c r="AU87" s="229">
        <v>0.35520000000000002</v>
      </c>
      <c r="AV87" s="230">
        <v>1758425</v>
      </c>
      <c r="AW87" s="230">
        <v>1389350</v>
      </c>
      <c r="AX87" s="230">
        <v>369075</v>
      </c>
      <c r="AY87" s="229">
        <v>0.2656</v>
      </c>
      <c r="AZ87" s="230">
        <v>276575</v>
      </c>
      <c r="BA87" s="230">
        <v>114700</v>
      </c>
      <c r="BB87" s="230">
        <v>161875</v>
      </c>
      <c r="BC87" s="229">
        <v>1.4113</v>
      </c>
      <c r="BD87" s="230">
        <v>8325</v>
      </c>
      <c r="BE87" s="230">
        <v>3700</v>
      </c>
      <c r="BF87" s="230">
        <v>4625</v>
      </c>
      <c r="BG87" s="229">
        <v>1.25</v>
      </c>
      <c r="BH87" s="230">
        <v>6087425</v>
      </c>
      <c r="BI87" s="230">
        <v>3059900</v>
      </c>
      <c r="BJ87" s="230">
        <v>3027525</v>
      </c>
      <c r="BK87" s="229">
        <v>0.98939999999999995</v>
      </c>
      <c r="BL87" s="230">
        <v>2292150</v>
      </c>
      <c r="BM87" s="230">
        <v>1189550</v>
      </c>
      <c r="BN87" s="230">
        <v>1102600</v>
      </c>
      <c r="BO87" s="229">
        <v>0.92689999999999995</v>
      </c>
      <c r="BP87" s="230">
        <v>10422900</v>
      </c>
      <c r="BQ87" s="230">
        <v>5757200</v>
      </c>
      <c r="BR87" s="230">
        <v>4665700</v>
      </c>
      <c r="BS87" s="229">
        <v>0.81040000000000001</v>
      </c>
      <c r="BT87" s="230">
        <v>2682876</v>
      </c>
      <c r="BU87" s="230">
        <v>385584</v>
      </c>
      <c r="BV87" s="230">
        <v>2297292</v>
      </c>
      <c r="BW87" s="229">
        <v>5.9580000000000002</v>
      </c>
      <c r="BX87" s="230">
        <v>16576925</v>
      </c>
      <c r="BY87" s="230">
        <v>16427075</v>
      </c>
      <c r="BZ87" s="230">
        <v>149850</v>
      </c>
      <c r="CA87" s="229">
        <v>9.1000000000000004E-3</v>
      </c>
      <c r="CB87" s="230">
        <v>16003425</v>
      </c>
      <c r="CC87" s="230">
        <v>15971050</v>
      </c>
      <c r="CD87" s="230">
        <v>32375</v>
      </c>
      <c r="CE87" s="229">
        <v>2E-3</v>
      </c>
      <c r="CF87" s="230">
        <v>538350</v>
      </c>
      <c r="CG87" s="230">
        <v>422725</v>
      </c>
      <c r="CH87" s="230">
        <v>115625</v>
      </c>
      <c r="CI87" s="229">
        <v>0.27350000000000002</v>
      </c>
      <c r="CJ87" s="230">
        <v>35150</v>
      </c>
      <c r="CK87" s="230">
        <v>33300</v>
      </c>
      <c r="CL87" s="230">
        <v>1850</v>
      </c>
      <c r="CM87" s="229">
        <v>5.5599999999999997E-2</v>
      </c>
      <c r="CN87" s="230">
        <v>4714725</v>
      </c>
      <c r="CO87" s="230">
        <v>4688825</v>
      </c>
      <c r="CP87" s="230">
        <v>25900</v>
      </c>
      <c r="CQ87" s="229">
        <v>5.4999999999999997E-3</v>
      </c>
      <c r="CR87" s="230">
        <v>2326375</v>
      </c>
      <c r="CS87" s="230">
        <v>2137675</v>
      </c>
      <c r="CT87" s="230">
        <v>188700</v>
      </c>
      <c r="CU87" s="229">
        <v>8.8300000000000003E-2</v>
      </c>
      <c r="CV87" s="230">
        <v>23618025</v>
      </c>
      <c r="CW87" s="230">
        <v>23253575</v>
      </c>
      <c r="CX87" s="230">
        <v>364450</v>
      </c>
      <c r="CY87" s="229">
        <v>1.5699999999999999E-2</v>
      </c>
      <c r="CZ87" s="228">
        <v>20.71</v>
      </c>
      <c r="DA87" s="228">
        <v>21.92</v>
      </c>
      <c r="DB87" s="228">
        <v>-1.21</v>
      </c>
      <c r="DC87" s="228">
        <v>-1.21</v>
      </c>
      <c r="DD87" s="228">
        <v>27.43</v>
      </c>
      <c r="DE87" s="228">
        <v>27.3</v>
      </c>
      <c r="DF87" s="228">
        <v>-6.72</v>
      </c>
      <c r="DG87" s="228">
        <v>0.13</v>
      </c>
      <c r="DH87" s="228">
        <v>20.41</v>
      </c>
      <c r="DI87" s="228">
        <v>22.38</v>
      </c>
      <c r="DJ87" s="228">
        <v>-1.97</v>
      </c>
      <c r="DK87" s="228">
        <v>-1.97</v>
      </c>
      <c r="DL87" s="228">
        <v>21.52</v>
      </c>
      <c r="DM87" s="228">
        <v>20.72</v>
      </c>
      <c r="DN87" s="228">
        <v>0.8</v>
      </c>
      <c r="DO87" s="228">
        <v>0.8</v>
      </c>
      <c r="DP87" s="228">
        <v>0.49</v>
      </c>
      <c r="DQ87" s="228">
        <v>0.46</v>
      </c>
      <c r="DR87" s="228">
        <v>0.03</v>
      </c>
      <c r="DS87" s="229">
        <v>6.5199999999999994E-2</v>
      </c>
      <c r="DT87" s="228">
        <v>630</v>
      </c>
      <c r="DU87" s="228">
        <v>590</v>
      </c>
      <c r="DV87" s="228">
        <v>0.38</v>
      </c>
      <c r="DW87" s="228">
        <v>0.39</v>
      </c>
      <c r="DX87" s="228">
        <v>-0.01</v>
      </c>
      <c r="DY87" s="229">
        <v>-2.5600000000000001E-2</v>
      </c>
      <c r="DZ87" s="229">
        <v>3.4599999999999999E-2</v>
      </c>
      <c r="EA87" s="230">
        <v>456025</v>
      </c>
      <c r="EB87" s="229">
        <v>5.5999999999999999E-3</v>
      </c>
      <c r="EC87" s="229">
        <v>3.4599999999999999E-2</v>
      </c>
      <c r="ED87" s="228">
        <v>3.75</v>
      </c>
      <c r="EE87" s="229">
        <v>5.8999999999999999E-3</v>
      </c>
      <c r="EF87" s="230">
        <v>2177386</v>
      </c>
      <c r="EG87" s="230">
        <v>174652</v>
      </c>
      <c r="EH87" s="229">
        <v>11.467000000000001</v>
      </c>
      <c r="EI87" s="229">
        <v>0.81159999999999999</v>
      </c>
      <c r="EJ87" s="231">
        <v>39970.11</v>
      </c>
      <c r="EK87" s="231">
        <v>14412.28</v>
      </c>
      <c r="EL87" s="231">
        <v>13105.54</v>
      </c>
      <c r="EM87" s="231">
        <v>2199</v>
      </c>
      <c r="EN87" s="231">
        <v>67487.929999999993</v>
      </c>
      <c r="EO87" s="231">
        <v>37395.269999999997</v>
      </c>
      <c r="EP87" s="231">
        <v>30092.66</v>
      </c>
      <c r="EQ87" s="229">
        <v>0.80469999999999997</v>
      </c>
      <c r="ER87" s="231">
        <v>31264</v>
      </c>
      <c r="ES87" s="231">
        <v>14174</v>
      </c>
      <c r="ET87" s="231">
        <v>107266</v>
      </c>
      <c r="EU87" s="231">
        <v>48653643</v>
      </c>
      <c r="EV87" s="231">
        <v>152704</v>
      </c>
      <c r="EW87" s="231">
        <v>147771</v>
      </c>
      <c r="EX87" s="231">
        <v>4933</v>
      </c>
      <c r="EY87" s="229">
        <v>3.3399999999999999E-2</v>
      </c>
      <c r="EZ87" s="229">
        <v>0.4854</v>
      </c>
      <c r="FA87" s="227" t="s">
        <v>555</v>
      </c>
      <c r="FB87" s="161">
        <f t="shared" si="1"/>
        <v>573500</v>
      </c>
    </row>
    <row r="88" spans="1:158" ht="17.25" hidden="1" thickBot="1" x14ac:dyDescent="0.3">
      <c r="A88" s="226">
        <v>46009</v>
      </c>
      <c r="B88" s="227" t="s">
        <v>188</v>
      </c>
      <c r="C88" s="227" t="s">
        <v>234</v>
      </c>
      <c r="D88" s="228">
        <v>71475</v>
      </c>
      <c r="E88" s="228">
        <v>11.35</v>
      </c>
      <c r="F88" s="228">
        <v>11.17</v>
      </c>
      <c r="G88" s="228">
        <v>0.18</v>
      </c>
      <c r="H88" s="229">
        <v>1.61E-2</v>
      </c>
      <c r="I88" s="228">
        <v>11.3</v>
      </c>
      <c r="J88" s="228">
        <v>11.13</v>
      </c>
      <c r="K88" s="228">
        <v>0.17</v>
      </c>
      <c r="L88" s="229">
        <v>1.5299999999999999E-2</v>
      </c>
      <c r="M88" s="228">
        <v>11.35</v>
      </c>
      <c r="N88" s="228">
        <v>11.17</v>
      </c>
      <c r="O88" s="228">
        <v>0.18</v>
      </c>
      <c r="P88" s="229">
        <v>1.61E-2</v>
      </c>
      <c r="Q88" s="228">
        <v>11.42</v>
      </c>
      <c r="R88" s="228">
        <v>11.24</v>
      </c>
      <c r="S88" s="228">
        <v>0.18</v>
      </c>
      <c r="T88" s="229">
        <v>1.6E-2</v>
      </c>
      <c r="U88" s="228">
        <v>11.49</v>
      </c>
      <c r="V88" s="228">
        <v>11.31</v>
      </c>
      <c r="W88" s="228">
        <v>0.18</v>
      </c>
      <c r="X88" s="229">
        <v>1.5900000000000001E-2</v>
      </c>
      <c r="Y88" s="228">
        <v>0.05</v>
      </c>
      <c r="Z88" s="228">
        <v>0.04</v>
      </c>
      <c r="AA88" s="228">
        <v>0.01</v>
      </c>
      <c r="AB88" s="229">
        <v>4.4000000000000003E-3</v>
      </c>
      <c r="AC88" s="228">
        <v>0.05</v>
      </c>
      <c r="AD88" s="228">
        <v>0.04</v>
      </c>
      <c r="AE88" s="228">
        <v>0.01</v>
      </c>
      <c r="AF88" s="229">
        <v>4.4000000000000003E-3</v>
      </c>
      <c r="AG88" s="228">
        <v>0.12</v>
      </c>
      <c r="AH88" s="228">
        <v>0.11</v>
      </c>
      <c r="AI88" s="228">
        <v>0.01</v>
      </c>
      <c r="AJ88" s="229">
        <v>1.06E-2</v>
      </c>
      <c r="AK88" s="228">
        <v>0.19</v>
      </c>
      <c r="AL88" s="228">
        <v>0.18</v>
      </c>
      <c r="AM88" s="228">
        <v>0.01</v>
      </c>
      <c r="AN88" s="229">
        <v>1.6799999999999999E-2</v>
      </c>
      <c r="AO88" s="228">
        <v>11.34</v>
      </c>
      <c r="AP88" s="228">
        <v>11.41</v>
      </c>
      <c r="AQ88" s="228">
        <v>0</v>
      </c>
      <c r="AR88" s="230">
        <v>1190416125</v>
      </c>
      <c r="AS88" s="230">
        <v>634555050</v>
      </c>
      <c r="AT88" s="230">
        <v>555861075</v>
      </c>
      <c r="AU88" s="229">
        <v>0.876</v>
      </c>
      <c r="AV88" s="230">
        <v>906231525</v>
      </c>
      <c r="AW88" s="230">
        <v>485672625</v>
      </c>
      <c r="AX88" s="230">
        <v>420558900</v>
      </c>
      <c r="AY88" s="229">
        <v>0.8659</v>
      </c>
      <c r="AZ88" s="230">
        <v>242872050</v>
      </c>
      <c r="BA88" s="230">
        <v>131514000</v>
      </c>
      <c r="BB88" s="230">
        <v>111358050</v>
      </c>
      <c r="BC88" s="229">
        <v>0.84670000000000001</v>
      </c>
      <c r="BD88" s="230">
        <v>41312550</v>
      </c>
      <c r="BE88" s="230">
        <v>17368425</v>
      </c>
      <c r="BF88" s="230">
        <v>23944125</v>
      </c>
      <c r="BG88" s="229">
        <v>1.3786</v>
      </c>
      <c r="BH88" s="230">
        <v>3682106100</v>
      </c>
      <c r="BI88" s="230">
        <v>2044542375</v>
      </c>
      <c r="BJ88" s="230">
        <v>1637563725</v>
      </c>
      <c r="BK88" s="229">
        <v>0.80089999999999995</v>
      </c>
      <c r="BL88" s="230">
        <v>1019304975</v>
      </c>
      <c r="BM88" s="230">
        <v>532059900</v>
      </c>
      <c r="BN88" s="230">
        <v>487245075</v>
      </c>
      <c r="BO88" s="229">
        <v>0.91579999999999995</v>
      </c>
      <c r="BP88" s="230">
        <v>5891827200</v>
      </c>
      <c r="BQ88" s="230">
        <v>3211157325</v>
      </c>
      <c r="BR88" s="230">
        <v>2680669875</v>
      </c>
      <c r="BS88" s="229">
        <v>0.83479999999999999</v>
      </c>
      <c r="BT88" s="230">
        <v>964631352</v>
      </c>
      <c r="BU88" s="230">
        <v>682566568</v>
      </c>
      <c r="BV88" s="230">
        <v>282064784</v>
      </c>
      <c r="BW88" s="229">
        <v>0.41320000000000001</v>
      </c>
      <c r="BX88" s="230">
        <v>6892119825</v>
      </c>
      <c r="BY88" s="230">
        <v>6943367400</v>
      </c>
      <c r="BZ88" s="230">
        <v>-51247575</v>
      </c>
      <c r="CA88" s="229">
        <v>-7.4000000000000003E-3</v>
      </c>
      <c r="CB88" s="230">
        <v>5887467225</v>
      </c>
      <c r="CC88" s="230">
        <v>5986746000</v>
      </c>
      <c r="CD88" s="230">
        <v>-99278775</v>
      </c>
      <c r="CE88" s="229">
        <v>-1.66E-2</v>
      </c>
      <c r="CF88" s="230">
        <v>881572650</v>
      </c>
      <c r="CG88" s="230">
        <v>838115850</v>
      </c>
      <c r="CH88" s="230">
        <v>43456800</v>
      </c>
      <c r="CI88" s="229">
        <v>5.1900000000000002E-2</v>
      </c>
      <c r="CJ88" s="230">
        <v>123079950</v>
      </c>
      <c r="CK88" s="230">
        <v>118505550</v>
      </c>
      <c r="CL88" s="230">
        <v>4574400</v>
      </c>
      <c r="CM88" s="229">
        <v>3.8600000000000002E-2</v>
      </c>
      <c r="CN88" s="230">
        <v>2411423550</v>
      </c>
      <c r="CO88" s="230">
        <v>2342807550</v>
      </c>
      <c r="CP88" s="230">
        <v>68616000</v>
      </c>
      <c r="CQ88" s="229">
        <v>2.93E-2</v>
      </c>
      <c r="CR88" s="230">
        <v>1283548050</v>
      </c>
      <c r="CS88" s="230">
        <v>1346731950</v>
      </c>
      <c r="CT88" s="230">
        <v>-63183900</v>
      </c>
      <c r="CU88" s="229">
        <v>-4.6899999999999997E-2</v>
      </c>
      <c r="CV88" s="230">
        <v>10587091425</v>
      </c>
      <c r="CW88" s="230">
        <v>10632906900</v>
      </c>
      <c r="CX88" s="230">
        <v>-45815475</v>
      </c>
      <c r="CY88" s="229">
        <v>-4.3E-3</v>
      </c>
      <c r="CZ88" s="228">
        <v>57.44</v>
      </c>
      <c r="DA88" s="228">
        <v>57.42</v>
      </c>
      <c r="DB88" s="228">
        <v>0.02</v>
      </c>
      <c r="DC88" s="228">
        <v>0.02</v>
      </c>
      <c r="DD88" s="228">
        <v>67.319999999999993</v>
      </c>
      <c r="DE88" s="228">
        <v>67.45</v>
      </c>
      <c r="DF88" s="228">
        <v>-9.8800000000000008</v>
      </c>
      <c r="DG88" s="228">
        <v>-0.13</v>
      </c>
      <c r="DH88" s="228">
        <v>58.57</v>
      </c>
      <c r="DI88" s="228">
        <v>58.52</v>
      </c>
      <c r="DJ88" s="228">
        <v>0.05</v>
      </c>
      <c r="DK88" s="228">
        <v>0.05</v>
      </c>
      <c r="DL88" s="228">
        <v>53.33</v>
      </c>
      <c r="DM88" s="228">
        <v>53.2</v>
      </c>
      <c r="DN88" s="228">
        <v>0.13</v>
      </c>
      <c r="DO88" s="228">
        <v>0.13</v>
      </c>
      <c r="DP88" s="228">
        <v>0.53</v>
      </c>
      <c r="DQ88" s="228">
        <v>0.56999999999999995</v>
      </c>
      <c r="DR88" s="228">
        <v>-0.04</v>
      </c>
      <c r="DS88" s="229">
        <v>-7.0199999999999999E-2</v>
      </c>
      <c r="DT88" s="228">
        <v>11</v>
      </c>
      <c r="DU88" s="228">
        <v>10</v>
      </c>
      <c r="DV88" s="228">
        <v>0.28000000000000003</v>
      </c>
      <c r="DW88" s="228">
        <v>0.26</v>
      </c>
      <c r="DX88" s="228">
        <v>0.02</v>
      </c>
      <c r="DY88" s="229">
        <v>7.6899999999999996E-2</v>
      </c>
      <c r="DZ88" s="229">
        <v>0.14580000000000001</v>
      </c>
      <c r="EA88" s="230">
        <v>956621400</v>
      </c>
      <c r="EB88" s="229">
        <v>6.1999999999999998E-3</v>
      </c>
      <c r="EC88" s="229">
        <v>0.14580000000000001</v>
      </c>
      <c r="ED88" s="228">
        <v>7.0000000000000007E-2</v>
      </c>
      <c r="EE88" s="229">
        <v>6.1999999999999998E-3</v>
      </c>
      <c r="EF88" s="230">
        <v>166001112</v>
      </c>
      <c r="EG88" s="230">
        <v>117614606</v>
      </c>
      <c r="EH88" s="229">
        <v>0.41139999999999999</v>
      </c>
      <c r="EI88" s="229">
        <v>0.1721</v>
      </c>
      <c r="EJ88" s="231">
        <v>475111</v>
      </c>
      <c r="EK88" s="231">
        <v>109580.69</v>
      </c>
      <c r="EL88" s="231">
        <v>135232.17000000001</v>
      </c>
      <c r="EM88" s="231">
        <v>16369</v>
      </c>
      <c r="EN88" s="231">
        <v>719923.86</v>
      </c>
      <c r="EO88" s="231">
        <v>391735.94</v>
      </c>
      <c r="EP88" s="231">
        <v>328187.92</v>
      </c>
      <c r="EQ88" s="229">
        <v>0.83779999999999999</v>
      </c>
      <c r="ER88" s="231">
        <v>302307</v>
      </c>
      <c r="ES88" s="231">
        <v>130130</v>
      </c>
      <c r="ET88" s="231">
        <v>783045</v>
      </c>
      <c r="EU88" s="231">
        <v>8713529091</v>
      </c>
      <c r="EV88" s="231">
        <v>1215482</v>
      </c>
      <c r="EW88" s="231">
        <v>1203372</v>
      </c>
      <c r="EX88" s="231">
        <v>12110</v>
      </c>
      <c r="EY88" s="229">
        <v>1.01E-2</v>
      </c>
      <c r="EZ88" s="229">
        <v>1.2150000000000001</v>
      </c>
      <c r="FA88" s="227" t="s">
        <v>556</v>
      </c>
      <c r="FB88" s="161">
        <f t="shared" si="1"/>
        <v>1004652600</v>
      </c>
    </row>
    <row r="89" spans="1:158" ht="17.25" hidden="1" thickBot="1" x14ac:dyDescent="0.3">
      <c r="A89" s="226">
        <v>46009</v>
      </c>
      <c r="B89" s="227" t="s">
        <v>172</v>
      </c>
      <c r="C89" s="227" t="s">
        <v>235</v>
      </c>
      <c r="D89" s="228">
        <v>9275</v>
      </c>
      <c r="E89" s="228">
        <v>83.87</v>
      </c>
      <c r="F89" s="228">
        <v>84.01</v>
      </c>
      <c r="G89" s="228">
        <v>-0.14000000000000001</v>
      </c>
      <c r="H89" s="229">
        <v>-1.6999999999999999E-3</v>
      </c>
      <c r="I89" s="228">
        <v>83.79</v>
      </c>
      <c r="J89" s="228">
        <v>83.95</v>
      </c>
      <c r="K89" s="228">
        <v>-0.16</v>
      </c>
      <c r="L89" s="229">
        <v>-1.9E-3</v>
      </c>
      <c r="M89" s="228">
        <v>83.87</v>
      </c>
      <c r="N89" s="228">
        <v>84.01</v>
      </c>
      <c r="O89" s="228">
        <v>-0.14000000000000001</v>
      </c>
      <c r="P89" s="229">
        <v>-1.6999999999999999E-3</v>
      </c>
      <c r="Q89" s="228">
        <v>84.39</v>
      </c>
      <c r="R89" s="228">
        <v>84.51</v>
      </c>
      <c r="S89" s="228">
        <v>-0.12</v>
      </c>
      <c r="T89" s="229">
        <v>-1.4E-3</v>
      </c>
      <c r="U89" s="228">
        <v>84.91</v>
      </c>
      <c r="V89" s="228">
        <v>84.96</v>
      </c>
      <c r="W89" s="228">
        <v>-0.05</v>
      </c>
      <c r="X89" s="229">
        <v>-5.9999999999999995E-4</v>
      </c>
      <c r="Y89" s="228">
        <v>0.08</v>
      </c>
      <c r="Z89" s="228">
        <v>0.06</v>
      </c>
      <c r="AA89" s="228">
        <v>0.02</v>
      </c>
      <c r="AB89" s="229">
        <v>1E-3</v>
      </c>
      <c r="AC89" s="228">
        <v>0.08</v>
      </c>
      <c r="AD89" s="228">
        <v>0.06</v>
      </c>
      <c r="AE89" s="228">
        <v>0.02</v>
      </c>
      <c r="AF89" s="229">
        <v>1E-3</v>
      </c>
      <c r="AG89" s="228">
        <v>0.6</v>
      </c>
      <c r="AH89" s="228">
        <v>0.56000000000000005</v>
      </c>
      <c r="AI89" s="228">
        <v>0.04</v>
      </c>
      <c r="AJ89" s="229">
        <v>7.1999999999999998E-3</v>
      </c>
      <c r="AK89" s="228">
        <v>1.1200000000000001</v>
      </c>
      <c r="AL89" s="228">
        <v>1.01</v>
      </c>
      <c r="AM89" s="228">
        <v>0.11</v>
      </c>
      <c r="AN89" s="229">
        <v>1.34E-2</v>
      </c>
      <c r="AO89" s="228">
        <v>83.76</v>
      </c>
      <c r="AP89" s="228">
        <v>84.31</v>
      </c>
      <c r="AQ89" s="228">
        <v>0</v>
      </c>
      <c r="AR89" s="230">
        <v>57783250</v>
      </c>
      <c r="AS89" s="230">
        <v>46375000</v>
      </c>
      <c r="AT89" s="230">
        <v>11408250</v>
      </c>
      <c r="AU89" s="229">
        <v>0.246</v>
      </c>
      <c r="AV89" s="230">
        <v>42572250</v>
      </c>
      <c r="AW89" s="230">
        <v>36311625</v>
      </c>
      <c r="AX89" s="230">
        <v>6260625</v>
      </c>
      <c r="AY89" s="229">
        <v>0.1724</v>
      </c>
      <c r="AZ89" s="230">
        <v>14135100</v>
      </c>
      <c r="BA89" s="230">
        <v>9618175</v>
      </c>
      <c r="BB89" s="230">
        <v>4516925</v>
      </c>
      <c r="BC89" s="229">
        <v>0.46960000000000002</v>
      </c>
      <c r="BD89" s="230">
        <v>1075900</v>
      </c>
      <c r="BE89" s="230">
        <v>445200</v>
      </c>
      <c r="BF89" s="230">
        <v>630700</v>
      </c>
      <c r="BG89" s="229">
        <v>1.4167000000000001</v>
      </c>
      <c r="BH89" s="230">
        <v>119925750</v>
      </c>
      <c r="BI89" s="230">
        <v>81397400</v>
      </c>
      <c r="BJ89" s="230">
        <v>38528350</v>
      </c>
      <c r="BK89" s="229">
        <v>0.4733</v>
      </c>
      <c r="BL89" s="230">
        <v>62569150</v>
      </c>
      <c r="BM89" s="230">
        <v>39780475</v>
      </c>
      <c r="BN89" s="230">
        <v>22788675</v>
      </c>
      <c r="BO89" s="229">
        <v>0.57289999999999996</v>
      </c>
      <c r="BP89" s="230">
        <v>240278150</v>
      </c>
      <c r="BQ89" s="230">
        <v>167552875</v>
      </c>
      <c r="BR89" s="230">
        <v>72725275</v>
      </c>
      <c r="BS89" s="229">
        <v>0.434</v>
      </c>
      <c r="BT89" s="230">
        <v>24734263</v>
      </c>
      <c r="BU89" s="230">
        <v>25213949</v>
      </c>
      <c r="BV89" s="230">
        <v>-479686</v>
      </c>
      <c r="BW89" s="229">
        <v>-1.9E-2</v>
      </c>
      <c r="BX89" s="230">
        <v>358506575</v>
      </c>
      <c r="BY89" s="230">
        <v>352422175</v>
      </c>
      <c r="BZ89" s="230">
        <v>6084400</v>
      </c>
      <c r="CA89" s="229">
        <v>1.7299999999999999E-2</v>
      </c>
      <c r="CB89" s="230">
        <v>301261275</v>
      </c>
      <c r="CC89" s="230">
        <v>302049650</v>
      </c>
      <c r="CD89" s="230">
        <v>-788375</v>
      </c>
      <c r="CE89" s="229">
        <v>-2.5999999999999999E-3</v>
      </c>
      <c r="CF89" s="230">
        <v>52839675</v>
      </c>
      <c r="CG89" s="230">
        <v>46430650</v>
      </c>
      <c r="CH89" s="230">
        <v>6409025</v>
      </c>
      <c r="CI89" s="229">
        <v>0.13800000000000001</v>
      </c>
      <c r="CJ89" s="230">
        <v>4405625</v>
      </c>
      <c r="CK89" s="230">
        <v>3941875</v>
      </c>
      <c r="CL89" s="230">
        <v>463750</v>
      </c>
      <c r="CM89" s="229">
        <v>0.1176</v>
      </c>
      <c r="CN89" s="230">
        <v>131018650</v>
      </c>
      <c r="CO89" s="230">
        <v>132613950</v>
      </c>
      <c r="CP89" s="230">
        <v>-1595300</v>
      </c>
      <c r="CQ89" s="229">
        <v>-1.2E-2</v>
      </c>
      <c r="CR89" s="230">
        <v>97452425</v>
      </c>
      <c r="CS89" s="230">
        <v>95708725</v>
      </c>
      <c r="CT89" s="230">
        <v>1743700</v>
      </c>
      <c r="CU89" s="229">
        <v>1.8200000000000001E-2</v>
      </c>
      <c r="CV89" s="230">
        <v>586977650</v>
      </c>
      <c r="CW89" s="230">
        <v>580744850</v>
      </c>
      <c r="CX89" s="230">
        <v>6232800</v>
      </c>
      <c r="CY89" s="229">
        <v>1.0699999999999999E-2</v>
      </c>
      <c r="CZ89" s="228">
        <v>22.52</v>
      </c>
      <c r="DA89" s="228">
        <v>23.45</v>
      </c>
      <c r="DB89" s="228">
        <v>-0.93</v>
      </c>
      <c r="DC89" s="228">
        <v>-0.93</v>
      </c>
      <c r="DD89" s="228">
        <v>33.090000000000003</v>
      </c>
      <c r="DE89" s="228">
        <v>33.18</v>
      </c>
      <c r="DF89" s="228">
        <v>-10.57</v>
      </c>
      <c r="DG89" s="228">
        <v>-0.09</v>
      </c>
      <c r="DH89" s="228">
        <v>22.08</v>
      </c>
      <c r="DI89" s="228">
        <v>23.05</v>
      </c>
      <c r="DJ89" s="228">
        <v>-0.97</v>
      </c>
      <c r="DK89" s="228">
        <v>-0.97</v>
      </c>
      <c r="DL89" s="228">
        <v>23.38</v>
      </c>
      <c r="DM89" s="228">
        <v>24.28</v>
      </c>
      <c r="DN89" s="228">
        <v>-0.9</v>
      </c>
      <c r="DO89" s="228">
        <v>-0.9</v>
      </c>
      <c r="DP89" s="228">
        <v>0.74</v>
      </c>
      <c r="DQ89" s="228">
        <v>0.72</v>
      </c>
      <c r="DR89" s="228">
        <v>0.02</v>
      </c>
      <c r="DS89" s="229">
        <v>2.7799999999999998E-2</v>
      </c>
      <c r="DT89" s="228">
        <v>85</v>
      </c>
      <c r="DU89" s="228">
        <v>80</v>
      </c>
      <c r="DV89" s="228">
        <v>0.52</v>
      </c>
      <c r="DW89" s="228">
        <v>0.49</v>
      </c>
      <c r="DX89" s="228">
        <v>0.03</v>
      </c>
      <c r="DY89" s="229">
        <v>6.1199999999999997E-2</v>
      </c>
      <c r="DZ89" s="229">
        <v>0.15970000000000001</v>
      </c>
      <c r="EA89" s="230">
        <v>50372525</v>
      </c>
      <c r="EB89" s="229">
        <v>6.1999999999999998E-3</v>
      </c>
      <c r="EC89" s="229">
        <v>0.15970000000000001</v>
      </c>
      <c r="ED89" s="228">
        <v>0.55000000000000004</v>
      </c>
      <c r="EE89" s="229">
        <v>6.6E-3</v>
      </c>
      <c r="EF89" s="230">
        <v>15023561</v>
      </c>
      <c r="EG89" s="230">
        <v>16457265</v>
      </c>
      <c r="EH89" s="229">
        <v>-8.7099999999999997E-2</v>
      </c>
      <c r="EI89" s="229">
        <v>0.60740000000000005</v>
      </c>
      <c r="EJ89" s="231">
        <v>103908.55</v>
      </c>
      <c r="EK89" s="231">
        <v>51464.94</v>
      </c>
      <c r="EL89" s="231">
        <v>48485.42</v>
      </c>
      <c r="EM89" s="231">
        <v>6166</v>
      </c>
      <c r="EN89" s="231">
        <v>203858.91</v>
      </c>
      <c r="EO89" s="231">
        <v>141849.64000000001</v>
      </c>
      <c r="EP89" s="231">
        <v>62009.27</v>
      </c>
      <c r="EQ89" s="229">
        <v>0.43709999999999999</v>
      </c>
      <c r="ER89" s="231">
        <v>111327</v>
      </c>
      <c r="ES89" s="231">
        <v>77221</v>
      </c>
      <c r="ET89" s="231">
        <v>301000</v>
      </c>
      <c r="EU89" s="231">
        <v>761294821</v>
      </c>
      <c r="EV89" s="231">
        <v>489547</v>
      </c>
      <c r="EW89" s="231">
        <v>484586</v>
      </c>
      <c r="EX89" s="231">
        <v>4961</v>
      </c>
      <c r="EY89" s="229">
        <v>1.0200000000000001E-2</v>
      </c>
      <c r="EZ89" s="229">
        <v>0.77100000000000002</v>
      </c>
      <c r="FA89" s="227" t="s">
        <v>567</v>
      </c>
      <c r="FB89" s="161">
        <f t="shared" si="1"/>
        <v>57245300</v>
      </c>
    </row>
    <row r="90" spans="1:158" ht="17.25" hidden="1" thickBot="1" x14ac:dyDescent="0.3">
      <c r="A90" s="226">
        <v>46009</v>
      </c>
      <c r="B90" s="227" t="s">
        <v>161</v>
      </c>
      <c r="C90" s="227" t="s">
        <v>514</v>
      </c>
      <c r="D90" s="228">
        <v>3750</v>
      </c>
      <c r="E90" s="228">
        <v>140.06</v>
      </c>
      <c r="F90" s="228">
        <v>140.38999999999999</v>
      </c>
      <c r="G90" s="228">
        <v>-0.33</v>
      </c>
      <c r="H90" s="229">
        <v>-2.3999999999999998E-3</v>
      </c>
      <c r="I90" s="228">
        <v>139.76</v>
      </c>
      <c r="J90" s="228">
        <v>140.22</v>
      </c>
      <c r="K90" s="228">
        <v>-0.46</v>
      </c>
      <c r="L90" s="229">
        <v>-3.3E-3</v>
      </c>
      <c r="M90" s="228">
        <v>140.06</v>
      </c>
      <c r="N90" s="228">
        <v>140.38999999999999</v>
      </c>
      <c r="O90" s="228">
        <v>-0.33</v>
      </c>
      <c r="P90" s="229">
        <v>-2.3999999999999998E-3</v>
      </c>
      <c r="Q90" s="228">
        <v>140.93</v>
      </c>
      <c r="R90" s="228">
        <v>141.02000000000001</v>
      </c>
      <c r="S90" s="228">
        <v>-0.09</v>
      </c>
      <c r="T90" s="229">
        <v>-5.9999999999999995E-4</v>
      </c>
      <c r="U90" s="228">
        <v>140.75</v>
      </c>
      <c r="V90" s="228">
        <v>140.81</v>
      </c>
      <c r="W90" s="228">
        <v>-0.06</v>
      </c>
      <c r="X90" s="229">
        <v>-4.0000000000000002E-4</v>
      </c>
      <c r="Y90" s="228">
        <v>0.3</v>
      </c>
      <c r="Z90" s="228">
        <v>0.17</v>
      </c>
      <c r="AA90" s="228">
        <v>0.13</v>
      </c>
      <c r="AB90" s="229">
        <v>2.0999999999999999E-3</v>
      </c>
      <c r="AC90" s="228">
        <v>0.3</v>
      </c>
      <c r="AD90" s="228">
        <v>0.17</v>
      </c>
      <c r="AE90" s="228">
        <v>0.13</v>
      </c>
      <c r="AF90" s="229">
        <v>2.0999999999999999E-3</v>
      </c>
      <c r="AG90" s="228">
        <v>1.17</v>
      </c>
      <c r="AH90" s="228">
        <v>0.8</v>
      </c>
      <c r="AI90" s="228">
        <v>0.37</v>
      </c>
      <c r="AJ90" s="229">
        <v>8.3999999999999995E-3</v>
      </c>
      <c r="AK90" s="228">
        <v>0.99</v>
      </c>
      <c r="AL90" s="228">
        <v>0.59</v>
      </c>
      <c r="AM90" s="228">
        <v>0.4</v>
      </c>
      <c r="AN90" s="229">
        <v>7.1000000000000004E-3</v>
      </c>
      <c r="AO90" s="228">
        <v>140.31</v>
      </c>
      <c r="AP90" s="228">
        <v>141.01</v>
      </c>
      <c r="AQ90" s="228">
        <v>0</v>
      </c>
      <c r="AR90" s="230">
        <v>8741250</v>
      </c>
      <c r="AS90" s="230">
        <v>4106250</v>
      </c>
      <c r="AT90" s="230">
        <v>4635000</v>
      </c>
      <c r="AU90" s="229">
        <v>1.1288</v>
      </c>
      <c r="AV90" s="230">
        <v>6566250</v>
      </c>
      <c r="AW90" s="230">
        <v>3438750</v>
      </c>
      <c r="AX90" s="230">
        <v>3127500</v>
      </c>
      <c r="AY90" s="229">
        <v>0.90949999999999998</v>
      </c>
      <c r="AZ90" s="230">
        <v>1980000</v>
      </c>
      <c r="BA90" s="230">
        <v>525000</v>
      </c>
      <c r="BB90" s="230">
        <v>1455000</v>
      </c>
      <c r="BC90" s="229">
        <v>2.7713999999999999</v>
      </c>
      <c r="BD90" s="230">
        <v>195000</v>
      </c>
      <c r="BE90" s="230">
        <v>142500</v>
      </c>
      <c r="BF90" s="230">
        <v>52500</v>
      </c>
      <c r="BG90" s="229">
        <v>0.36840000000000001</v>
      </c>
      <c r="BH90" s="230">
        <v>19586250</v>
      </c>
      <c r="BI90" s="230">
        <v>14276250</v>
      </c>
      <c r="BJ90" s="230">
        <v>5310000</v>
      </c>
      <c r="BK90" s="229">
        <v>0.37190000000000001</v>
      </c>
      <c r="BL90" s="230">
        <v>8445000</v>
      </c>
      <c r="BM90" s="230">
        <v>4462500</v>
      </c>
      <c r="BN90" s="230">
        <v>3982500</v>
      </c>
      <c r="BO90" s="229">
        <v>0.89239999999999997</v>
      </c>
      <c r="BP90" s="230">
        <v>36772500</v>
      </c>
      <c r="BQ90" s="230">
        <v>22845000</v>
      </c>
      <c r="BR90" s="230">
        <v>13927500</v>
      </c>
      <c r="BS90" s="229">
        <v>0.60970000000000002</v>
      </c>
      <c r="BT90" s="230">
        <v>3537523</v>
      </c>
      <c r="BU90" s="230">
        <v>2006255</v>
      </c>
      <c r="BV90" s="230">
        <v>1531268</v>
      </c>
      <c r="BW90" s="229">
        <v>0.76319999999999999</v>
      </c>
      <c r="BX90" s="230">
        <v>57682500</v>
      </c>
      <c r="BY90" s="230">
        <v>56767500</v>
      </c>
      <c r="BZ90" s="230">
        <v>915000</v>
      </c>
      <c r="CA90" s="229">
        <v>1.61E-2</v>
      </c>
      <c r="CB90" s="230">
        <v>50505000</v>
      </c>
      <c r="CC90" s="230">
        <v>50808750</v>
      </c>
      <c r="CD90" s="230">
        <v>-303750</v>
      </c>
      <c r="CE90" s="229">
        <v>-6.0000000000000001E-3</v>
      </c>
      <c r="CF90" s="230">
        <v>5846250</v>
      </c>
      <c r="CG90" s="230">
        <v>4713750</v>
      </c>
      <c r="CH90" s="230">
        <v>1132500</v>
      </c>
      <c r="CI90" s="229">
        <v>0.24030000000000001</v>
      </c>
      <c r="CJ90" s="230">
        <v>1331250</v>
      </c>
      <c r="CK90" s="230">
        <v>1245000</v>
      </c>
      <c r="CL90" s="230">
        <v>86250</v>
      </c>
      <c r="CM90" s="229">
        <v>6.93E-2</v>
      </c>
      <c r="CN90" s="230">
        <v>46323750</v>
      </c>
      <c r="CO90" s="230">
        <v>46747500</v>
      </c>
      <c r="CP90" s="230">
        <v>-423750</v>
      </c>
      <c r="CQ90" s="229">
        <v>-9.1000000000000004E-3</v>
      </c>
      <c r="CR90" s="230">
        <v>33832500</v>
      </c>
      <c r="CS90" s="230">
        <v>33918750</v>
      </c>
      <c r="CT90" s="230">
        <v>-86250</v>
      </c>
      <c r="CU90" s="229">
        <v>-2.5000000000000001E-3</v>
      </c>
      <c r="CV90" s="230">
        <v>137838750</v>
      </c>
      <c r="CW90" s="230">
        <v>137433750</v>
      </c>
      <c r="CX90" s="230">
        <v>405000</v>
      </c>
      <c r="CY90" s="229">
        <v>2.8999999999999998E-3</v>
      </c>
      <c r="CZ90" s="228">
        <v>27.62</v>
      </c>
      <c r="DA90" s="228">
        <v>29.05</v>
      </c>
      <c r="DB90" s="228">
        <v>-1.43</v>
      </c>
      <c r="DC90" s="228">
        <v>-1.43</v>
      </c>
      <c r="DD90" s="228">
        <v>53.27</v>
      </c>
      <c r="DE90" s="228">
        <v>53.4</v>
      </c>
      <c r="DF90" s="228">
        <v>-25.65</v>
      </c>
      <c r="DG90" s="228">
        <v>-0.13</v>
      </c>
      <c r="DH90" s="228">
        <v>27.5</v>
      </c>
      <c r="DI90" s="228">
        <v>29.28</v>
      </c>
      <c r="DJ90" s="228">
        <v>-1.78</v>
      </c>
      <c r="DK90" s="228">
        <v>-1.78</v>
      </c>
      <c r="DL90" s="228">
        <v>27.9</v>
      </c>
      <c r="DM90" s="228">
        <v>28.32</v>
      </c>
      <c r="DN90" s="228">
        <v>-0.42</v>
      </c>
      <c r="DO90" s="228">
        <v>-0.42</v>
      </c>
      <c r="DP90" s="228">
        <v>0.73</v>
      </c>
      <c r="DQ90" s="228">
        <v>0.73</v>
      </c>
      <c r="DR90" s="228">
        <v>0</v>
      </c>
      <c r="DS90" s="229">
        <v>0</v>
      </c>
      <c r="DT90" s="228">
        <v>150</v>
      </c>
      <c r="DU90" s="228">
        <v>140</v>
      </c>
      <c r="DV90" s="228">
        <v>0.43</v>
      </c>
      <c r="DW90" s="228">
        <v>0.31</v>
      </c>
      <c r="DX90" s="228">
        <v>0.12</v>
      </c>
      <c r="DY90" s="229">
        <v>0.3871</v>
      </c>
      <c r="DZ90" s="229">
        <v>0.1244</v>
      </c>
      <c r="EA90" s="230">
        <v>5958750</v>
      </c>
      <c r="EB90" s="229">
        <v>6.1999999999999998E-3</v>
      </c>
      <c r="EC90" s="229">
        <v>0.1244</v>
      </c>
      <c r="ED90" s="228">
        <v>0.7</v>
      </c>
      <c r="EE90" s="229">
        <v>5.0000000000000001E-3</v>
      </c>
      <c r="EF90" s="230">
        <v>1437511</v>
      </c>
      <c r="EG90" s="230">
        <v>812890</v>
      </c>
      <c r="EH90" s="229">
        <v>0.76839999999999997</v>
      </c>
      <c r="EI90" s="229">
        <v>0.40639999999999998</v>
      </c>
      <c r="EJ90" s="231">
        <v>28947.119999999999</v>
      </c>
      <c r="EK90" s="231">
        <v>11693.4</v>
      </c>
      <c r="EL90" s="231">
        <v>12279.93</v>
      </c>
      <c r="EM90" s="231">
        <v>1529</v>
      </c>
      <c r="EN90" s="231">
        <v>52920.45</v>
      </c>
      <c r="EO90" s="231">
        <v>33485.07</v>
      </c>
      <c r="EP90" s="231">
        <v>19435.38</v>
      </c>
      <c r="EQ90" s="229">
        <v>0.58040000000000003</v>
      </c>
      <c r="ER90" s="231">
        <v>70089</v>
      </c>
      <c r="ES90" s="231">
        <v>46826</v>
      </c>
      <c r="ET90" s="231">
        <v>80850</v>
      </c>
      <c r="EU90" s="231">
        <v>133395043</v>
      </c>
      <c r="EV90" s="231">
        <v>197766</v>
      </c>
      <c r="EW90" s="231">
        <v>197535</v>
      </c>
      <c r="EX90" s="228">
        <v>231</v>
      </c>
      <c r="EY90" s="229">
        <v>1.1999999999999999E-3</v>
      </c>
      <c r="EZ90" s="229">
        <v>1.0333000000000001</v>
      </c>
      <c r="FA90" s="227" t="s">
        <v>567</v>
      </c>
      <c r="FB90" s="161">
        <f t="shared" si="1"/>
        <v>7177500</v>
      </c>
    </row>
    <row r="91" spans="1:158" ht="17.25" hidden="1" thickBot="1" x14ac:dyDescent="0.3">
      <c r="A91" s="226">
        <v>46009</v>
      </c>
      <c r="B91" s="227" t="s">
        <v>175</v>
      </c>
      <c r="C91" s="227" t="s">
        <v>667</v>
      </c>
      <c r="D91" s="228">
        <v>1650</v>
      </c>
      <c r="E91" s="228">
        <v>561.9</v>
      </c>
      <c r="F91" s="228">
        <v>563.54999999999995</v>
      </c>
      <c r="G91" s="228">
        <v>-1.65</v>
      </c>
      <c r="H91" s="229">
        <v>-2.8999999999999998E-3</v>
      </c>
      <c r="I91" s="228">
        <v>560.5</v>
      </c>
      <c r="J91" s="228">
        <v>563.1</v>
      </c>
      <c r="K91" s="228">
        <v>-2.6</v>
      </c>
      <c r="L91" s="229">
        <v>-4.5999999999999999E-3</v>
      </c>
      <c r="M91" s="228">
        <v>561.9</v>
      </c>
      <c r="N91" s="228">
        <v>563.54999999999995</v>
      </c>
      <c r="O91" s="228">
        <v>-1.65</v>
      </c>
      <c r="P91" s="229">
        <v>-2.8999999999999998E-3</v>
      </c>
      <c r="Q91" s="228">
        <v>565.65</v>
      </c>
      <c r="R91" s="228">
        <v>567.29999999999995</v>
      </c>
      <c r="S91" s="228">
        <v>-1.65</v>
      </c>
      <c r="T91" s="229">
        <v>-2.8999999999999998E-3</v>
      </c>
      <c r="U91" s="228">
        <v>0</v>
      </c>
      <c r="V91" s="228">
        <v>0</v>
      </c>
      <c r="W91" s="228">
        <v>0</v>
      </c>
      <c r="X91" s="229">
        <v>0</v>
      </c>
      <c r="Y91" s="228">
        <v>1.4</v>
      </c>
      <c r="Z91" s="228">
        <v>0.45</v>
      </c>
      <c r="AA91" s="228">
        <v>0.95</v>
      </c>
      <c r="AB91" s="229">
        <v>2.5000000000000001E-3</v>
      </c>
      <c r="AC91" s="228">
        <v>1.4</v>
      </c>
      <c r="AD91" s="228">
        <v>0.45</v>
      </c>
      <c r="AE91" s="228">
        <v>0.95</v>
      </c>
      <c r="AF91" s="229">
        <v>2.5000000000000001E-3</v>
      </c>
      <c r="AG91" s="228">
        <v>5.15</v>
      </c>
      <c r="AH91" s="228">
        <v>4.2</v>
      </c>
      <c r="AI91" s="228">
        <v>0.95</v>
      </c>
      <c r="AJ91" s="229">
        <v>9.1999999999999998E-3</v>
      </c>
      <c r="AK91" s="228">
        <v>0</v>
      </c>
      <c r="AL91" s="228">
        <v>0</v>
      </c>
      <c r="AM91" s="228">
        <v>0</v>
      </c>
      <c r="AN91" s="229">
        <v>0</v>
      </c>
      <c r="AO91" s="228">
        <v>563.30999999999995</v>
      </c>
      <c r="AP91" s="228">
        <v>567.05999999999995</v>
      </c>
      <c r="AQ91" s="228">
        <v>0</v>
      </c>
      <c r="AR91" s="230">
        <v>2503050</v>
      </c>
      <c r="AS91" s="230">
        <v>1555950</v>
      </c>
      <c r="AT91" s="230">
        <v>947100</v>
      </c>
      <c r="AU91" s="229">
        <v>0.60870000000000002</v>
      </c>
      <c r="AV91" s="230">
        <v>2280300</v>
      </c>
      <c r="AW91" s="230">
        <v>1371150</v>
      </c>
      <c r="AX91" s="230">
        <v>909150</v>
      </c>
      <c r="AY91" s="229">
        <v>0.66310000000000002</v>
      </c>
      <c r="AZ91" s="230">
        <v>222750</v>
      </c>
      <c r="BA91" s="230">
        <v>184800</v>
      </c>
      <c r="BB91" s="230">
        <v>37950</v>
      </c>
      <c r="BC91" s="229">
        <v>0.2054</v>
      </c>
      <c r="BD91" s="228">
        <v>0</v>
      </c>
      <c r="BE91" s="228">
        <v>0</v>
      </c>
      <c r="BF91" s="228">
        <v>0</v>
      </c>
      <c r="BG91" s="229">
        <v>0</v>
      </c>
      <c r="BH91" s="230">
        <v>7928250</v>
      </c>
      <c r="BI91" s="230">
        <v>9726750</v>
      </c>
      <c r="BJ91" s="230">
        <v>-1798500</v>
      </c>
      <c r="BK91" s="229">
        <v>-0.18490000000000001</v>
      </c>
      <c r="BL91" s="230">
        <v>2648250</v>
      </c>
      <c r="BM91" s="230">
        <v>2128500</v>
      </c>
      <c r="BN91" s="230">
        <v>519750</v>
      </c>
      <c r="BO91" s="229">
        <v>0.2442</v>
      </c>
      <c r="BP91" s="230">
        <v>13079550</v>
      </c>
      <c r="BQ91" s="230">
        <v>13411200</v>
      </c>
      <c r="BR91" s="230">
        <v>-331650</v>
      </c>
      <c r="BS91" s="229">
        <v>-2.47E-2</v>
      </c>
      <c r="BT91" s="230">
        <v>789742</v>
      </c>
      <c r="BU91" s="230">
        <v>403998</v>
      </c>
      <c r="BV91" s="230">
        <v>385744</v>
      </c>
      <c r="BW91" s="229">
        <v>0.95479999999999998</v>
      </c>
      <c r="BX91" s="230">
        <v>12054900</v>
      </c>
      <c r="BY91" s="230">
        <v>12094500</v>
      </c>
      <c r="BZ91" s="230">
        <v>-39600</v>
      </c>
      <c r="CA91" s="229">
        <v>-3.3E-3</v>
      </c>
      <c r="CB91" s="230">
        <v>11607750</v>
      </c>
      <c r="CC91" s="230">
        <v>11682000</v>
      </c>
      <c r="CD91" s="230">
        <v>-74250</v>
      </c>
      <c r="CE91" s="229">
        <v>-6.4000000000000003E-3</v>
      </c>
      <c r="CF91" s="230">
        <v>447150</v>
      </c>
      <c r="CG91" s="230">
        <v>412500</v>
      </c>
      <c r="CH91" s="230">
        <v>34650</v>
      </c>
      <c r="CI91" s="229">
        <v>8.4000000000000005E-2</v>
      </c>
      <c r="CJ91" s="228">
        <v>0</v>
      </c>
      <c r="CK91" s="228">
        <v>0</v>
      </c>
      <c r="CL91" s="228">
        <v>0</v>
      </c>
      <c r="CM91" s="229">
        <v>0</v>
      </c>
      <c r="CN91" s="230">
        <v>7410150</v>
      </c>
      <c r="CO91" s="230">
        <v>7599900</v>
      </c>
      <c r="CP91" s="230">
        <v>-189750</v>
      </c>
      <c r="CQ91" s="229">
        <v>-2.5000000000000001E-2</v>
      </c>
      <c r="CR91" s="230">
        <v>4514400</v>
      </c>
      <c r="CS91" s="230">
        <v>4582050</v>
      </c>
      <c r="CT91" s="230">
        <v>-67650</v>
      </c>
      <c r="CU91" s="229">
        <v>-1.4800000000000001E-2</v>
      </c>
      <c r="CV91" s="230">
        <v>23979450</v>
      </c>
      <c r="CW91" s="230">
        <v>24276450</v>
      </c>
      <c r="CX91" s="230">
        <v>-297000</v>
      </c>
      <c r="CY91" s="229">
        <v>-1.2200000000000001E-2</v>
      </c>
      <c r="CZ91" s="228">
        <v>29.41</v>
      </c>
      <c r="DA91" s="228">
        <v>31.01</v>
      </c>
      <c r="DB91" s="228">
        <v>-1.6</v>
      </c>
      <c r="DC91" s="228">
        <v>-1.6</v>
      </c>
      <c r="DD91" s="228">
        <v>49.29</v>
      </c>
      <c r="DE91" s="228">
        <v>49.41</v>
      </c>
      <c r="DF91" s="228">
        <v>-19.88</v>
      </c>
      <c r="DG91" s="228">
        <v>-0.12</v>
      </c>
      <c r="DH91" s="228">
        <v>29.8</v>
      </c>
      <c r="DI91" s="228">
        <v>31.34</v>
      </c>
      <c r="DJ91" s="228">
        <v>-1.54</v>
      </c>
      <c r="DK91" s="228">
        <v>-1.54</v>
      </c>
      <c r="DL91" s="228">
        <v>28.26</v>
      </c>
      <c r="DM91" s="228">
        <v>29.55</v>
      </c>
      <c r="DN91" s="228">
        <v>-1.29</v>
      </c>
      <c r="DO91" s="228">
        <v>-1.29</v>
      </c>
      <c r="DP91" s="228">
        <v>0.61</v>
      </c>
      <c r="DQ91" s="228">
        <v>0.6</v>
      </c>
      <c r="DR91" s="228">
        <v>0.01</v>
      </c>
      <c r="DS91" s="229">
        <v>1.67E-2</v>
      </c>
      <c r="DT91" s="228">
        <v>570</v>
      </c>
      <c r="DU91" s="228">
        <v>560</v>
      </c>
      <c r="DV91" s="228">
        <v>0.33</v>
      </c>
      <c r="DW91" s="228">
        <v>0.22</v>
      </c>
      <c r="DX91" s="228">
        <v>0.11</v>
      </c>
      <c r="DY91" s="229">
        <v>0.5</v>
      </c>
      <c r="DZ91" s="229">
        <v>3.7100000000000001E-2</v>
      </c>
      <c r="EA91" s="230">
        <v>412500</v>
      </c>
      <c r="EB91" s="229">
        <v>6.7000000000000002E-3</v>
      </c>
      <c r="EC91" s="229">
        <v>3.7100000000000001E-2</v>
      </c>
      <c r="ED91" s="228">
        <v>3.75</v>
      </c>
      <c r="EE91" s="229">
        <v>6.7000000000000002E-3</v>
      </c>
      <c r="EF91" s="230">
        <v>233695</v>
      </c>
      <c r="EG91" s="230">
        <v>114171</v>
      </c>
      <c r="EH91" s="229">
        <v>1.0468999999999999</v>
      </c>
      <c r="EI91" s="229">
        <v>0.2959</v>
      </c>
      <c r="EJ91" s="231">
        <v>46634.71</v>
      </c>
      <c r="EK91" s="231">
        <v>14809.47</v>
      </c>
      <c r="EL91" s="231">
        <v>14108.24</v>
      </c>
      <c r="EM91" s="231">
        <v>1463</v>
      </c>
      <c r="EN91" s="231">
        <v>75552.42</v>
      </c>
      <c r="EO91" s="231">
        <v>78737.2</v>
      </c>
      <c r="EP91" s="231">
        <v>-3184.78</v>
      </c>
      <c r="EQ91" s="229">
        <v>-4.0399999999999998E-2</v>
      </c>
      <c r="ER91" s="231">
        <v>43408</v>
      </c>
      <c r="ES91" s="231">
        <v>24657</v>
      </c>
      <c r="ET91" s="231">
        <v>67753</v>
      </c>
      <c r="EU91" s="231">
        <v>47888370</v>
      </c>
      <c r="EV91" s="231">
        <v>135817</v>
      </c>
      <c r="EW91" s="231">
        <v>137750</v>
      </c>
      <c r="EX91" s="231">
        <v>-1933</v>
      </c>
      <c r="EY91" s="229">
        <v>-1.4E-2</v>
      </c>
      <c r="EZ91" s="229">
        <v>0.50070000000000003</v>
      </c>
      <c r="FA91" s="227" t="s">
        <v>568</v>
      </c>
      <c r="FB91" s="161">
        <f t="shared" si="1"/>
        <v>447150</v>
      </c>
    </row>
    <row r="92" spans="1:158" ht="17.25" hidden="1" thickBot="1" x14ac:dyDescent="0.3">
      <c r="A92" s="226">
        <v>46009</v>
      </c>
      <c r="B92" s="227" t="s">
        <v>206</v>
      </c>
      <c r="C92" s="227" t="s">
        <v>501</v>
      </c>
      <c r="D92" s="228">
        <v>1000</v>
      </c>
      <c r="E92" s="228">
        <v>724.15</v>
      </c>
      <c r="F92" s="228">
        <v>715.75</v>
      </c>
      <c r="G92" s="228">
        <v>8.4</v>
      </c>
      <c r="H92" s="229">
        <v>1.17E-2</v>
      </c>
      <c r="I92" s="228">
        <v>722</v>
      </c>
      <c r="J92" s="228">
        <v>713.2</v>
      </c>
      <c r="K92" s="228">
        <v>8.8000000000000007</v>
      </c>
      <c r="L92" s="229">
        <v>1.23E-2</v>
      </c>
      <c r="M92" s="228">
        <v>724.15</v>
      </c>
      <c r="N92" s="228">
        <v>715.75</v>
      </c>
      <c r="O92" s="228">
        <v>8.4</v>
      </c>
      <c r="P92" s="229">
        <v>1.17E-2</v>
      </c>
      <c r="Q92" s="228">
        <v>728.55</v>
      </c>
      <c r="R92" s="228">
        <v>720.05</v>
      </c>
      <c r="S92" s="228">
        <v>8.5</v>
      </c>
      <c r="T92" s="229">
        <v>1.18E-2</v>
      </c>
      <c r="U92" s="228">
        <v>732.95</v>
      </c>
      <c r="V92" s="228">
        <v>724.95</v>
      </c>
      <c r="W92" s="228">
        <v>8</v>
      </c>
      <c r="X92" s="229">
        <v>1.0999999999999999E-2</v>
      </c>
      <c r="Y92" s="228">
        <v>2.15</v>
      </c>
      <c r="Z92" s="228">
        <v>2.5499999999999998</v>
      </c>
      <c r="AA92" s="228">
        <v>-0.4</v>
      </c>
      <c r="AB92" s="229">
        <v>3.0000000000000001E-3</v>
      </c>
      <c r="AC92" s="228">
        <v>2.15</v>
      </c>
      <c r="AD92" s="228">
        <v>2.5499999999999998</v>
      </c>
      <c r="AE92" s="228">
        <v>-0.4</v>
      </c>
      <c r="AF92" s="229">
        <v>3.0000000000000001E-3</v>
      </c>
      <c r="AG92" s="228">
        <v>6.55</v>
      </c>
      <c r="AH92" s="228">
        <v>6.85</v>
      </c>
      <c r="AI92" s="228">
        <v>-0.3</v>
      </c>
      <c r="AJ92" s="229">
        <v>9.1000000000000004E-3</v>
      </c>
      <c r="AK92" s="228">
        <v>10.95</v>
      </c>
      <c r="AL92" s="228">
        <v>11.75</v>
      </c>
      <c r="AM92" s="228">
        <v>-0.8</v>
      </c>
      <c r="AN92" s="229">
        <v>1.52E-2</v>
      </c>
      <c r="AO92" s="228">
        <v>720.32</v>
      </c>
      <c r="AP92" s="228">
        <v>724.57</v>
      </c>
      <c r="AQ92" s="228">
        <v>0</v>
      </c>
      <c r="AR92" s="230">
        <v>4047000</v>
      </c>
      <c r="AS92" s="230">
        <v>3476000</v>
      </c>
      <c r="AT92" s="230">
        <v>571000</v>
      </c>
      <c r="AU92" s="229">
        <v>0.1643</v>
      </c>
      <c r="AV92" s="230">
        <v>3398000</v>
      </c>
      <c r="AW92" s="230">
        <v>2893000</v>
      </c>
      <c r="AX92" s="230">
        <v>505000</v>
      </c>
      <c r="AY92" s="229">
        <v>0.17460000000000001</v>
      </c>
      <c r="AZ92" s="230">
        <v>611000</v>
      </c>
      <c r="BA92" s="230">
        <v>543000</v>
      </c>
      <c r="BB92" s="230">
        <v>68000</v>
      </c>
      <c r="BC92" s="229">
        <v>0.12520000000000001</v>
      </c>
      <c r="BD92" s="230">
        <v>38000</v>
      </c>
      <c r="BE92" s="230">
        <v>40000</v>
      </c>
      <c r="BF92" s="230">
        <v>-2000</v>
      </c>
      <c r="BG92" s="229">
        <v>-0.05</v>
      </c>
      <c r="BH92" s="230">
        <v>9102000</v>
      </c>
      <c r="BI92" s="230">
        <v>8767000</v>
      </c>
      <c r="BJ92" s="230">
        <v>335000</v>
      </c>
      <c r="BK92" s="229">
        <v>3.8199999999999998E-2</v>
      </c>
      <c r="BL92" s="230">
        <v>4399000</v>
      </c>
      <c r="BM92" s="230">
        <v>3551000</v>
      </c>
      <c r="BN92" s="230">
        <v>848000</v>
      </c>
      <c r="BO92" s="229">
        <v>0.23880000000000001</v>
      </c>
      <c r="BP92" s="230">
        <v>17548000</v>
      </c>
      <c r="BQ92" s="230">
        <v>15794000</v>
      </c>
      <c r="BR92" s="230">
        <v>1754000</v>
      </c>
      <c r="BS92" s="229">
        <v>0.1111</v>
      </c>
      <c r="BT92" s="230">
        <v>2486834</v>
      </c>
      <c r="BU92" s="230">
        <v>2598042</v>
      </c>
      <c r="BV92" s="230">
        <v>-111208</v>
      </c>
      <c r="BW92" s="229">
        <v>-4.2799999999999998E-2</v>
      </c>
      <c r="BX92" s="230">
        <v>26868000</v>
      </c>
      <c r="BY92" s="230">
        <v>27223000</v>
      </c>
      <c r="BZ92" s="230">
        <v>-355000</v>
      </c>
      <c r="CA92" s="229">
        <v>-1.2999999999999999E-2</v>
      </c>
      <c r="CB92" s="230">
        <v>24751000</v>
      </c>
      <c r="CC92" s="230">
        <v>25356000</v>
      </c>
      <c r="CD92" s="230">
        <v>-605000</v>
      </c>
      <c r="CE92" s="229">
        <v>-2.3900000000000001E-2</v>
      </c>
      <c r="CF92" s="230">
        <v>1963000</v>
      </c>
      <c r="CG92" s="230">
        <v>1708000</v>
      </c>
      <c r="CH92" s="230">
        <v>255000</v>
      </c>
      <c r="CI92" s="229">
        <v>0.14929999999999999</v>
      </c>
      <c r="CJ92" s="230">
        <v>154000</v>
      </c>
      <c r="CK92" s="230">
        <v>159000</v>
      </c>
      <c r="CL92" s="230">
        <v>-5000</v>
      </c>
      <c r="CM92" s="229">
        <v>-3.1399999999999997E-2</v>
      </c>
      <c r="CN92" s="230">
        <v>10660000</v>
      </c>
      <c r="CO92" s="230">
        <v>10998000</v>
      </c>
      <c r="CP92" s="230">
        <v>-338000</v>
      </c>
      <c r="CQ92" s="229">
        <v>-3.0700000000000002E-2</v>
      </c>
      <c r="CR92" s="230">
        <v>6902000</v>
      </c>
      <c r="CS92" s="230">
        <v>6565000</v>
      </c>
      <c r="CT92" s="230">
        <v>337000</v>
      </c>
      <c r="CU92" s="229">
        <v>5.1299999999999998E-2</v>
      </c>
      <c r="CV92" s="230">
        <v>44430000</v>
      </c>
      <c r="CW92" s="230">
        <v>44786000</v>
      </c>
      <c r="CX92" s="230">
        <v>-356000</v>
      </c>
      <c r="CY92" s="229">
        <v>-7.9000000000000008E-3</v>
      </c>
      <c r="CZ92" s="228">
        <v>20.68</v>
      </c>
      <c r="DA92" s="228">
        <v>22.63</v>
      </c>
      <c r="DB92" s="228">
        <v>-1.95</v>
      </c>
      <c r="DC92" s="228">
        <v>-1.95</v>
      </c>
      <c r="DD92" s="228">
        <v>34.03</v>
      </c>
      <c r="DE92" s="228">
        <v>34.08</v>
      </c>
      <c r="DF92" s="228">
        <v>-13.35</v>
      </c>
      <c r="DG92" s="228">
        <v>-0.05</v>
      </c>
      <c r="DH92" s="228">
        <v>20.89</v>
      </c>
      <c r="DI92" s="228">
        <v>23.46</v>
      </c>
      <c r="DJ92" s="228">
        <v>-2.57</v>
      </c>
      <c r="DK92" s="228">
        <v>-2.57</v>
      </c>
      <c r="DL92" s="228">
        <v>20.23</v>
      </c>
      <c r="DM92" s="228">
        <v>20.6</v>
      </c>
      <c r="DN92" s="228">
        <v>-0.37</v>
      </c>
      <c r="DO92" s="228">
        <v>-0.37</v>
      </c>
      <c r="DP92" s="228">
        <v>0.65</v>
      </c>
      <c r="DQ92" s="228">
        <v>0.6</v>
      </c>
      <c r="DR92" s="228">
        <v>0.05</v>
      </c>
      <c r="DS92" s="229">
        <v>8.3299999999999999E-2</v>
      </c>
      <c r="DT92" s="228">
        <v>750</v>
      </c>
      <c r="DU92" s="228">
        <v>700</v>
      </c>
      <c r="DV92" s="228">
        <v>0.48</v>
      </c>
      <c r="DW92" s="228">
        <v>0.41</v>
      </c>
      <c r="DX92" s="228">
        <v>7.0000000000000007E-2</v>
      </c>
      <c r="DY92" s="229">
        <v>0.17069999999999999</v>
      </c>
      <c r="DZ92" s="229">
        <v>7.8799999999999995E-2</v>
      </c>
      <c r="EA92" s="230">
        <v>1867000</v>
      </c>
      <c r="EB92" s="229">
        <v>6.1000000000000004E-3</v>
      </c>
      <c r="EC92" s="229">
        <v>7.8799999999999995E-2</v>
      </c>
      <c r="ED92" s="228">
        <v>4.25</v>
      </c>
      <c r="EE92" s="229">
        <v>5.8999999999999999E-3</v>
      </c>
      <c r="EF92" s="230">
        <v>1521236</v>
      </c>
      <c r="EG92" s="230">
        <v>1860536</v>
      </c>
      <c r="EH92" s="229">
        <v>-0.18240000000000001</v>
      </c>
      <c r="EI92" s="229">
        <v>0.61170000000000002</v>
      </c>
      <c r="EJ92" s="231">
        <v>67751.78</v>
      </c>
      <c r="EK92" s="231">
        <v>31485.8</v>
      </c>
      <c r="EL92" s="231">
        <v>29180.11</v>
      </c>
      <c r="EM92" s="231">
        <v>3132</v>
      </c>
      <c r="EN92" s="231">
        <v>128417.69</v>
      </c>
      <c r="EO92" s="231">
        <v>116502.32</v>
      </c>
      <c r="EP92" s="231">
        <v>11915.37</v>
      </c>
      <c r="EQ92" s="229">
        <v>0.1023</v>
      </c>
      <c r="ER92" s="231">
        <v>80658</v>
      </c>
      <c r="ES92" s="231">
        <v>49669</v>
      </c>
      <c r="ET92" s="231">
        <v>194665</v>
      </c>
      <c r="EU92" s="231">
        <v>111956321</v>
      </c>
      <c r="EV92" s="231">
        <v>324991</v>
      </c>
      <c r="EW92" s="231">
        <v>325456</v>
      </c>
      <c r="EX92" s="228">
        <v>-465</v>
      </c>
      <c r="EY92" s="229">
        <v>-1.4E-3</v>
      </c>
      <c r="EZ92" s="229">
        <v>0.39689999999999998</v>
      </c>
      <c r="FA92" s="227" t="s">
        <v>556</v>
      </c>
      <c r="FB92" s="161">
        <f t="shared" si="1"/>
        <v>2117000</v>
      </c>
    </row>
    <row r="93" spans="1:158" ht="17.25" hidden="1" thickBot="1" x14ac:dyDescent="0.3">
      <c r="A93" s="226">
        <v>46009</v>
      </c>
      <c r="B93" s="227" t="s">
        <v>172</v>
      </c>
      <c r="C93" s="227" t="s">
        <v>578</v>
      </c>
      <c r="D93" s="228">
        <v>1000</v>
      </c>
      <c r="E93" s="228">
        <v>778.45</v>
      </c>
      <c r="F93" s="228">
        <v>776.35</v>
      </c>
      <c r="G93" s="228">
        <v>2.1</v>
      </c>
      <c r="H93" s="229">
        <v>2.7000000000000001E-3</v>
      </c>
      <c r="I93" s="228">
        <v>777.85</v>
      </c>
      <c r="J93" s="228">
        <v>775</v>
      </c>
      <c r="K93" s="228">
        <v>2.85</v>
      </c>
      <c r="L93" s="229">
        <v>3.7000000000000002E-3</v>
      </c>
      <c r="M93" s="228">
        <v>778.45</v>
      </c>
      <c r="N93" s="228">
        <v>776.35</v>
      </c>
      <c r="O93" s="228">
        <v>2.1</v>
      </c>
      <c r="P93" s="229">
        <v>2.7000000000000001E-3</v>
      </c>
      <c r="Q93" s="228">
        <v>782.3</v>
      </c>
      <c r="R93" s="228">
        <v>779.85</v>
      </c>
      <c r="S93" s="228">
        <v>2.4500000000000002</v>
      </c>
      <c r="T93" s="229">
        <v>3.0999999999999999E-3</v>
      </c>
      <c r="U93" s="228">
        <v>780.5</v>
      </c>
      <c r="V93" s="228">
        <v>781.65</v>
      </c>
      <c r="W93" s="228">
        <v>-1.1499999999999999</v>
      </c>
      <c r="X93" s="229">
        <v>-1.5E-3</v>
      </c>
      <c r="Y93" s="228">
        <v>0.6</v>
      </c>
      <c r="Z93" s="228">
        <v>1.35</v>
      </c>
      <c r="AA93" s="228">
        <v>-0.75</v>
      </c>
      <c r="AB93" s="229">
        <v>8.0000000000000004E-4</v>
      </c>
      <c r="AC93" s="228">
        <v>0.6</v>
      </c>
      <c r="AD93" s="228">
        <v>1.35</v>
      </c>
      <c r="AE93" s="228">
        <v>-0.75</v>
      </c>
      <c r="AF93" s="229">
        <v>8.0000000000000004E-4</v>
      </c>
      <c r="AG93" s="228">
        <v>4.45</v>
      </c>
      <c r="AH93" s="228">
        <v>4.8499999999999996</v>
      </c>
      <c r="AI93" s="228">
        <v>-0.4</v>
      </c>
      <c r="AJ93" s="229">
        <v>5.7000000000000002E-3</v>
      </c>
      <c r="AK93" s="228">
        <v>2.65</v>
      </c>
      <c r="AL93" s="228">
        <v>6.65</v>
      </c>
      <c r="AM93" s="228">
        <v>-4</v>
      </c>
      <c r="AN93" s="229">
        <v>3.3999999999999998E-3</v>
      </c>
      <c r="AO93" s="228">
        <v>777.71</v>
      </c>
      <c r="AP93" s="228">
        <v>781.7</v>
      </c>
      <c r="AQ93" s="228">
        <v>0</v>
      </c>
      <c r="AR93" s="230">
        <v>1450000</v>
      </c>
      <c r="AS93" s="230">
        <v>1526000</v>
      </c>
      <c r="AT93" s="230">
        <v>-76000</v>
      </c>
      <c r="AU93" s="229">
        <v>-4.9799999999999997E-2</v>
      </c>
      <c r="AV93" s="230">
        <v>1280000</v>
      </c>
      <c r="AW93" s="230">
        <v>1401000</v>
      </c>
      <c r="AX93" s="230">
        <v>-121000</v>
      </c>
      <c r="AY93" s="229">
        <v>-8.6400000000000005E-2</v>
      </c>
      <c r="AZ93" s="230">
        <v>162000</v>
      </c>
      <c r="BA93" s="230">
        <v>114000</v>
      </c>
      <c r="BB93" s="230">
        <v>48000</v>
      </c>
      <c r="BC93" s="229">
        <v>0.42109999999999997</v>
      </c>
      <c r="BD93" s="230">
        <v>8000</v>
      </c>
      <c r="BE93" s="230">
        <v>11000</v>
      </c>
      <c r="BF93" s="230">
        <v>-3000</v>
      </c>
      <c r="BG93" s="229">
        <v>-0.2727</v>
      </c>
      <c r="BH93" s="230">
        <v>5256000</v>
      </c>
      <c r="BI93" s="230">
        <v>4781000</v>
      </c>
      <c r="BJ93" s="230">
        <v>475000</v>
      </c>
      <c r="BK93" s="229">
        <v>9.9400000000000002E-2</v>
      </c>
      <c r="BL93" s="230">
        <v>1363000</v>
      </c>
      <c r="BM93" s="230">
        <v>1718000</v>
      </c>
      <c r="BN93" s="230">
        <v>-355000</v>
      </c>
      <c r="BO93" s="229">
        <v>-0.20660000000000001</v>
      </c>
      <c r="BP93" s="230">
        <v>8069000</v>
      </c>
      <c r="BQ93" s="230">
        <v>8025000</v>
      </c>
      <c r="BR93" s="230">
        <v>44000</v>
      </c>
      <c r="BS93" s="229">
        <v>5.4999999999999997E-3</v>
      </c>
      <c r="BT93" s="230">
        <v>1097832</v>
      </c>
      <c r="BU93" s="230">
        <v>929594</v>
      </c>
      <c r="BV93" s="230">
        <v>168238</v>
      </c>
      <c r="BW93" s="229">
        <v>0.18099999999999999</v>
      </c>
      <c r="BX93" s="230">
        <v>11744000</v>
      </c>
      <c r="BY93" s="230">
        <v>11728000</v>
      </c>
      <c r="BZ93" s="230">
        <v>16000</v>
      </c>
      <c r="CA93" s="229">
        <v>1.4E-3</v>
      </c>
      <c r="CB93" s="230">
        <v>11059000</v>
      </c>
      <c r="CC93" s="230">
        <v>11082000</v>
      </c>
      <c r="CD93" s="230">
        <v>-23000</v>
      </c>
      <c r="CE93" s="229">
        <v>-2.0999999999999999E-3</v>
      </c>
      <c r="CF93" s="230">
        <v>621000</v>
      </c>
      <c r="CG93" s="230">
        <v>581000</v>
      </c>
      <c r="CH93" s="230">
        <v>40000</v>
      </c>
      <c r="CI93" s="229">
        <v>6.88E-2</v>
      </c>
      <c r="CJ93" s="230">
        <v>64000</v>
      </c>
      <c r="CK93" s="230">
        <v>65000</v>
      </c>
      <c r="CL93" s="230">
        <v>-1000</v>
      </c>
      <c r="CM93" s="229">
        <v>-1.54E-2</v>
      </c>
      <c r="CN93" s="230">
        <v>12290000</v>
      </c>
      <c r="CO93" s="230">
        <v>12542000</v>
      </c>
      <c r="CP93" s="230">
        <v>-252000</v>
      </c>
      <c r="CQ93" s="229">
        <v>-2.01E-2</v>
      </c>
      <c r="CR93" s="230">
        <v>5071000</v>
      </c>
      <c r="CS93" s="230">
        <v>5081000</v>
      </c>
      <c r="CT93" s="230">
        <v>-10000</v>
      </c>
      <c r="CU93" s="229">
        <v>-2E-3</v>
      </c>
      <c r="CV93" s="230">
        <v>29105000</v>
      </c>
      <c r="CW93" s="230">
        <v>29351000</v>
      </c>
      <c r="CX93" s="230">
        <v>-246000</v>
      </c>
      <c r="CY93" s="229">
        <v>-8.3999999999999995E-3</v>
      </c>
      <c r="CZ93" s="228">
        <v>27.24</v>
      </c>
      <c r="DA93" s="228">
        <v>27.51</v>
      </c>
      <c r="DB93" s="228">
        <v>-0.27</v>
      </c>
      <c r="DC93" s="228">
        <v>-0.27</v>
      </c>
      <c r="DD93" s="228">
        <v>37.619999999999997</v>
      </c>
      <c r="DE93" s="228">
        <v>37.71</v>
      </c>
      <c r="DF93" s="228">
        <v>-10.38</v>
      </c>
      <c r="DG93" s="228">
        <v>-0.09</v>
      </c>
      <c r="DH93" s="228">
        <v>27.65</v>
      </c>
      <c r="DI93" s="228">
        <v>27.94</v>
      </c>
      <c r="DJ93" s="228">
        <v>-0.28999999999999998</v>
      </c>
      <c r="DK93" s="228">
        <v>-0.28999999999999998</v>
      </c>
      <c r="DL93" s="228">
        <v>25.67</v>
      </c>
      <c r="DM93" s="228">
        <v>26.32</v>
      </c>
      <c r="DN93" s="228">
        <v>-0.65</v>
      </c>
      <c r="DO93" s="228">
        <v>-0.65</v>
      </c>
      <c r="DP93" s="228">
        <v>0.41</v>
      </c>
      <c r="DQ93" s="228">
        <v>0.41</v>
      </c>
      <c r="DR93" s="228">
        <v>0</v>
      </c>
      <c r="DS93" s="229">
        <v>0</v>
      </c>
      <c r="DT93" s="228">
        <v>900</v>
      </c>
      <c r="DU93" s="228">
        <v>740</v>
      </c>
      <c r="DV93" s="228">
        <v>0.26</v>
      </c>
      <c r="DW93" s="228">
        <v>0.36</v>
      </c>
      <c r="DX93" s="228">
        <v>-0.1</v>
      </c>
      <c r="DY93" s="229">
        <v>-0.27779999999999999</v>
      </c>
      <c r="DZ93" s="229">
        <v>5.8299999999999998E-2</v>
      </c>
      <c r="EA93" s="230">
        <v>646000</v>
      </c>
      <c r="EB93" s="229">
        <v>4.8999999999999998E-3</v>
      </c>
      <c r="EC93" s="229">
        <v>5.8299999999999998E-2</v>
      </c>
      <c r="ED93" s="228">
        <v>3.99</v>
      </c>
      <c r="EE93" s="229">
        <v>5.1000000000000004E-3</v>
      </c>
      <c r="EF93" s="230">
        <v>534840</v>
      </c>
      <c r="EG93" s="230">
        <v>380391</v>
      </c>
      <c r="EH93" s="229">
        <v>0.40600000000000003</v>
      </c>
      <c r="EI93" s="229">
        <v>0.48720000000000002</v>
      </c>
      <c r="EJ93" s="231">
        <v>43449.06</v>
      </c>
      <c r="EK93" s="231">
        <v>10552.49</v>
      </c>
      <c r="EL93" s="231">
        <v>11283.7</v>
      </c>
      <c r="EM93" s="231">
        <v>2112</v>
      </c>
      <c r="EN93" s="231">
        <v>65285.25</v>
      </c>
      <c r="EO93" s="231">
        <v>64305.96</v>
      </c>
      <c r="EP93" s="228">
        <v>979.29</v>
      </c>
      <c r="EQ93" s="229">
        <v>1.52E-2</v>
      </c>
      <c r="ER93" s="231">
        <v>105814</v>
      </c>
      <c r="ES93" s="231">
        <v>40479</v>
      </c>
      <c r="ET93" s="231">
        <v>91446</v>
      </c>
      <c r="EU93" s="231">
        <v>52862157</v>
      </c>
      <c r="EV93" s="231">
        <v>237738</v>
      </c>
      <c r="EW93" s="231">
        <v>239684</v>
      </c>
      <c r="EX93" s="231">
        <v>-1946</v>
      </c>
      <c r="EY93" s="229">
        <v>-8.0999999999999996E-3</v>
      </c>
      <c r="EZ93" s="229">
        <v>0.55059999999999998</v>
      </c>
      <c r="FA93" s="227" t="s">
        <v>555</v>
      </c>
      <c r="FB93" s="161">
        <f t="shared" si="1"/>
        <v>685000</v>
      </c>
    </row>
    <row r="94" spans="1:158" ht="17.25" hidden="1" thickBot="1" x14ac:dyDescent="0.3">
      <c r="A94" s="226">
        <v>46009</v>
      </c>
      <c r="B94" s="227" t="s">
        <v>181</v>
      </c>
      <c r="C94" s="227" t="s">
        <v>689</v>
      </c>
      <c r="D94" s="228">
        <v>1</v>
      </c>
      <c r="E94" s="228">
        <v>9.7100000000000009</v>
      </c>
      <c r="F94" s="228">
        <v>9.84</v>
      </c>
      <c r="G94" s="228">
        <v>-0.13</v>
      </c>
      <c r="H94" s="229">
        <v>-1.35E-2</v>
      </c>
      <c r="I94" s="228">
        <v>9.7100000000000009</v>
      </c>
      <c r="J94" s="228">
        <v>9.84</v>
      </c>
      <c r="K94" s="228">
        <v>-0.13</v>
      </c>
      <c r="L94" s="229">
        <v>-1.35E-2</v>
      </c>
      <c r="M94" s="228">
        <v>0</v>
      </c>
      <c r="N94" s="228">
        <v>0</v>
      </c>
      <c r="O94" s="228">
        <v>0</v>
      </c>
      <c r="P94" s="229">
        <v>0</v>
      </c>
      <c r="Q94" s="228">
        <v>0</v>
      </c>
      <c r="R94" s="228">
        <v>0</v>
      </c>
      <c r="S94" s="228">
        <v>0</v>
      </c>
      <c r="T94" s="229">
        <v>0</v>
      </c>
      <c r="U94" s="228">
        <v>0</v>
      </c>
      <c r="V94" s="228">
        <v>0</v>
      </c>
      <c r="W94" s="228">
        <v>0</v>
      </c>
      <c r="X94" s="229">
        <v>0</v>
      </c>
      <c r="Y94" s="228">
        <v>0</v>
      </c>
      <c r="Z94" s="228">
        <v>0</v>
      </c>
      <c r="AA94" s="228">
        <v>0</v>
      </c>
      <c r="AB94" s="229">
        <v>0</v>
      </c>
      <c r="AC94" s="228">
        <v>0</v>
      </c>
      <c r="AD94" s="228">
        <v>0</v>
      </c>
      <c r="AE94" s="228">
        <v>0</v>
      </c>
      <c r="AF94" s="229">
        <v>0</v>
      </c>
      <c r="AG94" s="228">
        <v>0</v>
      </c>
      <c r="AH94" s="228">
        <v>0</v>
      </c>
      <c r="AI94" s="228">
        <v>0</v>
      </c>
      <c r="AJ94" s="229">
        <v>0</v>
      </c>
      <c r="AK94" s="228">
        <v>0</v>
      </c>
      <c r="AL94" s="228">
        <v>0</v>
      </c>
      <c r="AM94" s="228">
        <v>0</v>
      </c>
      <c r="AN94" s="229">
        <v>0</v>
      </c>
      <c r="AO94" s="228">
        <v>0</v>
      </c>
      <c r="AP94" s="228">
        <v>0</v>
      </c>
      <c r="AQ94" s="228">
        <v>0</v>
      </c>
      <c r="AR94" s="228">
        <v>0</v>
      </c>
      <c r="AS94" s="228">
        <v>0</v>
      </c>
      <c r="AT94" s="228">
        <v>0</v>
      </c>
      <c r="AU94" s="229">
        <v>0</v>
      </c>
      <c r="AV94" s="228">
        <v>0</v>
      </c>
      <c r="AW94" s="228">
        <v>0</v>
      </c>
      <c r="AX94" s="228">
        <v>0</v>
      </c>
      <c r="AY94" s="229">
        <v>0</v>
      </c>
      <c r="AZ94" s="228">
        <v>0</v>
      </c>
      <c r="BA94" s="228">
        <v>0</v>
      </c>
      <c r="BB94" s="228">
        <v>0</v>
      </c>
      <c r="BC94" s="229">
        <v>0</v>
      </c>
      <c r="BD94" s="228">
        <v>0</v>
      </c>
      <c r="BE94" s="228">
        <v>0</v>
      </c>
      <c r="BF94" s="228">
        <v>0</v>
      </c>
      <c r="BG94" s="229">
        <v>0</v>
      </c>
      <c r="BH94" s="228">
        <v>0</v>
      </c>
      <c r="BI94" s="228">
        <v>0</v>
      </c>
      <c r="BJ94" s="228">
        <v>0</v>
      </c>
      <c r="BK94" s="229">
        <v>0</v>
      </c>
      <c r="BL94" s="228">
        <v>0</v>
      </c>
      <c r="BM94" s="228">
        <v>0</v>
      </c>
      <c r="BN94" s="228">
        <v>0</v>
      </c>
      <c r="BO94" s="229">
        <v>0</v>
      </c>
      <c r="BP94" s="228">
        <v>0</v>
      </c>
      <c r="BQ94" s="228">
        <v>0</v>
      </c>
      <c r="BR94" s="228">
        <v>0</v>
      </c>
      <c r="BS94" s="229">
        <v>0</v>
      </c>
      <c r="BT94" s="228">
        <v>0</v>
      </c>
      <c r="BU94" s="228">
        <v>0</v>
      </c>
      <c r="BV94" s="228">
        <v>0</v>
      </c>
      <c r="BW94" s="229">
        <v>0</v>
      </c>
      <c r="BX94" s="228">
        <v>0</v>
      </c>
      <c r="BY94" s="228">
        <v>0</v>
      </c>
      <c r="BZ94" s="228">
        <v>0</v>
      </c>
      <c r="CA94" s="229">
        <v>0</v>
      </c>
      <c r="CB94" s="228">
        <v>0</v>
      </c>
      <c r="CC94" s="228">
        <v>0</v>
      </c>
      <c r="CD94" s="228">
        <v>0</v>
      </c>
      <c r="CE94" s="229">
        <v>0</v>
      </c>
      <c r="CF94" s="228">
        <v>0</v>
      </c>
      <c r="CG94" s="228">
        <v>0</v>
      </c>
      <c r="CH94" s="228">
        <v>0</v>
      </c>
      <c r="CI94" s="229">
        <v>0</v>
      </c>
      <c r="CJ94" s="228">
        <v>0</v>
      </c>
      <c r="CK94" s="228">
        <v>0</v>
      </c>
      <c r="CL94" s="228">
        <v>0</v>
      </c>
      <c r="CM94" s="229">
        <v>0</v>
      </c>
      <c r="CN94" s="228">
        <v>0</v>
      </c>
      <c r="CO94" s="228">
        <v>0</v>
      </c>
      <c r="CP94" s="228">
        <v>0</v>
      </c>
      <c r="CQ94" s="229">
        <v>0</v>
      </c>
      <c r="CR94" s="228">
        <v>0</v>
      </c>
      <c r="CS94" s="228">
        <v>0</v>
      </c>
      <c r="CT94" s="228">
        <v>0</v>
      </c>
      <c r="CU94" s="229">
        <v>0</v>
      </c>
      <c r="CV94" s="228">
        <v>0</v>
      </c>
      <c r="CW94" s="228">
        <v>0</v>
      </c>
      <c r="CX94" s="228">
        <v>0</v>
      </c>
      <c r="CY94" s="229">
        <v>0</v>
      </c>
      <c r="CZ94" s="228">
        <v>0</v>
      </c>
      <c r="DA94" s="228">
        <v>0</v>
      </c>
      <c r="DB94" s="228">
        <v>0</v>
      </c>
      <c r="DC94" s="228">
        <v>0</v>
      </c>
      <c r="DD94" s="228">
        <v>0</v>
      </c>
      <c r="DE94" s="228">
        <v>0</v>
      </c>
      <c r="DF94" s="228">
        <v>0</v>
      </c>
      <c r="DG94" s="228">
        <v>0</v>
      </c>
      <c r="DH94" s="228">
        <v>0</v>
      </c>
      <c r="DI94" s="228">
        <v>0</v>
      </c>
      <c r="DJ94" s="228">
        <v>0</v>
      </c>
      <c r="DK94" s="228">
        <v>0</v>
      </c>
      <c r="DL94" s="228">
        <v>0</v>
      </c>
      <c r="DM94" s="228">
        <v>0</v>
      </c>
      <c r="DN94" s="228">
        <v>0</v>
      </c>
      <c r="DO94" s="228">
        <v>0</v>
      </c>
      <c r="DP94" s="228">
        <v>0</v>
      </c>
      <c r="DQ94" s="228">
        <v>0</v>
      </c>
      <c r="DR94" s="228">
        <v>0</v>
      </c>
      <c r="DS94" s="229">
        <v>0</v>
      </c>
      <c r="DT94" s="228">
        <v>0</v>
      </c>
      <c r="DU94" s="228">
        <v>0</v>
      </c>
      <c r="DV94" s="228">
        <v>0</v>
      </c>
      <c r="DW94" s="228">
        <v>0</v>
      </c>
      <c r="DX94" s="228">
        <v>0</v>
      </c>
      <c r="DY94" s="229">
        <v>0</v>
      </c>
      <c r="DZ94" s="229">
        <v>0</v>
      </c>
      <c r="EA94" s="228">
        <v>0</v>
      </c>
      <c r="EB94" s="229">
        <v>0</v>
      </c>
      <c r="EC94" s="229">
        <v>0</v>
      </c>
      <c r="ED94" s="228">
        <v>0</v>
      </c>
      <c r="EE94" s="229">
        <v>0</v>
      </c>
      <c r="EF94" s="228">
        <v>0</v>
      </c>
      <c r="EG94" s="228">
        <v>0</v>
      </c>
      <c r="EH94" s="229">
        <v>0</v>
      </c>
      <c r="EI94" s="229">
        <v>0</v>
      </c>
      <c r="EJ94" s="228">
        <v>0</v>
      </c>
      <c r="EK94" s="228">
        <v>0</v>
      </c>
      <c r="EL94" s="228">
        <v>0</v>
      </c>
      <c r="EM94" s="228">
        <v>0</v>
      </c>
      <c r="EN94" s="228">
        <v>0</v>
      </c>
      <c r="EO94" s="228">
        <v>0</v>
      </c>
      <c r="EP94" s="228">
        <v>0</v>
      </c>
      <c r="EQ94" s="229">
        <v>0</v>
      </c>
      <c r="ER94" s="228">
        <v>0</v>
      </c>
      <c r="ES94" s="228">
        <v>0</v>
      </c>
      <c r="ET94" s="228">
        <v>0</v>
      </c>
      <c r="EU94" s="228">
        <v>0</v>
      </c>
      <c r="EV94" s="228">
        <v>0</v>
      </c>
      <c r="EW94" s="228">
        <v>0</v>
      </c>
      <c r="EX94" s="228">
        <v>0</v>
      </c>
      <c r="EY94" s="229">
        <v>0</v>
      </c>
      <c r="EZ94" s="229">
        <v>0</v>
      </c>
      <c r="FA94" s="227" t="s">
        <v>237</v>
      </c>
      <c r="FB94" s="161">
        <f t="shared" si="1"/>
        <v>0</v>
      </c>
    </row>
    <row r="95" spans="1:158" ht="17.25" hidden="1" thickBot="1" x14ac:dyDescent="0.3">
      <c r="A95" s="226">
        <v>46009</v>
      </c>
      <c r="B95" s="227" t="s">
        <v>215</v>
      </c>
      <c r="C95" s="227" t="s">
        <v>238</v>
      </c>
      <c r="D95" s="228">
        <v>150</v>
      </c>
      <c r="E95" s="231">
        <v>5130.5</v>
      </c>
      <c r="F95" s="231">
        <v>4984</v>
      </c>
      <c r="G95" s="228">
        <v>146.5</v>
      </c>
      <c r="H95" s="229">
        <v>2.9399999999999999E-2</v>
      </c>
      <c r="I95" s="231">
        <v>5115.5</v>
      </c>
      <c r="J95" s="231">
        <v>4980.5</v>
      </c>
      <c r="K95" s="228">
        <v>135</v>
      </c>
      <c r="L95" s="229">
        <v>2.7099999999999999E-2</v>
      </c>
      <c r="M95" s="231">
        <v>5130.5</v>
      </c>
      <c r="N95" s="231">
        <v>4984</v>
      </c>
      <c r="O95" s="228">
        <v>146.5</v>
      </c>
      <c r="P95" s="229">
        <v>2.9399999999999999E-2</v>
      </c>
      <c r="Q95" s="231">
        <v>5153</v>
      </c>
      <c r="R95" s="231">
        <v>5009.5</v>
      </c>
      <c r="S95" s="228">
        <v>143.5</v>
      </c>
      <c r="T95" s="229">
        <v>2.86E-2</v>
      </c>
      <c r="U95" s="231">
        <v>5178</v>
      </c>
      <c r="V95" s="231">
        <v>5039.5</v>
      </c>
      <c r="W95" s="228">
        <v>138.5</v>
      </c>
      <c r="X95" s="229">
        <v>2.75E-2</v>
      </c>
      <c r="Y95" s="228">
        <v>15</v>
      </c>
      <c r="Z95" s="228">
        <v>3.5</v>
      </c>
      <c r="AA95" s="228">
        <v>11.5</v>
      </c>
      <c r="AB95" s="229">
        <v>2.8999999999999998E-3</v>
      </c>
      <c r="AC95" s="228">
        <v>15</v>
      </c>
      <c r="AD95" s="228">
        <v>3.5</v>
      </c>
      <c r="AE95" s="228">
        <v>11.5</v>
      </c>
      <c r="AF95" s="229">
        <v>2.8999999999999998E-3</v>
      </c>
      <c r="AG95" s="228">
        <v>37.5</v>
      </c>
      <c r="AH95" s="228">
        <v>29</v>
      </c>
      <c r="AI95" s="228">
        <v>8.5</v>
      </c>
      <c r="AJ95" s="229">
        <v>7.3000000000000001E-3</v>
      </c>
      <c r="AK95" s="228">
        <v>62.5</v>
      </c>
      <c r="AL95" s="228">
        <v>59</v>
      </c>
      <c r="AM95" s="228">
        <v>3.5</v>
      </c>
      <c r="AN95" s="229">
        <v>1.2200000000000001E-2</v>
      </c>
      <c r="AO95" s="231">
        <v>5086.41</v>
      </c>
      <c r="AP95" s="231">
        <v>5110.8599999999997</v>
      </c>
      <c r="AQ95" s="228">
        <v>0</v>
      </c>
      <c r="AR95" s="230">
        <v>4519500</v>
      </c>
      <c r="AS95" s="230">
        <v>1128150</v>
      </c>
      <c r="AT95" s="230">
        <v>3391350</v>
      </c>
      <c r="AU95" s="229">
        <v>3.0061</v>
      </c>
      <c r="AV95" s="230">
        <v>3683700</v>
      </c>
      <c r="AW95" s="230">
        <v>925050</v>
      </c>
      <c r="AX95" s="230">
        <v>2758650</v>
      </c>
      <c r="AY95" s="229">
        <v>2.9822000000000002</v>
      </c>
      <c r="AZ95" s="230">
        <v>757650</v>
      </c>
      <c r="BA95" s="230">
        <v>186300</v>
      </c>
      <c r="BB95" s="230">
        <v>571350</v>
      </c>
      <c r="BC95" s="229">
        <v>3.0668000000000002</v>
      </c>
      <c r="BD95" s="230">
        <v>78150</v>
      </c>
      <c r="BE95" s="230">
        <v>16800</v>
      </c>
      <c r="BF95" s="230">
        <v>61350</v>
      </c>
      <c r="BG95" s="229">
        <v>3.6518000000000002</v>
      </c>
      <c r="BH95" s="230">
        <v>35718300</v>
      </c>
      <c r="BI95" s="230">
        <v>8553900</v>
      </c>
      <c r="BJ95" s="230">
        <v>27164400</v>
      </c>
      <c r="BK95" s="229">
        <v>3.1757</v>
      </c>
      <c r="BL95" s="230">
        <v>17114550</v>
      </c>
      <c r="BM95" s="230">
        <v>4325250</v>
      </c>
      <c r="BN95" s="230">
        <v>12789300</v>
      </c>
      <c r="BO95" s="229">
        <v>2.9569000000000001</v>
      </c>
      <c r="BP95" s="230">
        <v>57352350</v>
      </c>
      <c r="BQ95" s="230">
        <v>14007300</v>
      </c>
      <c r="BR95" s="230">
        <v>43345050</v>
      </c>
      <c r="BS95" s="229">
        <v>3.0945</v>
      </c>
      <c r="BT95" s="230">
        <v>4396967</v>
      </c>
      <c r="BU95" s="230">
        <v>1662896</v>
      </c>
      <c r="BV95" s="230">
        <v>2734071</v>
      </c>
      <c r="BW95" s="229">
        <v>1.6442000000000001</v>
      </c>
      <c r="BX95" s="230">
        <v>11580450</v>
      </c>
      <c r="BY95" s="230">
        <v>12282600</v>
      </c>
      <c r="BZ95" s="230">
        <v>-702150</v>
      </c>
      <c r="CA95" s="229">
        <v>-5.7200000000000001E-2</v>
      </c>
      <c r="CB95" s="230">
        <v>10038300</v>
      </c>
      <c r="CC95" s="230">
        <v>10935900</v>
      </c>
      <c r="CD95" s="230">
        <v>-897600</v>
      </c>
      <c r="CE95" s="229">
        <v>-8.2100000000000006E-2</v>
      </c>
      <c r="CF95" s="230">
        <v>1375500</v>
      </c>
      <c r="CG95" s="230">
        <v>1162350</v>
      </c>
      <c r="CH95" s="230">
        <v>213150</v>
      </c>
      <c r="CI95" s="229">
        <v>0.18340000000000001</v>
      </c>
      <c r="CJ95" s="230">
        <v>166650</v>
      </c>
      <c r="CK95" s="230">
        <v>184350</v>
      </c>
      <c r="CL95" s="230">
        <v>-17700</v>
      </c>
      <c r="CM95" s="229">
        <v>-9.6000000000000002E-2</v>
      </c>
      <c r="CN95" s="230">
        <v>15821400</v>
      </c>
      <c r="CO95" s="230">
        <v>17122350</v>
      </c>
      <c r="CP95" s="230">
        <v>-1300950</v>
      </c>
      <c r="CQ95" s="229">
        <v>-7.5999999999999998E-2</v>
      </c>
      <c r="CR95" s="230">
        <v>8888850</v>
      </c>
      <c r="CS95" s="230">
        <v>8243550</v>
      </c>
      <c r="CT95" s="230">
        <v>645300</v>
      </c>
      <c r="CU95" s="229">
        <v>7.8299999999999995E-2</v>
      </c>
      <c r="CV95" s="230">
        <v>36290700</v>
      </c>
      <c r="CW95" s="230">
        <v>37648500</v>
      </c>
      <c r="CX95" s="230">
        <v>-1357800</v>
      </c>
      <c r="CY95" s="229">
        <v>-3.61E-2</v>
      </c>
      <c r="CZ95" s="228">
        <v>26.01</v>
      </c>
      <c r="DA95" s="228">
        <v>29.86</v>
      </c>
      <c r="DB95" s="228">
        <v>-3.85</v>
      </c>
      <c r="DC95" s="228">
        <v>-3.85</v>
      </c>
      <c r="DD95" s="228">
        <v>33.909999999999997</v>
      </c>
      <c r="DE95" s="228">
        <v>33.799999999999997</v>
      </c>
      <c r="DF95" s="228">
        <v>-7.9</v>
      </c>
      <c r="DG95" s="228">
        <v>0.11</v>
      </c>
      <c r="DH95" s="228">
        <v>25.25</v>
      </c>
      <c r="DI95" s="228">
        <v>29.87</v>
      </c>
      <c r="DJ95" s="228">
        <v>-4.62</v>
      </c>
      <c r="DK95" s="228">
        <v>-4.62</v>
      </c>
      <c r="DL95" s="228">
        <v>27.59</v>
      </c>
      <c r="DM95" s="228">
        <v>29.83</v>
      </c>
      <c r="DN95" s="228">
        <v>-2.2400000000000002</v>
      </c>
      <c r="DO95" s="228">
        <v>-2.2400000000000002</v>
      </c>
      <c r="DP95" s="228">
        <v>0.56000000000000005</v>
      </c>
      <c r="DQ95" s="228">
        <v>0.48</v>
      </c>
      <c r="DR95" s="228">
        <v>0.08</v>
      </c>
      <c r="DS95" s="229">
        <v>0.16669999999999999</v>
      </c>
      <c r="DT95" s="231">
        <v>5500</v>
      </c>
      <c r="DU95" s="231">
        <v>5000</v>
      </c>
      <c r="DV95" s="228">
        <v>0.48</v>
      </c>
      <c r="DW95" s="228">
        <v>0.51</v>
      </c>
      <c r="DX95" s="228">
        <v>-0.03</v>
      </c>
      <c r="DY95" s="229">
        <v>-5.8799999999999998E-2</v>
      </c>
      <c r="DZ95" s="229">
        <v>0.13320000000000001</v>
      </c>
      <c r="EA95" s="230">
        <v>1346700</v>
      </c>
      <c r="EB95" s="229">
        <v>4.4000000000000003E-3</v>
      </c>
      <c r="EC95" s="229">
        <v>0.13320000000000001</v>
      </c>
      <c r="ED95" s="228">
        <v>24.45</v>
      </c>
      <c r="EE95" s="229">
        <v>4.7999999999999996E-3</v>
      </c>
      <c r="EF95" s="230">
        <v>2478903</v>
      </c>
      <c r="EG95" s="230">
        <v>930071</v>
      </c>
      <c r="EH95" s="229">
        <v>1.6653</v>
      </c>
      <c r="EI95" s="229">
        <v>0.56379999999999997</v>
      </c>
      <c r="EJ95" s="231">
        <v>1898461.42</v>
      </c>
      <c r="EK95" s="231">
        <v>844272.02</v>
      </c>
      <c r="EL95" s="231">
        <v>230104.5</v>
      </c>
      <c r="EM95" s="231">
        <v>19813</v>
      </c>
      <c r="EN95" s="231">
        <v>2972837.94</v>
      </c>
      <c r="EO95" s="231">
        <v>720494.46</v>
      </c>
      <c r="EP95" s="231">
        <v>2252343.48</v>
      </c>
      <c r="EQ95" s="229">
        <v>3.1261000000000001</v>
      </c>
      <c r="ER95" s="231">
        <v>864240</v>
      </c>
      <c r="ES95" s="231">
        <v>435984</v>
      </c>
      <c r="ET95" s="231">
        <v>594524</v>
      </c>
      <c r="EU95" s="231">
        <v>32732860</v>
      </c>
      <c r="EV95" s="231">
        <v>1894747</v>
      </c>
      <c r="EW95" s="231">
        <v>1945960</v>
      </c>
      <c r="EX95" s="231">
        <v>-51213</v>
      </c>
      <c r="EY95" s="229">
        <v>-2.63E-2</v>
      </c>
      <c r="EZ95" s="229">
        <v>1.1087</v>
      </c>
      <c r="FA95" s="227" t="s">
        <v>556</v>
      </c>
      <c r="FB95" s="161">
        <f t="shared" si="1"/>
        <v>1542150</v>
      </c>
    </row>
    <row r="96" spans="1:158" ht="17.25" hidden="1" thickBot="1" x14ac:dyDescent="0.3">
      <c r="A96" s="226">
        <v>46009</v>
      </c>
      <c r="B96" s="227" t="s">
        <v>172</v>
      </c>
      <c r="C96" s="227" t="s">
        <v>239</v>
      </c>
      <c r="D96" s="228">
        <v>700</v>
      </c>
      <c r="E96" s="228">
        <v>835.8</v>
      </c>
      <c r="F96" s="228">
        <v>834.65</v>
      </c>
      <c r="G96" s="228">
        <v>1.1499999999999999</v>
      </c>
      <c r="H96" s="229">
        <v>1.4E-3</v>
      </c>
      <c r="I96" s="228">
        <v>834.9</v>
      </c>
      <c r="J96" s="228">
        <v>833.85</v>
      </c>
      <c r="K96" s="228">
        <v>1.05</v>
      </c>
      <c r="L96" s="229">
        <v>1.2999999999999999E-3</v>
      </c>
      <c r="M96" s="228">
        <v>835.8</v>
      </c>
      <c r="N96" s="228">
        <v>834.65</v>
      </c>
      <c r="O96" s="228">
        <v>1.1499999999999999</v>
      </c>
      <c r="P96" s="229">
        <v>1.4E-3</v>
      </c>
      <c r="Q96" s="228">
        <v>841.1</v>
      </c>
      <c r="R96" s="228">
        <v>839.8</v>
      </c>
      <c r="S96" s="228">
        <v>1.3</v>
      </c>
      <c r="T96" s="229">
        <v>1.5E-3</v>
      </c>
      <c r="U96" s="228">
        <v>845.4</v>
      </c>
      <c r="V96" s="228">
        <v>844.8</v>
      </c>
      <c r="W96" s="228">
        <v>0.6</v>
      </c>
      <c r="X96" s="229">
        <v>6.9999999999999999E-4</v>
      </c>
      <c r="Y96" s="228">
        <v>0.9</v>
      </c>
      <c r="Z96" s="228">
        <v>0.8</v>
      </c>
      <c r="AA96" s="228">
        <v>0.1</v>
      </c>
      <c r="AB96" s="229">
        <v>1.1000000000000001E-3</v>
      </c>
      <c r="AC96" s="228">
        <v>0.9</v>
      </c>
      <c r="AD96" s="228">
        <v>0.8</v>
      </c>
      <c r="AE96" s="228">
        <v>0.1</v>
      </c>
      <c r="AF96" s="229">
        <v>1.1000000000000001E-3</v>
      </c>
      <c r="AG96" s="228">
        <v>6.2</v>
      </c>
      <c r="AH96" s="228">
        <v>5.95</v>
      </c>
      <c r="AI96" s="228">
        <v>0.25</v>
      </c>
      <c r="AJ96" s="229">
        <v>7.4000000000000003E-3</v>
      </c>
      <c r="AK96" s="228">
        <v>10.5</v>
      </c>
      <c r="AL96" s="228">
        <v>10.95</v>
      </c>
      <c r="AM96" s="228">
        <v>-0.45</v>
      </c>
      <c r="AN96" s="229">
        <v>1.26E-2</v>
      </c>
      <c r="AO96" s="228">
        <v>834.94</v>
      </c>
      <c r="AP96" s="228">
        <v>840.06</v>
      </c>
      <c r="AQ96" s="228">
        <v>0</v>
      </c>
      <c r="AR96" s="230">
        <v>5204500</v>
      </c>
      <c r="AS96" s="230">
        <v>7035700</v>
      </c>
      <c r="AT96" s="230">
        <v>-1831200</v>
      </c>
      <c r="AU96" s="229">
        <v>-0.26029999999999998</v>
      </c>
      <c r="AV96" s="230">
        <v>4441500</v>
      </c>
      <c r="AW96" s="230">
        <v>5600700</v>
      </c>
      <c r="AX96" s="230">
        <v>-1159200</v>
      </c>
      <c r="AY96" s="229">
        <v>-0.20699999999999999</v>
      </c>
      <c r="AZ96" s="230">
        <v>723800</v>
      </c>
      <c r="BA96" s="230">
        <v>1227100</v>
      </c>
      <c r="BB96" s="230">
        <v>-503300</v>
      </c>
      <c r="BC96" s="229">
        <v>-0.41020000000000001</v>
      </c>
      <c r="BD96" s="230">
        <v>39200</v>
      </c>
      <c r="BE96" s="230">
        <v>207900</v>
      </c>
      <c r="BF96" s="230">
        <v>-168700</v>
      </c>
      <c r="BG96" s="229">
        <v>-0.81140000000000001</v>
      </c>
      <c r="BH96" s="230">
        <v>11987500</v>
      </c>
      <c r="BI96" s="230">
        <v>17574900</v>
      </c>
      <c r="BJ96" s="230">
        <v>-5587400</v>
      </c>
      <c r="BK96" s="229">
        <v>-0.31790000000000002</v>
      </c>
      <c r="BL96" s="230">
        <v>8402800</v>
      </c>
      <c r="BM96" s="230">
        <v>15474900</v>
      </c>
      <c r="BN96" s="230">
        <v>-7072100</v>
      </c>
      <c r="BO96" s="229">
        <v>-0.45700000000000002</v>
      </c>
      <c r="BP96" s="230">
        <v>25594800</v>
      </c>
      <c r="BQ96" s="230">
        <v>40085500</v>
      </c>
      <c r="BR96" s="230">
        <v>-14490700</v>
      </c>
      <c r="BS96" s="229">
        <v>-0.36149999999999999</v>
      </c>
      <c r="BT96" s="230">
        <v>1583909</v>
      </c>
      <c r="BU96" s="230">
        <v>3214781</v>
      </c>
      <c r="BV96" s="230">
        <v>-1630872</v>
      </c>
      <c r="BW96" s="229">
        <v>-0.50729999999999997</v>
      </c>
      <c r="BX96" s="230">
        <v>47350800</v>
      </c>
      <c r="BY96" s="230">
        <v>47792500</v>
      </c>
      <c r="BZ96" s="230">
        <v>-441700</v>
      </c>
      <c r="CA96" s="229">
        <v>-9.1999999999999998E-3</v>
      </c>
      <c r="CB96" s="230">
        <v>42344400</v>
      </c>
      <c r="CC96" s="230">
        <v>43131900</v>
      </c>
      <c r="CD96" s="230">
        <v>-787500</v>
      </c>
      <c r="CE96" s="229">
        <v>-1.83E-2</v>
      </c>
      <c r="CF96" s="230">
        <v>4533900</v>
      </c>
      <c r="CG96" s="230">
        <v>4190900</v>
      </c>
      <c r="CH96" s="230">
        <v>343000</v>
      </c>
      <c r="CI96" s="229">
        <v>8.1799999999999998E-2</v>
      </c>
      <c r="CJ96" s="230">
        <v>472500</v>
      </c>
      <c r="CK96" s="230">
        <v>469700</v>
      </c>
      <c r="CL96" s="230">
        <v>2800</v>
      </c>
      <c r="CM96" s="229">
        <v>6.0000000000000001E-3</v>
      </c>
      <c r="CN96" s="230">
        <v>13762700</v>
      </c>
      <c r="CO96" s="230">
        <v>14210000</v>
      </c>
      <c r="CP96" s="230">
        <v>-447300</v>
      </c>
      <c r="CQ96" s="229">
        <v>-3.15E-2</v>
      </c>
      <c r="CR96" s="230">
        <v>9782500</v>
      </c>
      <c r="CS96" s="230">
        <v>9935100</v>
      </c>
      <c r="CT96" s="230">
        <v>-152600</v>
      </c>
      <c r="CU96" s="229">
        <v>-1.54E-2</v>
      </c>
      <c r="CV96" s="230">
        <v>70896000</v>
      </c>
      <c r="CW96" s="230">
        <v>71937600</v>
      </c>
      <c r="CX96" s="230">
        <v>-1041600</v>
      </c>
      <c r="CY96" s="229">
        <v>-1.4500000000000001E-2</v>
      </c>
      <c r="CZ96" s="228">
        <v>25.73</v>
      </c>
      <c r="DA96" s="228">
        <v>27.21</v>
      </c>
      <c r="DB96" s="228">
        <v>-1.48</v>
      </c>
      <c r="DC96" s="228">
        <v>-1.48</v>
      </c>
      <c r="DD96" s="228">
        <v>44.2</v>
      </c>
      <c r="DE96" s="228">
        <v>44.31</v>
      </c>
      <c r="DF96" s="228">
        <v>-18.47</v>
      </c>
      <c r="DG96" s="228">
        <v>-0.11</v>
      </c>
      <c r="DH96" s="228">
        <v>25.57</v>
      </c>
      <c r="DI96" s="228">
        <v>27.55</v>
      </c>
      <c r="DJ96" s="228">
        <v>-1.98</v>
      </c>
      <c r="DK96" s="228">
        <v>-1.98</v>
      </c>
      <c r="DL96" s="228">
        <v>25.97</v>
      </c>
      <c r="DM96" s="228">
        <v>26.82</v>
      </c>
      <c r="DN96" s="228">
        <v>-0.85</v>
      </c>
      <c r="DO96" s="228">
        <v>-0.85</v>
      </c>
      <c r="DP96" s="228">
        <v>0.71</v>
      </c>
      <c r="DQ96" s="228">
        <v>0.7</v>
      </c>
      <c r="DR96" s="228">
        <v>0.01</v>
      </c>
      <c r="DS96" s="229">
        <v>1.43E-2</v>
      </c>
      <c r="DT96" s="228">
        <v>900</v>
      </c>
      <c r="DU96" s="228">
        <v>820</v>
      </c>
      <c r="DV96" s="228">
        <v>0.7</v>
      </c>
      <c r="DW96" s="228">
        <v>0.88</v>
      </c>
      <c r="DX96" s="228">
        <v>-0.18</v>
      </c>
      <c r="DY96" s="229">
        <v>-0.20449999999999999</v>
      </c>
      <c r="DZ96" s="229">
        <v>0.1057</v>
      </c>
      <c r="EA96" s="230">
        <v>4660600</v>
      </c>
      <c r="EB96" s="229">
        <v>6.3E-3</v>
      </c>
      <c r="EC96" s="229">
        <v>0.1057</v>
      </c>
      <c r="ED96" s="228">
        <v>5.12</v>
      </c>
      <c r="EE96" s="229">
        <v>6.1000000000000004E-3</v>
      </c>
      <c r="EF96" s="230">
        <v>586055</v>
      </c>
      <c r="EG96" s="230">
        <v>1509934</v>
      </c>
      <c r="EH96" s="229">
        <v>-0.6119</v>
      </c>
      <c r="EI96" s="229">
        <v>0.37</v>
      </c>
      <c r="EJ96" s="231">
        <v>104470.05</v>
      </c>
      <c r="EK96" s="231">
        <v>68993.27</v>
      </c>
      <c r="EL96" s="231">
        <v>43495.51</v>
      </c>
      <c r="EM96" s="231">
        <v>7859</v>
      </c>
      <c r="EN96" s="231">
        <v>216958.83</v>
      </c>
      <c r="EO96" s="231">
        <v>340755.75</v>
      </c>
      <c r="EP96" s="231">
        <v>-123796.92</v>
      </c>
      <c r="EQ96" s="229">
        <v>-0.36330000000000001</v>
      </c>
      <c r="ER96" s="231">
        <v>121876</v>
      </c>
      <c r="ES96" s="231">
        <v>80639</v>
      </c>
      <c r="ET96" s="231">
        <v>396044</v>
      </c>
      <c r="EU96" s="231">
        <v>93805784</v>
      </c>
      <c r="EV96" s="231">
        <v>598558</v>
      </c>
      <c r="EW96" s="231">
        <v>607073</v>
      </c>
      <c r="EX96" s="231">
        <v>-8515</v>
      </c>
      <c r="EY96" s="229">
        <v>-1.4E-2</v>
      </c>
      <c r="EZ96" s="229">
        <v>0.75580000000000003</v>
      </c>
      <c r="FA96" s="227" t="s">
        <v>556</v>
      </c>
      <c r="FB96" s="161">
        <f t="shared" si="1"/>
        <v>5006400</v>
      </c>
    </row>
    <row r="97" spans="1:158" ht="17.25" hidden="1" thickBot="1" x14ac:dyDescent="0.3">
      <c r="A97" s="226">
        <v>46009</v>
      </c>
      <c r="B97" s="227" t="s">
        <v>188</v>
      </c>
      <c r="C97" s="227" t="s">
        <v>473</v>
      </c>
      <c r="D97" s="228">
        <v>1700</v>
      </c>
      <c r="E97" s="228">
        <v>409.7</v>
      </c>
      <c r="F97" s="228">
        <v>408.6</v>
      </c>
      <c r="G97" s="228">
        <v>1.1000000000000001</v>
      </c>
      <c r="H97" s="229">
        <v>2.7000000000000001E-3</v>
      </c>
      <c r="I97" s="228">
        <v>408.75</v>
      </c>
      <c r="J97" s="228">
        <v>407.2</v>
      </c>
      <c r="K97" s="228">
        <v>1.55</v>
      </c>
      <c r="L97" s="229">
        <v>3.8E-3</v>
      </c>
      <c r="M97" s="228">
        <v>409.7</v>
      </c>
      <c r="N97" s="228">
        <v>408.6</v>
      </c>
      <c r="O97" s="228">
        <v>1.1000000000000001</v>
      </c>
      <c r="P97" s="229">
        <v>2.7000000000000001E-3</v>
      </c>
      <c r="Q97" s="228">
        <v>412.15</v>
      </c>
      <c r="R97" s="228">
        <v>410.95</v>
      </c>
      <c r="S97" s="228">
        <v>1.2</v>
      </c>
      <c r="T97" s="229">
        <v>2.8999999999999998E-3</v>
      </c>
      <c r="U97" s="228">
        <v>414.35</v>
      </c>
      <c r="V97" s="228">
        <v>413.5</v>
      </c>
      <c r="W97" s="228">
        <v>0.85</v>
      </c>
      <c r="X97" s="229">
        <v>2.0999999999999999E-3</v>
      </c>
      <c r="Y97" s="228">
        <v>0.95</v>
      </c>
      <c r="Z97" s="228">
        <v>1.4</v>
      </c>
      <c r="AA97" s="228">
        <v>-0.45</v>
      </c>
      <c r="AB97" s="229">
        <v>2.3E-3</v>
      </c>
      <c r="AC97" s="228">
        <v>0.95</v>
      </c>
      <c r="AD97" s="228">
        <v>1.4</v>
      </c>
      <c r="AE97" s="228">
        <v>-0.45</v>
      </c>
      <c r="AF97" s="229">
        <v>2.3E-3</v>
      </c>
      <c r="AG97" s="228">
        <v>3.4</v>
      </c>
      <c r="AH97" s="228">
        <v>3.75</v>
      </c>
      <c r="AI97" s="228">
        <v>-0.35</v>
      </c>
      <c r="AJ97" s="229">
        <v>8.3000000000000001E-3</v>
      </c>
      <c r="AK97" s="228">
        <v>5.6</v>
      </c>
      <c r="AL97" s="228">
        <v>6.3</v>
      </c>
      <c r="AM97" s="228">
        <v>-0.7</v>
      </c>
      <c r="AN97" s="229">
        <v>1.37E-2</v>
      </c>
      <c r="AO97" s="228">
        <v>410.43</v>
      </c>
      <c r="AP97" s="228">
        <v>412.88</v>
      </c>
      <c r="AQ97" s="228">
        <v>0</v>
      </c>
      <c r="AR97" s="230">
        <v>8741400</v>
      </c>
      <c r="AS97" s="230">
        <v>5943200</v>
      </c>
      <c r="AT97" s="230">
        <v>2798200</v>
      </c>
      <c r="AU97" s="229">
        <v>0.4708</v>
      </c>
      <c r="AV97" s="230">
        <v>6811900</v>
      </c>
      <c r="AW97" s="230">
        <v>5186700</v>
      </c>
      <c r="AX97" s="230">
        <v>1625200</v>
      </c>
      <c r="AY97" s="229">
        <v>0.31330000000000002</v>
      </c>
      <c r="AZ97" s="230">
        <v>1881900</v>
      </c>
      <c r="BA97" s="230">
        <v>744600</v>
      </c>
      <c r="BB97" s="230">
        <v>1137300</v>
      </c>
      <c r="BC97" s="229">
        <v>1.5274000000000001</v>
      </c>
      <c r="BD97" s="230">
        <v>47600</v>
      </c>
      <c r="BE97" s="230">
        <v>11900</v>
      </c>
      <c r="BF97" s="230">
        <v>35700</v>
      </c>
      <c r="BG97" s="229">
        <v>3</v>
      </c>
      <c r="BH97" s="230">
        <v>19781200</v>
      </c>
      <c r="BI97" s="230">
        <v>17535500</v>
      </c>
      <c r="BJ97" s="230">
        <v>2245700</v>
      </c>
      <c r="BK97" s="229">
        <v>0.12809999999999999</v>
      </c>
      <c r="BL97" s="230">
        <v>6896900</v>
      </c>
      <c r="BM97" s="230">
        <v>4323100</v>
      </c>
      <c r="BN97" s="230">
        <v>2573800</v>
      </c>
      <c r="BO97" s="229">
        <v>0.59540000000000004</v>
      </c>
      <c r="BP97" s="230">
        <v>35419500</v>
      </c>
      <c r="BQ97" s="230">
        <v>27801800</v>
      </c>
      <c r="BR97" s="230">
        <v>7617700</v>
      </c>
      <c r="BS97" s="229">
        <v>0.27400000000000002</v>
      </c>
      <c r="BT97" s="230">
        <v>4818477</v>
      </c>
      <c r="BU97" s="230">
        <v>4617669</v>
      </c>
      <c r="BV97" s="230">
        <v>200808</v>
      </c>
      <c r="BW97" s="229">
        <v>4.3499999999999997E-2</v>
      </c>
      <c r="BX97" s="230">
        <v>83706300</v>
      </c>
      <c r="BY97" s="230">
        <v>83617900</v>
      </c>
      <c r="BZ97" s="230">
        <v>88400</v>
      </c>
      <c r="CA97" s="229">
        <v>1.1000000000000001E-3</v>
      </c>
      <c r="CB97" s="230">
        <v>80172000</v>
      </c>
      <c r="CC97" s="230">
        <v>80750000</v>
      </c>
      <c r="CD97" s="230">
        <v>-578000</v>
      </c>
      <c r="CE97" s="229">
        <v>-7.1999999999999998E-3</v>
      </c>
      <c r="CF97" s="230">
        <v>3342200</v>
      </c>
      <c r="CG97" s="230">
        <v>2680900</v>
      </c>
      <c r="CH97" s="230">
        <v>661300</v>
      </c>
      <c r="CI97" s="229">
        <v>0.2467</v>
      </c>
      <c r="CJ97" s="230">
        <v>192100</v>
      </c>
      <c r="CK97" s="230">
        <v>187000</v>
      </c>
      <c r="CL97" s="230">
        <v>5100</v>
      </c>
      <c r="CM97" s="229">
        <v>2.7300000000000001E-2</v>
      </c>
      <c r="CN97" s="230">
        <v>25683600</v>
      </c>
      <c r="CO97" s="230">
        <v>26888900</v>
      </c>
      <c r="CP97" s="230">
        <v>-1205300</v>
      </c>
      <c r="CQ97" s="229">
        <v>-4.48E-2</v>
      </c>
      <c r="CR97" s="230">
        <v>15432600</v>
      </c>
      <c r="CS97" s="230">
        <v>15793000</v>
      </c>
      <c r="CT97" s="230">
        <v>-360400</v>
      </c>
      <c r="CU97" s="229">
        <v>-2.2800000000000001E-2</v>
      </c>
      <c r="CV97" s="230">
        <v>124822500</v>
      </c>
      <c r="CW97" s="230">
        <v>126299800</v>
      </c>
      <c r="CX97" s="230">
        <v>-1477300</v>
      </c>
      <c r="CY97" s="229">
        <v>-1.17E-2</v>
      </c>
      <c r="CZ97" s="228">
        <v>25.08</v>
      </c>
      <c r="DA97" s="228">
        <v>26.8</v>
      </c>
      <c r="DB97" s="228">
        <v>-1.72</v>
      </c>
      <c r="DC97" s="228">
        <v>-1.72</v>
      </c>
      <c r="DD97" s="228">
        <v>38.520000000000003</v>
      </c>
      <c r="DE97" s="228">
        <v>38.61</v>
      </c>
      <c r="DF97" s="228">
        <v>-13.44</v>
      </c>
      <c r="DG97" s="228">
        <v>-0.09</v>
      </c>
      <c r="DH97" s="228">
        <v>25.14</v>
      </c>
      <c r="DI97" s="228">
        <v>26.84</v>
      </c>
      <c r="DJ97" s="228">
        <v>-1.7</v>
      </c>
      <c r="DK97" s="228">
        <v>-1.7</v>
      </c>
      <c r="DL97" s="228">
        <v>24.92</v>
      </c>
      <c r="DM97" s="228">
        <v>26.65</v>
      </c>
      <c r="DN97" s="228">
        <v>-1.73</v>
      </c>
      <c r="DO97" s="228">
        <v>-1.73</v>
      </c>
      <c r="DP97" s="228">
        <v>0.6</v>
      </c>
      <c r="DQ97" s="228">
        <v>0.59</v>
      </c>
      <c r="DR97" s="228">
        <v>0.01</v>
      </c>
      <c r="DS97" s="229">
        <v>1.6899999999999998E-2</v>
      </c>
      <c r="DT97" s="228">
        <v>420</v>
      </c>
      <c r="DU97" s="228">
        <v>400</v>
      </c>
      <c r="DV97" s="228">
        <v>0.35</v>
      </c>
      <c r="DW97" s="228">
        <v>0.25</v>
      </c>
      <c r="DX97" s="228">
        <v>0.1</v>
      </c>
      <c r="DY97" s="229">
        <v>0.4</v>
      </c>
      <c r="DZ97" s="229">
        <v>4.2200000000000001E-2</v>
      </c>
      <c r="EA97" s="230">
        <v>2867900</v>
      </c>
      <c r="EB97" s="229">
        <v>6.0000000000000001E-3</v>
      </c>
      <c r="EC97" s="229">
        <v>4.2200000000000001E-2</v>
      </c>
      <c r="ED97" s="228">
        <v>2.4500000000000002</v>
      </c>
      <c r="EE97" s="229">
        <v>6.0000000000000001E-3</v>
      </c>
      <c r="EF97" s="230">
        <v>3187491</v>
      </c>
      <c r="EG97" s="230">
        <v>3299742</v>
      </c>
      <c r="EH97" s="229">
        <v>-3.4000000000000002E-2</v>
      </c>
      <c r="EI97" s="229">
        <v>0.66149999999999998</v>
      </c>
      <c r="EJ97" s="231">
        <v>83909.440000000002</v>
      </c>
      <c r="EK97" s="231">
        <v>27967.81</v>
      </c>
      <c r="EL97" s="231">
        <v>35925.35</v>
      </c>
      <c r="EM97" s="231">
        <v>5805</v>
      </c>
      <c r="EN97" s="231">
        <v>147802.6</v>
      </c>
      <c r="EO97" s="231">
        <v>116665.09</v>
      </c>
      <c r="EP97" s="231">
        <v>31137.51</v>
      </c>
      <c r="EQ97" s="229">
        <v>0.26690000000000003</v>
      </c>
      <c r="ER97" s="231">
        <v>108845</v>
      </c>
      <c r="ES97" s="231">
        <v>60535</v>
      </c>
      <c r="ET97" s="231">
        <v>343036</v>
      </c>
      <c r="EU97" s="231">
        <v>197705578</v>
      </c>
      <c r="EV97" s="231">
        <v>512415</v>
      </c>
      <c r="EW97" s="231">
        <v>517624</v>
      </c>
      <c r="EX97" s="231">
        <v>-5209</v>
      </c>
      <c r="EY97" s="229">
        <v>-1.01E-2</v>
      </c>
      <c r="EZ97" s="229">
        <v>0.63139999999999996</v>
      </c>
      <c r="FA97" s="227" t="s">
        <v>555</v>
      </c>
      <c r="FB97" s="161">
        <f t="shared" si="1"/>
        <v>3534300</v>
      </c>
    </row>
    <row r="98" spans="1:158" ht="17.25" hidden="1" thickBot="1" x14ac:dyDescent="0.3">
      <c r="A98" s="226">
        <v>46009</v>
      </c>
      <c r="B98" s="227" t="s">
        <v>221</v>
      </c>
      <c r="C98" s="227" t="s">
        <v>240</v>
      </c>
      <c r="D98" s="228">
        <v>400</v>
      </c>
      <c r="E98" s="231">
        <v>1627.9</v>
      </c>
      <c r="F98" s="231">
        <v>1605.8</v>
      </c>
      <c r="G98" s="228">
        <v>22.1</v>
      </c>
      <c r="H98" s="229">
        <v>1.38E-2</v>
      </c>
      <c r="I98" s="231">
        <v>1626.8</v>
      </c>
      <c r="J98" s="231">
        <v>1602</v>
      </c>
      <c r="K98" s="228">
        <v>24.8</v>
      </c>
      <c r="L98" s="229">
        <v>1.55E-2</v>
      </c>
      <c r="M98" s="231">
        <v>1627.9</v>
      </c>
      <c r="N98" s="231">
        <v>1605.8</v>
      </c>
      <c r="O98" s="228">
        <v>22.1</v>
      </c>
      <c r="P98" s="229">
        <v>1.38E-2</v>
      </c>
      <c r="Q98" s="231">
        <v>1638.2</v>
      </c>
      <c r="R98" s="231">
        <v>1615.9</v>
      </c>
      <c r="S98" s="228">
        <v>22.3</v>
      </c>
      <c r="T98" s="229">
        <v>1.38E-2</v>
      </c>
      <c r="U98" s="231">
        <v>1647.3</v>
      </c>
      <c r="V98" s="231">
        <v>1624.7</v>
      </c>
      <c r="W98" s="228">
        <v>22.6</v>
      </c>
      <c r="X98" s="229">
        <v>1.3899999999999999E-2</v>
      </c>
      <c r="Y98" s="228">
        <v>1.1000000000000001</v>
      </c>
      <c r="Z98" s="228">
        <v>3.8</v>
      </c>
      <c r="AA98" s="228">
        <v>-2.7</v>
      </c>
      <c r="AB98" s="229">
        <v>6.9999999999999999E-4</v>
      </c>
      <c r="AC98" s="228">
        <v>1.1000000000000001</v>
      </c>
      <c r="AD98" s="228">
        <v>3.8</v>
      </c>
      <c r="AE98" s="228">
        <v>-2.7</v>
      </c>
      <c r="AF98" s="229">
        <v>6.9999999999999999E-4</v>
      </c>
      <c r="AG98" s="228">
        <v>11.4</v>
      </c>
      <c r="AH98" s="228">
        <v>13.9</v>
      </c>
      <c r="AI98" s="228">
        <v>-2.5</v>
      </c>
      <c r="AJ98" s="229">
        <v>7.0000000000000001E-3</v>
      </c>
      <c r="AK98" s="228">
        <v>20.5</v>
      </c>
      <c r="AL98" s="228">
        <v>22.7</v>
      </c>
      <c r="AM98" s="228">
        <v>-2.2000000000000002</v>
      </c>
      <c r="AN98" s="229">
        <v>1.26E-2</v>
      </c>
      <c r="AO98" s="231">
        <v>1625.1</v>
      </c>
      <c r="AP98" s="231">
        <v>1635.77</v>
      </c>
      <c r="AQ98" s="228">
        <v>0</v>
      </c>
      <c r="AR98" s="230">
        <v>16700400</v>
      </c>
      <c r="AS98" s="230">
        <v>9063600</v>
      </c>
      <c r="AT98" s="230">
        <v>7636800</v>
      </c>
      <c r="AU98" s="229">
        <v>0.84260000000000002</v>
      </c>
      <c r="AV98" s="230">
        <v>11751600</v>
      </c>
      <c r="AW98" s="230">
        <v>6319200</v>
      </c>
      <c r="AX98" s="230">
        <v>5432400</v>
      </c>
      <c r="AY98" s="229">
        <v>0.85970000000000002</v>
      </c>
      <c r="AZ98" s="230">
        <v>4812400</v>
      </c>
      <c r="BA98" s="230">
        <v>2713600</v>
      </c>
      <c r="BB98" s="230">
        <v>2098800</v>
      </c>
      <c r="BC98" s="229">
        <v>0.77339999999999998</v>
      </c>
      <c r="BD98" s="230">
        <v>136400</v>
      </c>
      <c r="BE98" s="230">
        <v>30800</v>
      </c>
      <c r="BF98" s="230">
        <v>105600</v>
      </c>
      <c r="BG98" s="229">
        <v>3.4285999999999999</v>
      </c>
      <c r="BH98" s="230">
        <v>45302000</v>
      </c>
      <c r="BI98" s="230">
        <v>22052400</v>
      </c>
      <c r="BJ98" s="230">
        <v>23249600</v>
      </c>
      <c r="BK98" s="229">
        <v>1.0543</v>
      </c>
      <c r="BL98" s="230">
        <v>25878400</v>
      </c>
      <c r="BM98" s="230">
        <v>11901200</v>
      </c>
      <c r="BN98" s="230">
        <v>13977200</v>
      </c>
      <c r="BO98" s="229">
        <v>1.1744000000000001</v>
      </c>
      <c r="BP98" s="230">
        <v>87880800</v>
      </c>
      <c r="BQ98" s="230">
        <v>43017200</v>
      </c>
      <c r="BR98" s="230">
        <v>44863600</v>
      </c>
      <c r="BS98" s="229">
        <v>1.0428999999999999</v>
      </c>
      <c r="BT98" s="230">
        <v>7290936</v>
      </c>
      <c r="BU98" s="230">
        <v>4991558</v>
      </c>
      <c r="BV98" s="230">
        <v>2299378</v>
      </c>
      <c r="BW98" s="229">
        <v>0.4607</v>
      </c>
      <c r="BX98" s="230">
        <v>71837200</v>
      </c>
      <c r="BY98" s="230">
        <v>70711600</v>
      </c>
      <c r="BZ98" s="230">
        <v>1125600</v>
      </c>
      <c r="CA98" s="229">
        <v>1.5900000000000001E-2</v>
      </c>
      <c r="CB98" s="230">
        <v>56890000</v>
      </c>
      <c r="CC98" s="230">
        <v>59705600</v>
      </c>
      <c r="CD98" s="230">
        <v>-2815600</v>
      </c>
      <c r="CE98" s="229">
        <v>-4.7199999999999999E-2</v>
      </c>
      <c r="CF98" s="230">
        <v>14566400</v>
      </c>
      <c r="CG98" s="230">
        <v>10657200</v>
      </c>
      <c r="CH98" s="230">
        <v>3909200</v>
      </c>
      <c r="CI98" s="229">
        <v>0.36680000000000001</v>
      </c>
      <c r="CJ98" s="230">
        <v>380800</v>
      </c>
      <c r="CK98" s="230">
        <v>348800</v>
      </c>
      <c r="CL98" s="230">
        <v>32000</v>
      </c>
      <c r="CM98" s="229">
        <v>9.1700000000000004E-2</v>
      </c>
      <c r="CN98" s="230">
        <v>28107600</v>
      </c>
      <c r="CO98" s="230">
        <v>27824000</v>
      </c>
      <c r="CP98" s="230">
        <v>283600</v>
      </c>
      <c r="CQ98" s="229">
        <v>1.0200000000000001E-2</v>
      </c>
      <c r="CR98" s="230">
        <v>21345600</v>
      </c>
      <c r="CS98" s="230">
        <v>17991600</v>
      </c>
      <c r="CT98" s="230">
        <v>3354000</v>
      </c>
      <c r="CU98" s="229">
        <v>0.18640000000000001</v>
      </c>
      <c r="CV98" s="230">
        <v>121290400</v>
      </c>
      <c r="CW98" s="230">
        <v>116527200</v>
      </c>
      <c r="CX98" s="230">
        <v>4763200</v>
      </c>
      <c r="CY98" s="229">
        <v>4.0899999999999999E-2</v>
      </c>
      <c r="CZ98" s="228">
        <v>17.97</v>
      </c>
      <c r="DA98" s="228">
        <v>17.12</v>
      </c>
      <c r="DB98" s="228">
        <v>0.85</v>
      </c>
      <c r="DC98" s="228">
        <v>0.85</v>
      </c>
      <c r="DD98" s="228">
        <v>28.4</v>
      </c>
      <c r="DE98" s="228">
        <v>28.4</v>
      </c>
      <c r="DF98" s="228">
        <v>-10.43</v>
      </c>
      <c r="DG98" s="228">
        <v>0</v>
      </c>
      <c r="DH98" s="228">
        <v>17.100000000000001</v>
      </c>
      <c r="DI98" s="228">
        <v>16.32</v>
      </c>
      <c r="DJ98" s="228">
        <v>0.78</v>
      </c>
      <c r="DK98" s="228">
        <v>0.78</v>
      </c>
      <c r="DL98" s="228">
        <v>19.510000000000002</v>
      </c>
      <c r="DM98" s="228">
        <v>18.61</v>
      </c>
      <c r="DN98" s="228">
        <v>0.9</v>
      </c>
      <c r="DO98" s="228">
        <v>0.9</v>
      </c>
      <c r="DP98" s="228">
        <v>0.76</v>
      </c>
      <c r="DQ98" s="228">
        <v>0.65</v>
      </c>
      <c r="DR98" s="228">
        <v>0.11</v>
      </c>
      <c r="DS98" s="229">
        <v>0.16919999999999999</v>
      </c>
      <c r="DT98" s="231">
        <v>1600</v>
      </c>
      <c r="DU98" s="231">
        <v>1600</v>
      </c>
      <c r="DV98" s="228">
        <v>0.56999999999999995</v>
      </c>
      <c r="DW98" s="228">
        <v>0.54</v>
      </c>
      <c r="DX98" s="228">
        <v>0.03</v>
      </c>
      <c r="DY98" s="229">
        <v>5.5599999999999997E-2</v>
      </c>
      <c r="DZ98" s="229">
        <v>0.20810000000000001</v>
      </c>
      <c r="EA98" s="230">
        <v>11006000</v>
      </c>
      <c r="EB98" s="229">
        <v>6.3E-3</v>
      </c>
      <c r="EC98" s="229">
        <v>0.20810000000000001</v>
      </c>
      <c r="ED98" s="228">
        <v>10.67</v>
      </c>
      <c r="EE98" s="229">
        <v>6.6E-3</v>
      </c>
      <c r="EF98" s="230">
        <v>3701240</v>
      </c>
      <c r="EG98" s="230">
        <v>2592673</v>
      </c>
      <c r="EH98" s="229">
        <v>0.42759999999999998</v>
      </c>
      <c r="EI98" s="229">
        <v>0.50760000000000005</v>
      </c>
      <c r="EJ98" s="231">
        <v>752242.88</v>
      </c>
      <c r="EK98" s="231">
        <v>413155.58</v>
      </c>
      <c r="EL98" s="231">
        <v>271937.69</v>
      </c>
      <c r="EM98" s="231">
        <v>19915</v>
      </c>
      <c r="EN98" s="231">
        <v>1437336.15</v>
      </c>
      <c r="EO98" s="231">
        <v>696801.27</v>
      </c>
      <c r="EP98" s="231">
        <v>740534.88</v>
      </c>
      <c r="EQ98" s="229">
        <v>1.0628</v>
      </c>
      <c r="ER98" s="231">
        <v>458606</v>
      </c>
      <c r="ES98" s="231">
        <v>330342</v>
      </c>
      <c r="ET98" s="231">
        <v>1171012</v>
      </c>
      <c r="EU98" s="231">
        <v>341789333</v>
      </c>
      <c r="EV98" s="231">
        <v>1959960</v>
      </c>
      <c r="EW98" s="231">
        <v>1866268</v>
      </c>
      <c r="EX98" s="231">
        <v>93692</v>
      </c>
      <c r="EY98" s="229">
        <v>5.0200000000000002E-2</v>
      </c>
      <c r="EZ98" s="229">
        <v>0.35489999999999999</v>
      </c>
      <c r="FA98" s="227" t="s">
        <v>555</v>
      </c>
      <c r="FB98" s="161">
        <f t="shared" si="1"/>
        <v>14947200</v>
      </c>
    </row>
    <row r="99" spans="1:158" ht="17.25" hidden="1" thickBot="1" x14ac:dyDescent="0.3">
      <c r="A99" s="226">
        <v>46009</v>
      </c>
      <c r="B99" s="227" t="s">
        <v>161</v>
      </c>
      <c r="C99" s="227" t="s">
        <v>670</v>
      </c>
      <c r="D99" s="228">
        <v>3272</v>
      </c>
      <c r="E99" s="228">
        <v>124.71</v>
      </c>
      <c r="F99" s="228">
        <v>126.43</v>
      </c>
      <c r="G99" s="228">
        <v>-1.72</v>
      </c>
      <c r="H99" s="229">
        <v>-1.3599999999999999E-2</v>
      </c>
      <c r="I99" s="228">
        <v>124.21</v>
      </c>
      <c r="J99" s="228">
        <v>126.04</v>
      </c>
      <c r="K99" s="228">
        <v>-1.83</v>
      </c>
      <c r="L99" s="229">
        <v>-1.4500000000000001E-2</v>
      </c>
      <c r="M99" s="228">
        <v>124.71</v>
      </c>
      <c r="N99" s="228">
        <v>126.43</v>
      </c>
      <c r="O99" s="228">
        <v>-1.72</v>
      </c>
      <c r="P99" s="229">
        <v>-1.3599999999999999E-2</v>
      </c>
      <c r="Q99" s="228">
        <v>125.36</v>
      </c>
      <c r="R99" s="228">
        <v>127.1</v>
      </c>
      <c r="S99" s="228">
        <v>-1.74</v>
      </c>
      <c r="T99" s="229">
        <v>-1.37E-2</v>
      </c>
      <c r="U99" s="228">
        <v>126.2</v>
      </c>
      <c r="V99" s="228">
        <v>127.36</v>
      </c>
      <c r="W99" s="228">
        <v>-1.1599999999999999</v>
      </c>
      <c r="X99" s="229">
        <v>-9.1000000000000004E-3</v>
      </c>
      <c r="Y99" s="228">
        <v>0.5</v>
      </c>
      <c r="Z99" s="228">
        <v>0.39</v>
      </c>
      <c r="AA99" s="228">
        <v>0.11</v>
      </c>
      <c r="AB99" s="229">
        <v>4.0000000000000001E-3</v>
      </c>
      <c r="AC99" s="228">
        <v>0.5</v>
      </c>
      <c r="AD99" s="228">
        <v>0.39</v>
      </c>
      <c r="AE99" s="228">
        <v>0.11</v>
      </c>
      <c r="AF99" s="229">
        <v>4.0000000000000001E-3</v>
      </c>
      <c r="AG99" s="228">
        <v>1.1499999999999999</v>
      </c>
      <c r="AH99" s="228">
        <v>1.06</v>
      </c>
      <c r="AI99" s="228">
        <v>0.09</v>
      </c>
      <c r="AJ99" s="229">
        <v>9.2999999999999992E-3</v>
      </c>
      <c r="AK99" s="228">
        <v>1.99</v>
      </c>
      <c r="AL99" s="228">
        <v>1.32</v>
      </c>
      <c r="AM99" s="228">
        <v>0.67</v>
      </c>
      <c r="AN99" s="229">
        <v>1.6E-2</v>
      </c>
      <c r="AO99" s="228">
        <v>125.08</v>
      </c>
      <c r="AP99" s="228">
        <v>125.84</v>
      </c>
      <c r="AQ99" s="228">
        <v>0</v>
      </c>
      <c r="AR99" s="230">
        <v>7928056</v>
      </c>
      <c r="AS99" s="230">
        <v>7499424</v>
      </c>
      <c r="AT99" s="230">
        <v>428632</v>
      </c>
      <c r="AU99" s="229">
        <v>5.7200000000000001E-2</v>
      </c>
      <c r="AV99" s="230">
        <v>6720688</v>
      </c>
      <c r="AW99" s="230">
        <v>6606168</v>
      </c>
      <c r="AX99" s="230">
        <v>114520</v>
      </c>
      <c r="AY99" s="229">
        <v>1.7299999999999999E-2</v>
      </c>
      <c r="AZ99" s="230">
        <v>1184464</v>
      </c>
      <c r="BA99" s="230">
        <v>883440</v>
      </c>
      <c r="BB99" s="230">
        <v>301024</v>
      </c>
      <c r="BC99" s="229">
        <v>0.3407</v>
      </c>
      <c r="BD99" s="230">
        <v>22904</v>
      </c>
      <c r="BE99" s="230">
        <v>9816</v>
      </c>
      <c r="BF99" s="230">
        <v>13088</v>
      </c>
      <c r="BG99" s="229">
        <v>1.3332999999999999</v>
      </c>
      <c r="BH99" s="230">
        <v>16415624</v>
      </c>
      <c r="BI99" s="230">
        <v>10215184</v>
      </c>
      <c r="BJ99" s="230">
        <v>6200440</v>
      </c>
      <c r="BK99" s="229">
        <v>0.60699999999999998</v>
      </c>
      <c r="BL99" s="230">
        <v>11406192</v>
      </c>
      <c r="BM99" s="230">
        <v>6092464</v>
      </c>
      <c r="BN99" s="230">
        <v>5313728</v>
      </c>
      <c r="BO99" s="229">
        <v>0.87219999999999998</v>
      </c>
      <c r="BP99" s="230">
        <v>35749872</v>
      </c>
      <c r="BQ99" s="230">
        <v>23807072</v>
      </c>
      <c r="BR99" s="230">
        <v>11942800</v>
      </c>
      <c r="BS99" s="229">
        <v>0.50160000000000005</v>
      </c>
      <c r="BT99" s="230">
        <v>6396933</v>
      </c>
      <c r="BU99" s="230">
        <v>10257293</v>
      </c>
      <c r="BV99" s="230">
        <v>-3860360</v>
      </c>
      <c r="BW99" s="229">
        <v>-0.37640000000000001</v>
      </c>
      <c r="BX99" s="230">
        <v>88342677</v>
      </c>
      <c r="BY99" s="230">
        <v>88268690</v>
      </c>
      <c r="BZ99" s="230">
        <v>73987</v>
      </c>
      <c r="CA99" s="229">
        <v>8.0000000000000004E-4</v>
      </c>
      <c r="CB99" s="230">
        <v>81525152</v>
      </c>
      <c r="CC99" s="230">
        <v>81783640</v>
      </c>
      <c r="CD99" s="230">
        <v>-258488</v>
      </c>
      <c r="CE99" s="229">
        <v>-3.2000000000000002E-3</v>
      </c>
      <c r="CF99" s="230">
        <v>6020300</v>
      </c>
      <c r="CG99" s="230">
        <v>5691400</v>
      </c>
      <c r="CH99" s="230">
        <v>328900</v>
      </c>
      <c r="CI99" s="229">
        <v>5.7799999999999997E-2</v>
      </c>
      <c r="CJ99" s="230">
        <v>797225</v>
      </c>
      <c r="CK99" s="230">
        <v>793650</v>
      </c>
      <c r="CL99" s="230">
        <v>3575</v>
      </c>
      <c r="CM99" s="229">
        <v>4.4999999999999997E-3</v>
      </c>
      <c r="CN99" s="230">
        <v>46398003</v>
      </c>
      <c r="CO99" s="230">
        <v>46514642</v>
      </c>
      <c r="CP99" s="230">
        <v>-116639</v>
      </c>
      <c r="CQ99" s="229">
        <v>-2.5000000000000001E-3</v>
      </c>
      <c r="CR99" s="230">
        <v>22664121</v>
      </c>
      <c r="CS99" s="230">
        <v>22714230</v>
      </c>
      <c r="CT99" s="230">
        <v>-50109</v>
      </c>
      <c r="CU99" s="229">
        <v>-2.2000000000000001E-3</v>
      </c>
      <c r="CV99" s="230">
        <v>157404801</v>
      </c>
      <c r="CW99" s="230">
        <v>157497562</v>
      </c>
      <c r="CX99" s="230">
        <v>-92761</v>
      </c>
      <c r="CY99" s="229">
        <v>-5.9999999999999995E-4</v>
      </c>
      <c r="CZ99" s="228">
        <v>30.9</v>
      </c>
      <c r="DA99" s="228">
        <v>31.19</v>
      </c>
      <c r="DB99" s="228">
        <v>-0.28999999999999998</v>
      </c>
      <c r="DC99" s="228">
        <v>-0.28999999999999998</v>
      </c>
      <c r="DD99" s="228">
        <v>53</v>
      </c>
      <c r="DE99" s="228">
        <v>53.1</v>
      </c>
      <c r="DF99" s="228">
        <v>-22.1</v>
      </c>
      <c r="DG99" s="228">
        <v>-0.1</v>
      </c>
      <c r="DH99" s="228">
        <v>32.96</v>
      </c>
      <c r="DI99" s="228">
        <v>32.22</v>
      </c>
      <c r="DJ99" s="228">
        <v>0.74</v>
      </c>
      <c r="DK99" s="228">
        <v>0.74</v>
      </c>
      <c r="DL99" s="228">
        <v>27.94</v>
      </c>
      <c r="DM99" s="228">
        <v>29.46</v>
      </c>
      <c r="DN99" s="228">
        <v>-1.52</v>
      </c>
      <c r="DO99" s="228">
        <v>-1.52</v>
      </c>
      <c r="DP99" s="228">
        <v>0.49</v>
      </c>
      <c r="DQ99" s="228">
        <v>0.49</v>
      </c>
      <c r="DR99" s="228">
        <v>0</v>
      </c>
      <c r="DS99" s="229">
        <v>0</v>
      </c>
      <c r="DT99" s="228">
        <v>140</v>
      </c>
      <c r="DU99" s="228">
        <v>120</v>
      </c>
      <c r="DV99" s="228">
        <v>0.69</v>
      </c>
      <c r="DW99" s="228">
        <v>0.6</v>
      </c>
      <c r="DX99" s="228">
        <v>0.09</v>
      </c>
      <c r="DY99" s="229">
        <v>0.15</v>
      </c>
      <c r="DZ99" s="229">
        <v>7.7200000000000005E-2</v>
      </c>
      <c r="EA99" s="230">
        <v>6485050</v>
      </c>
      <c r="EB99" s="229">
        <v>5.1999999999999998E-3</v>
      </c>
      <c r="EC99" s="229">
        <v>7.7200000000000005E-2</v>
      </c>
      <c r="ED99" s="228">
        <v>0.76</v>
      </c>
      <c r="EE99" s="229">
        <v>6.1000000000000004E-3</v>
      </c>
      <c r="EF99" s="230">
        <v>2752679</v>
      </c>
      <c r="EG99" s="230">
        <v>7708949</v>
      </c>
      <c r="EH99" s="229">
        <v>-0.64290000000000003</v>
      </c>
      <c r="EI99" s="229">
        <v>0.43030000000000002</v>
      </c>
      <c r="EJ99" s="231">
        <v>22165.57</v>
      </c>
      <c r="EK99" s="231">
        <v>14240.56</v>
      </c>
      <c r="EL99" s="231">
        <v>10066.219999999999</v>
      </c>
      <c r="EM99" s="231">
        <v>3195</v>
      </c>
      <c r="EN99" s="231">
        <v>46472.35</v>
      </c>
      <c r="EO99" s="231">
        <v>31289.919999999998</v>
      </c>
      <c r="EP99" s="231">
        <v>15182.43</v>
      </c>
      <c r="EQ99" s="229">
        <v>0.48520000000000002</v>
      </c>
      <c r="ER99" s="231">
        <v>64696</v>
      </c>
      <c r="ES99" s="231">
        <v>29309</v>
      </c>
      <c r="ET99" s="231">
        <v>110223</v>
      </c>
      <c r="EU99" s="231">
        <v>144708707</v>
      </c>
      <c r="EV99" s="231">
        <v>204229</v>
      </c>
      <c r="EW99" s="231">
        <v>206067</v>
      </c>
      <c r="EX99" s="231">
        <v>-1838</v>
      </c>
      <c r="EY99" s="229">
        <v>-8.8999999999999999E-3</v>
      </c>
      <c r="EZ99" s="229">
        <v>1.0876999999999999</v>
      </c>
      <c r="FA99" s="227" t="s">
        <v>567</v>
      </c>
      <c r="FB99" s="161">
        <f t="shared" si="1"/>
        <v>6817525</v>
      </c>
    </row>
    <row r="100" spans="1:158" ht="17.25" hidden="1" thickBot="1" x14ac:dyDescent="0.3">
      <c r="A100" s="226">
        <v>46009</v>
      </c>
      <c r="B100" s="227" t="s">
        <v>193</v>
      </c>
      <c r="C100" s="227" t="s">
        <v>241</v>
      </c>
      <c r="D100" s="228">
        <v>4875</v>
      </c>
      <c r="E100" s="228">
        <v>162.16</v>
      </c>
      <c r="F100" s="228">
        <v>168.64</v>
      </c>
      <c r="G100" s="228">
        <v>-6.48</v>
      </c>
      <c r="H100" s="229">
        <v>-3.8399999999999997E-2</v>
      </c>
      <c r="I100" s="228">
        <v>161.75</v>
      </c>
      <c r="J100" s="228">
        <v>168.16</v>
      </c>
      <c r="K100" s="228">
        <v>-6.41</v>
      </c>
      <c r="L100" s="229">
        <v>-3.8100000000000002E-2</v>
      </c>
      <c r="M100" s="228">
        <v>162.16</v>
      </c>
      <c r="N100" s="228">
        <v>168.64</v>
      </c>
      <c r="O100" s="228">
        <v>-6.48</v>
      </c>
      <c r="P100" s="229">
        <v>-3.8399999999999997E-2</v>
      </c>
      <c r="Q100" s="228">
        <v>163.21</v>
      </c>
      <c r="R100" s="228">
        <v>169.56</v>
      </c>
      <c r="S100" s="228">
        <v>-6.35</v>
      </c>
      <c r="T100" s="229">
        <v>-3.7400000000000003E-2</v>
      </c>
      <c r="U100" s="228">
        <v>163.98</v>
      </c>
      <c r="V100" s="228">
        <v>170.17</v>
      </c>
      <c r="W100" s="228">
        <v>-6.19</v>
      </c>
      <c r="X100" s="229">
        <v>-3.6400000000000002E-2</v>
      </c>
      <c r="Y100" s="228">
        <v>0.41</v>
      </c>
      <c r="Z100" s="228">
        <v>0.48</v>
      </c>
      <c r="AA100" s="228">
        <v>-7.0000000000000007E-2</v>
      </c>
      <c r="AB100" s="229">
        <v>2.5000000000000001E-3</v>
      </c>
      <c r="AC100" s="228">
        <v>0.41</v>
      </c>
      <c r="AD100" s="228">
        <v>0.48</v>
      </c>
      <c r="AE100" s="228">
        <v>-7.0000000000000007E-2</v>
      </c>
      <c r="AF100" s="229">
        <v>2.5000000000000001E-3</v>
      </c>
      <c r="AG100" s="228">
        <v>1.46</v>
      </c>
      <c r="AH100" s="228">
        <v>1.4</v>
      </c>
      <c r="AI100" s="228">
        <v>0.06</v>
      </c>
      <c r="AJ100" s="229">
        <v>8.9999999999999993E-3</v>
      </c>
      <c r="AK100" s="228">
        <v>2.23</v>
      </c>
      <c r="AL100" s="228">
        <v>2.0099999999999998</v>
      </c>
      <c r="AM100" s="228">
        <v>0.22</v>
      </c>
      <c r="AN100" s="229">
        <v>1.38E-2</v>
      </c>
      <c r="AO100" s="228">
        <v>162.6</v>
      </c>
      <c r="AP100" s="228">
        <v>163.47</v>
      </c>
      <c r="AQ100" s="228">
        <v>0</v>
      </c>
      <c r="AR100" s="230">
        <v>15478125</v>
      </c>
      <c r="AS100" s="230">
        <v>19305000</v>
      </c>
      <c r="AT100" s="230">
        <v>-3826875</v>
      </c>
      <c r="AU100" s="229">
        <v>-0.19819999999999999</v>
      </c>
      <c r="AV100" s="230">
        <v>12143625</v>
      </c>
      <c r="AW100" s="230">
        <v>17267250</v>
      </c>
      <c r="AX100" s="230">
        <v>-5123625</v>
      </c>
      <c r="AY100" s="229">
        <v>-0.29670000000000002</v>
      </c>
      <c r="AZ100" s="230">
        <v>3076125</v>
      </c>
      <c r="BA100" s="230">
        <v>1847625</v>
      </c>
      <c r="BB100" s="230">
        <v>1228500</v>
      </c>
      <c r="BC100" s="229">
        <v>0.66490000000000005</v>
      </c>
      <c r="BD100" s="230">
        <v>258375</v>
      </c>
      <c r="BE100" s="230">
        <v>190125</v>
      </c>
      <c r="BF100" s="230">
        <v>68250</v>
      </c>
      <c r="BG100" s="229">
        <v>0.35899999999999999</v>
      </c>
      <c r="BH100" s="230">
        <v>71058000</v>
      </c>
      <c r="BI100" s="230">
        <v>95706000</v>
      </c>
      <c r="BJ100" s="230">
        <v>-24648000</v>
      </c>
      <c r="BK100" s="229">
        <v>-0.25750000000000001</v>
      </c>
      <c r="BL100" s="230">
        <v>40681875</v>
      </c>
      <c r="BM100" s="230">
        <v>55472625</v>
      </c>
      <c r="BN100" s="230">
        <v>-14790750</v>
      </c>
      <c r="BO100" s="229">
        <v>-0.2666</v>
      </c>
      <c r="BP100" s="230">
        <v>127218000</v>
      </c>
      <c r="BQ100" s="230">
        <v>170483625</v>
      </c>
      <c r="BR100" s="230">
        <v>-43265625</v>
      </c>
      <c r="BS100" s="229">
        <v>-0.25380000000000003</v>
      </c>
      <c r="BT100" s="230">
        <v>10787799</v>
      </c>
      <c r="BU100" s="230">
        <v>18164482</v>
      </c>
      <c r="BV100" s="230">
        <v>-7376683</v>
      </c>
      <c r="BW100" s="229">
        <v>-0.40610000000000002</v>
      </c>
      <c r="BX100" s="230">
        <v>98158125</v>
      </c>
      <c r="BY100" s="230">
        <v>96798000</v>
      </c>
      <c r="BZ100" s="230">
        <v>1360125</v>
      </c>
      <c r="CA100" s="229">
        <v>1.41E-2</v>
      </c>
      <c r="CB100" s="230">
        <v>90743250</v>
      </c>
      <c r="CC100" s="230">
        <v>90948000</v>
      </c>
      <c r="CD100" s="230">
        <v>-204750</v>
      </c>
      <c r="CE100" s="229">
        <v>-2.3E-3</v>
      </c>
      <c r="CF100" s="230">
        <v>6688500</v>
      </c>
      <c r="CG100" s="230">
        <v>5167500</v>
      </c>
      <c r="CH100" s="230">
        <v>1521000</v>
      </c>
      <c r="CI100" s="229">
        <v>0.29430000000000001</v>
      </c>
      <c r="CJ100" s="230">
        <v>726375</v>
      </c>
      <c r="CK100" s="230">
        <v>682500</v>
      </c>
      <c r="CL100" s="230">
        <v>43875</v>
      </c>
      <c r="CM100" s="229">
        <v>6.4299999999999996E-2</v>
      </c>
      <c r="CN100" s="230">
        <v>61907625</v>
      </c>
      <c r="CO100" s="230">
        <v>63194625</v>
      </c>
      <c r="CP100" s="230">
        <v>-1287000</v>
      </c>
      <c r="CQ100" s="229">
        <v>-2.0400000000000001E-2</v>
      </c>
      <c r="CR100" s="230">
        <v>41574000</v>
      </c>
      <c r="CS100" s="230">
        <v>41788500</v>
      </c>
      <c r="CT100" s="230">
        <v>-214500</v>
      </c>
      <c r="CU100" s="229">
        <v>-5.1000000000000004E-3</v>
      </c>
      <c r="CV100" s="230">
        <v>201639750</v>
      </c>
      <c r="CW100" s="230">
        <v>201781125</v>
      </c>
      <c r="CX100" s="230">
        <v>-141375</v>
      </c>
      <c r="CY100" s="229">
        <v>-6.9999999999999999E-4</v>
      </c>
      <c r="CZ100" s="228">
        <v>21.05</v>
      </c>
      <c r="DA100" s="228">
        <v>22.08</v>
      </c>
      <c r="DB100" s="228">
        <v>-1.03</v>
      </c>
      <c r="DC100" s="228">
        <v>-1.03</v>
      </c>
      <c r="DD100" s="228">
        <v>31</v>
      </c>
      <c r="DE100" s="228">
        <v>31.05</v>
      </c>
      <c r="DF100" s="228">
        <v>-9.9499999999999993</v>
      </c>
      <c r="DG100" s="228">
        <v>-0.05</v>
      </c>
      <c r="DH100" s="228">
        <v>21.1</v>
      </c>
      <c r="DI100" s="228">
        <v>21.72</v>
      </c>
      <c r="DJ100" s="228">
        <v>-0.62</v>
      </c>
      <c r="DK100" s="228">
        <v>-0.62</v>
      </c>
      <c r="DL100" s="228">
        <v>20.98</v>
      </c>
      <c r="DM100" s="228">
        <v>22.68</v>
      </c>
      <c r="DN100" s="228">
        <v>-1.7</v>
      </c>
      <c r="DO100" s="228">
        <v>-1.7</v>
      </c>
      <c r="DP100" s="228">
        <v>0.67</v>
      </c>
      <c r="DQ100" s="228">
        <v>0.66</v>
      </c>
      <c r="DR100" s="228">
        <v>0.01</v>
      </c>
      <c r="DS100" s="229">
        <v>1.52E-2</v>
      </c>
      <c r="DT100" s="228">
        <v>165</v>
      </c>
      <c r="DU100" s="228">
        <v>155</v>
      </c>
      <c r="DV100" s="228">
        <v>0.56999999999999995</v>
      </c>
      <c r="DW100" s="228">
        <v>0.57999999999999996</v>
      </c>
      <c r="DX100" s="228">
        <v>-0.01</v>
      </c>
      <c r="DY100" s="229">
        <v>-1.72E-2</v>
      </c>
      <c r="DZ100" s="229">
        <v>7.5499999999999998E-2</v>
      </c>
      <c r="EA100" s="230">
        <v>5850000</v>
      </c>
      <c r="EB100" s="229">
        <v>6.4999999999999997E-3</v>
      </c>
      <c r="EC100" s="229">
        <v>7.5499999999999998E-2</v>
      </c>
      <c r="ED100" s="228">
        <v>0.87</v>
      </c>
      <c r="EE100" s="229">
        <v>5.4000000000000003E-3</v>
      </c>
      <c r="EF100" s="230">
        <v>4685648</v>
      </c>
      <c r="EG100" s="230">
        <v>10362553</v>
      </c>
      <c r="EH100" s="229">
        <v>-0.54779999999999995</v>
      </c>
      <c r="EI100" s="229">
        <v>0.43430000000000002</v>
      </c>
      <c r="EJ100" s="231">
        <v>119472.91</v>
      </c>
      <c r="EK100" s="231">
        <v>65633.95</v>
      </c>
      <c r="EL100" s="231">
        <v>25198.560000000001</v>
      </c>
      <c r="EM100" s="231">
        <v>4754</v>
      </c>
      <c r="EN100" s="231">
        <v>210305.42</v>
      </c>
      <c r="EO100" s="231">
        <v>290883.24</v>
      </c>
      <c r="EP100" s="231">
        <v>-80577.820000000007</v>
      </c>
      <c r="EQ100" s="229">
        <v>-0.27700000000000002</v>
      </c>
      <c r="ER100" s="231">
        <v>104062</v>
      </c>
      <c r="ES100" s="231">
        <v>65185</v>
      </c>
      <c r="ET100" s="231">
        <v>159257</v>
      </c>
      <c r="EU100" s="231">
        <v>684903861</v>
      </c>
      <c r="EV100" s="231">
        <v>328503</v>
      </c>
      <c r="EW100" s="231">
        <v>340278</v>
      </c>
      <c r="EX100" s="231">
        <v>-11775</v>
      </c>
      <c r="EY100" s="229">
        <v>-3.4599999999999999E-2</v>
      </c>
      <c r="EZ100" s="229">
        <v>0.2944</v>
      </c>
      <c r="FA100" s="227" t="s">
        <v>567</v>
      </c>
      <c r="FB100" s="161">
        <f t="shared" si="1"/>
        <v>7414875</v>
      </c>
    </row>
    <row r="101" spans="1:158" ht="17.25" hidden="1" thickBot="1" x14ac:dyDescent="0.3">
      <c r="A101" s="226">
        <v>46009</v>
      </c>
      <c r="B101" s="227" t="s">
        <v>215</v>
      </c>
      <c r="C101" s="227" t="s">
        <v>490</v>
      </c>
      <c r="D101" s="228">
        <v>875</v>
      </c>
      <c r="E101" s="228">
        <v>665.6</v>
      </c>
      <c r="F101" s="228">
        <v>667.25</v>
      </c>
      <c r="G101" s="228">
        <v>-1.65</v>
      </c>
      <c r="H101" s="229">
        <v>-2.5000000000000001E-3</v>
      </c>
      <c r="I101" s="228">
        <v>663.85</v>
      </c>
      <c r="J101" s="228">
        <v>666.1</v>
      </c>
      <c r="K101" s="228">
        <v>-2.25</v>
      </c>
      <c r="L101" s="229">
        <v>-3.3999999999999998E-3</v>
      </c>
      <c r="M101" s="228">
        <v>665.6</v>
      </c>
      <c r="N101" s="228">
        <v>667.25</v>
      </c>
      <c r="O101" s="228">
        <v>-1.65</v>
      </c>
      <c r="P101" s="229">
        <v>-2.5000000000000001E-3</v>
      </c>
      <c r="Q101" s="228">
        <v>668.75</v>
      </c>
      <c r="R101" s="228">
        <v>670.55</v>
      </c>
      <c r="S101" s="228">
        <v>-1.8</v>
      </c>
      <c r="T101" s="229">
        <v>-2.7000000000000001E-3</v>
      </c>
      <c r="U101" s="228">
        <v>669.8</v>
      </c>
      <c r="V101" s="228">
        <v>671.25</v>
      </c>
      <c r="W101" s="228">
        <v>-1.45</v>
      </c>
      <c r="X101" s="229">
        <v>-2.2000000000000001E-3</v>
      </c>
      <c r="Y101" s="228">
        <v>1.75</v>
      </c>
      <c r="Z101" s="228">
        <v>1.1499999999999999</v>
      </c>
      <c r="AA101" s="228">
        <v>0.6</v>
      </c>
      <c r="AB101" s="229">
        <v>2.5999999999999999E-3</v>
      </c>
      <c r="AC101" s="228">
        <v>1.75</v>
      </c>
      <c r="AD101" s="228">
        <v>1.1499999999999999</v>
      </c>
      <c r="AE101" s="228">
        <v>0.6</v>
      </c>
      <c r="AF101" s="229">
        <v>2.5999999999999999E-3</v>
      </c>
      <c r="AG101" s="228">
        <v>4.9000000000000004</v>
      </c>
      <c r="AH101" s="228">
        <v>4.45</v>
      </c>
      <c r="AI101" s="228">
        <v>0.45</v>
      </c>
      <c r="AJ101" s="229">
        <v>7.4000000000000003E-3</v>
      </c>
      <c r="AK101" s="228">
        <v>5.95</v>
      </c>
      <c r="AL101" s="228">
        <v>5.15</v>
      </c>
      <c r="AM101" s="228">
        <v>0.8</v>
      </c>
      <c r="AN101" s="229">
        <v>8.9999999999999993E-3</v>
      </c>
      <c r="AO101" s="228">
        <v>665.67</v>
      </c>
      <c r="AP101" s="228">
        <v>668.92</v>
      </c>
      <c r="AQ101" s="228">
        <v>0</v>
      </c>
      <c r="AR101" s="230">
        <v>1485750</v>
      </c>
      <c r="AS101" s="230">
        <v>1570625</v>
      </c>
      <c r="AT101" s="230">
        <v>-84875</v>
      </c>
      <c r="AU101" s="229">
        <v>-5.3999999999999999E-2</v>
      </c>
      <c r="AV101" s="230">
        <v>938875</v>
      </c>
      <c r="AW101" s="230">
        <v>1113000</v>
      </c>
      <c r="AX101" s="230">
        <v>-174125</v>
      </c>
      <c r="AY101" s="229">
        <v>-0.15640000000000001</v>
      </c>
      <c r="AZ101" s="230">
        <v>456750</v>
      </c>
      <c r="BA101" s="230">
        <v>372750</v>
      </c>
      <c r="BB101" s="230">
        <v>84000</v>
      </c>
      <c r="BC101" s="229">
        <v>0.22539999999999999</v>
      </c>
      <c r="BD101" s="230">
        <v>90125</v>
      </c>
      <c r="BE101" s="230">
        <v>84875</v>
      </c>
      <c r="BF101" s="230">
        <v>5250</v>
      </c>
      <c r="BG101" s="229">
        <v>6.1899999999999997E-2</v>
      </c>
      <c r="BH101" s="230">
        <v>6656125</v>
      </c>
      <c r="BI101" s="230">
        <v>5396125</v>
      </c>
      <c r="BJ101" s="230">
        <v>1260000</v>
      </c>
      <c r="BK101" s="229">
        <v>0.23350000000000001</v>
      </c>
      <c r="BL101" s="230">
        <v>2334500</v>
      </c>
      <c r="BM101" s="230">
        <v>3383625</v>
      </c>
      <c r="BN101" s="230">
        <v>-1049125</v>
      </c>
      <c r="BO101" s="229">
        <v>-0.31009999999999999</v>
      </c>
      <c r="BP101" s="230">
        <v>10476375</v>
      </c>
      <c r="BQ101" s="230">
        <v>10350375</v>
      </c>
      <c r="BR101" s="230">
        <v>126000</v>
      </c>
      <c r="BS101" s="229">
        <v>1.2200000000000001E-2</v>
      </c>
      <c r="BT101" s="230">
        <v>358606</v>
      </c>
      <c r="BU101" s="230">
        <v>449392</v>
      </c>
      <c r="BV101" s="230">
        <v>-90786</v>
      </c>
      <c r="BW101" s="229">
        <v>-0.20200000000000001</v>
      </c>
      <c r="BX101" s="230">
        <v>20978125</v>
      </c>
      <c r="BY101" s="230">
        <v>20697250</v>
      </c>
      <c r="BZ101" s="230">
        <v>280875</v>
      </c>
      <c r="CA101" s="229">
        <v>1.3599999999999999E-2</v>
      </c>
      <c r="CB101" s="230">
        <v>18312000</v>
      </c>
      <c r="CC101" s="230">
        <v>18263875</v>
      </c>
      <c r="CD101" s="230">
        <v>48125</v>
      </c>
      <c r="CE101" s="229">
        <v>2.5999999999999999E-3</v>
      </c>
      <c r="CF101" s="230">
        <v>2173500</v>
      </c>
      <c r="CG101" s="230">
        <v>1998500</v>
      </c>
      <c r="CH101" s="230">
        <v>175000</v>
      </c>
      <c r="CI101" s="229">
        <v>8.7599999999999997E-2</v>
      </c>
      <c r="CJ101" s="230">
        <v>492625</v>
      </c>
      <c r="CK101" s="230">
        <v>434875</v>
      </c>
      <c r="CL101" s="230">
        <v>57750</v>
      </c>
      <c r="CM101" s="229">
        <v>0.1328</v>
      </c>
      <c r="CN101" s="230">
        <v>10144750</v>
      </c>
      <c r="CO101" s="230">
        <v>10379250</v>
      </c>
      <c r="CP101" s="230">
        <v>-234500</v>
      </c>
      <c r="CQ101" s="229">
        <v>-2.2599999999999999E-2</v>
      </c>
      <c r="CR101" s="230">
        <v>6848625</v>
      </c>
      <c r="CS101" s="230">
        <v>7305375</v>
      </c>
      <c r="CT101" s="230">
        <v>-456750</v>
      </c>
      <c r="CU101" s="229">
        <v>-6.25E-2</v>
      </c>
      <c r="CV101" s="230">
        <v>37971500</v>
      </c>
      <c r="CW101" s="230">
        <v>38381875</v>
      </c>
      <c r="CX101" s="230">
        <v>-410375</v>
      </c>
      <c r="CY101" s="229">
        <v>-1.0699999999999999E-2</v>
      </c>
      <c r="CZ101" s="228">
        <v>16.29</v>
      </c>
      <c r="DA101" s="228">
        <v>18.05</v>
      </c>
      <c r="DB101" s="228">
        <v>-1.76</v>
      </c>
      <c r="DC101" s="228">
        <v>-1.76</v>
      </c>
      <c r="DD101" s="228">
        <v>28.98</v>
      </c>
      <c r="DE101" s="228">
        <v>29.05</v>
      </c>
      <c r="DF101" s="228">
        <v>-12.69</v>
      </c>
      <c r="DG101" s="228">
        <v>-7.0000000000000007E-2</v>
      </c>
      <c r="DH101" s="228">
        <v>16.46</v>
      </c>
      <c r="DI101" s="228">
        <v>18.739999999999998</v>
      </c>
      <c r="DJ101" s="228">
        <v>-2.2799999999999998</v>
      </c>
      <c r="DK101" s="228">
        <v>-2.2799999999999998</v>
      </c>
      <c r="DL101" s="228">
        <v>15.83</v>
      </c>
      <c r="DM101" s="228">
        <v>16.940000000000001</v>
      </c>
      <c r="DN101" s="228">
        <v>-1.1100000000000001</v>
      </c>
      <c r="DO101" s="228">
        <v>-1.1100000000000001</v>
      </c>
      <c r="DP101" s="228">
        <v>0.68</v>
      </c>
      <c r="DQ101" s="228">
        <v>0.7</v>
      </c>
      <c r="DR101" s="228">
        <v>-0.02</v>
      </c>
      <c r="DS101" s="229">
        <v>-2.86E-2</v>
      </c>
      <c r="DT101" s="228">
        <v>700</v>
      </c>
      <c r="DU101" s="228">
        <v>700</v>
      </c>
      <c r="DV101" s="228">
        <v>0.35</v>
      </c>
      <c r="DW101" s="228">
        <v>0.63</v>
      </c>
      <c r="DX101" s="228">
        <v>-0.28000000000000003</v>
      </c>
      <c r="DY101" s="229">
        <v>-0.44440000000000002</v>
      </c>
      <c r="DZ101" s="229">
        <v>0.12709999999999999</v>
      </c>
      <c r="EA101" s="230">
        <v>2433375</v>
      </c>
      <c r="EB101" s="229">
        <v>4.7000000000000002E-3</v>
      </c>
      <c r="EC101" s="229">
        <v>0.12709999999999999</v>
      </c>
      <c r="ED101" s="228">
        <v>3.25</v>
      </c>
      <c r="EE101" s="229">
        <v>4.8999999999999998E-3</v>
      </c>
      <c r="EF101" s="230">
        <v>175408</v>
      </c>
      <c r="EG101" s="230">
        <v>206993</v>
      </c>
      <c r="EH101" s="229">
        <v>-0.15260000000000001</v>
      </c>
      <c r="EI101" s="229">
        <v>0.48909999999999998</v>
      </c>
      <c r="EJ101" s="231">
        <v>45625.26</v>
      </c>
      <c r="EK101" s="231">
        <v>15676.91</v>
      </c>
      <c r="EL101" s="231">
        <v>9909.17</v>
      </c>
      <c r="EM101" s="231">
        <v>1449</v>
      </c>
      <c r="EN101" s="231">
        <v>71211.34</v>
      </c>
      <c r="EO101" s="231">
        <v>70654.559999999998</v>
      </c>
      <c r="EP101" s="228">
        <v>556.78</v>
      </c>
      <c r="EQ101" s="229">
        <v>7.9000000000000008E-3</v>
      </c>
      <c r="ER101" s="231">
        <v>71583</v>
      </c>
      <c r="ES101" s="231">
        <v>47092</v>
      </c>
      <c r="ET101" s="231">
        <v>139720</v>
      </c>
      <c r="EU101" s="231">
        <v>30082783</v>
      </c>
      <c r="EV101" s="231">
        <v>258394</v>
      </c>
      <c r="EW101" s="231">
        <v>261645</v>
      </c>
      <c r="EX101" s="231">
        <v>-3251</v>
      </c>
      <c r="EY101" s="229">
        <v>-1.24E-2</v>
      </c>
      <c r="EZ101" s="229">
        <v>1.2622</v>
      </c>
      <c r="FA101" s="227" t="s">
        <v>567</v>
      </c>
      <c r="FB101" s="161">
        <f t="shared" si="1"/>
        <v>2666125</v>
      </c>
    </row>
    <row r="102" spans="1:158" ht="17.25" hidden="1" thickBot="1" x14ac:dyDescent="0.3">
      <c r="A102" s="226">
        <v>46009</v>
      </c>
      <c r="B102" s="227" t="s">
        <v>175</v>
      </c>
      <c r="C102" s="227" t="s">
        <v>665</v>
      </c>
      <c r="D102" s="228">
        <v>3450</v>
      </c>
      <c r="E102" s="228">
        <v>131.72</v>
      </c>
      <c r="F102" s="228">
        <v>131.16999999999999</v>
      </c>
      <c r="G102" s="228">
        <v>0.55000000000000004</v>
      </c>
      <c r="H102" s="229">
        <v>4.1999999999999997E-3</v>
      </c>
      <c r="I102" s="228">
        <v>131.41999999999999</v>
      </c>
      <c r="J102" s="228">
        <v>131.43</v>
      </c>
      <c r="K102" s="228">
        <v>-0.01</v>
      </c>
      <c r="L102" s="229">
        <v>-1E-4</v>
      </c>
      <c r="M102" s="228">
        <v>131.72</v>
      </c>
      <c r="N102" s="228">
        <v>131.16999999999999</v>
      </c>
      <c r="O102" s="228">
        <v>0.55000000000000004</v>
      </c>
      <c r="P102" s="229">
        <v>4.1999999999999997E-3</v>
      </c>
      <c r="Q102" s="228">
        <v>131.25</v>
      </c>
      <c r="R102" s="228">
        <v>130.66</v>
      </c>
      <c r="S102" s="228">
        <v>0.59</v>
      </c>
      <c r="T102" s="229">
        <v>4.4999999999999997E-3</v>
      </c>
      <c r="U102" s="228">
        <v>131.38999999999999</v>
      </c>
      <c r="V102" s="228">
        <v>130.34</v>
      </c>
      <c r="W102" s="228">
        <v>1.05</v>
      </c>
      <c r="X102" s="229">
        <v>8.0999999999999996E-3</v>
      </c>
      <c r="Y102" s="228">
        <v>0.3</v>
      </c>
      <c r="Z102" s="228">
        <v>-0.26</v>
      </c>
      <c r="AA102" s="228">
        <v>0.56000000000000005</v>
      </c>
      <c r="AB102" s="229">
        <v>2.3E-3</v>
      </c>
      <c r="AC102" s="228">
        <v>0.3</v>
      </c>
      <c r="AD102" s="228">
        <v>-0.26</v>
      </c>
      <c r="AE102" s="228">
        <v>0.56000000000000005</v>
      </c>
      <c r="AF102" s="229">
        <v>2.3E-3</v>
      </c>
      <c r="AG102" s="228">
        <v>-0.17</v>
      </c>
      <c r="AH102" s="228">
        <v>-0.77</v>
      </c>
      <c r="AI102" s="228">
        <v>0.6</v>
      </c>
      <c r="AJ102" s="229">
        <v>-1.2999999999999999E-3</v>
      </c>
      <c r="AK102" s="228">
        <v>-0.03</v>
      </c>
      <c r="AL102" s="228">
        <v>-1.0900000000000001</v>
      </c>
      <c r="AM102" s="228">
        <v>1.06</v>
      </c>
      <c r="AN102" s="229">
        <v>-2.0000000000000001E-4</v>
      </c>
      <c r="AO102" s="228">
        <v>131.36000000000001</v>
      </c>
      <c r="AP102" s="228">
        <v>130.94</v>
      </c>
      <c r="AQ102" s="228">
        <v>0</v>
      </c>
      <c r="AR102" s="230">
        <v>10436250</v>
      </c>
      <c r="AS102" s="230">
        <v>10522500</v>
      </c>
      <c r="AT102" s="230">
        <v>-86250</v>
      </c>
      <c r="AU102" s="229">
        <v>-8.2000000000000007E-3</v>
      </c>
      <c r="AV102" s="230">
        <v>6544650</v>
      </c>
      <c r="AW102" s="230">
        <v>6865500</v>
      </c>
      <c r="AX102" s="230">
        <v>-320850</v>
      </c>
      <c r="AY102" s="229">
        <v>-4.6699999999999998E-2</v>
      </c>
      <c r="AZ102" s="230">
        <v>3477600</v>
      </c>
      <c r="BA102" s="230">
        <v>3474150</v>
      </c>
      <c r="BB102" s="230">
        <v>3450</v>
      </c>
      <c r="BC102" s="229">
        <v>1E-3</v>
      </c>
      <c r="BD102" s="230">
        <v>414000</v>
      </c>
      <c r="BE102" s="230">
        <v>182850</v>
      </c>
      <c r="BF102" s="230">
        <v>231150</v>
      </c>
      <c r="BG102" s="229">
        <v>1.2642</v>
      </c>
      <c r="BH102" s="230">
        <v>17229300</v>
      </c>
      <c r="BI102" s="230">
        <v>14169150</v>
      </c>
      <c r="BJ102" s="230">
        <v>3060150</v>
      </c>
      <c r="BK102" s="229">
        <v>0.216</v>
      </c>
      <c r="BL102" s="230">
        <v>6810300</v>
      </c>
      <c r="BM102" s="230">
        <v>4574700</v>
      </c>
      <c r="BN102" s="230">
        <v>2235600</v>
      </c>
      <c r="BO102" s="229">
        <v>0.48870000000000002</v>
      </c>
      <c r="BP102" s="230">
        <v>34475850</v>
      </c>
      <c r="BQ102" s="230">
        <v>29266350</v>
      </c>
      <c r="BR102" s="230">
        <v>5209500</v>
      </c>
      <c r="BS102" s="229">
        <v>0.17799999999999999</v>
      </c>
      <c r="BT102" s="230">
        <v>5071124</v>
      </c>
      <c r="BU102" s="230">
        <v>4219067</v>
      </c>
      <c r="BV102" s="230">
        <v>852057</v>
      </c>
      <c r="BW102" s="229">
        <v>0.20200000000000001</v>
      </c>
      <c r="BX102" s="230">
        <v>55959000</v>
      </c>
      <c r="BY102" s="230">
        <v>54989550</v>
      </c>
      <c r="BZ102" s="230">
        <v>969450</v>
      </c>
      <c r="CA102" s="229">
        <v>1.7600000000000001E-2</v>
      </c>
      <c r="CB102" s="230">
        <v>41144700</v>
      </c>
      <c r="CC102" s="230">
        <v>41607000</v>
      </c>
      <c r="CD102" s="230">
        <v>-462300</v>
      </c>
      <c r="CE102" s="229">
        <v>-1.11E-2</v>
      </c>
      <c r="CF102" s="230">
        <v>13279050</v>
      </c>
      <c r="CG102" s="230">
        <v>12050850</v>
      </c>
      <c r="CH102" s="230">
        <v>1228200</v>
      </c>
      <c r="CI102" s="229">
        <v>0.1019</v>
      </c>
      <c r="CJ102" s="230">
        <v>1535250</v>
      </c>
      <c r="CK102" s="230">
        <v>1331700</v>
      </c>
      <c r="CL102" s="230">
        <v>203550</v>
      </c>
      <c r="CM102" s="229">
        <v>0.15279999999999999</v>
      </c>
      <c r="CN102" s="230">
        <v>39405900</v>
      </c>
      <c r="CO102" s="230">
        <v>38522700</v>
      </c>
      <c r="CP102" s="230">
        <v>883200</v>
      </c>
      <c r="CQ102" s="229">
        <v>2.29E-2</v>
      </c>
      <c r="CR102" s="230">
        <v>20020350</v>
      </c>
      <c r="CS102" s="230">
        <v>19275150</v>
      </c>
      <c r="CT102" s="230">
        <v>745200</v>
      </c>
      <c r="CU102" s="229">
        <v>3.8699999999999998E-2</v>
      </c>
      <c r="CV102" s="230">
        <v>115385250</v>
      </c>
      <c r="CW102" s="230">
        <v>112787400</v>
      </c>
      <c r="CX102" s="230">
        <v>2597850</v>
      </c>
      <c r="CY102" s="229">
        <v>2.3E-2</v>
      </c>
      <c r="CZ102" s="228">
        <v>30.21</v>
      </c>
      <c r="DA102" s="228">
        <v>32.090000000000003</v>
      </c>
      <c r="DB102" s="228">
        <v>-1.88</v>
      </c>
      <c r="DC102" s="228">
        <v>-1.88</v>
      </c>
      <c r="DD102" s="228">
        <v>48.6</v>
      </c>
      <c r="DE102" s="228">
        <v>48.72</v>
      </c>
      <c r="DF102" s="228">
        <v>-18.39</v>
      </c>
      <c r="DG102" s="228">
        <v>-0.12</v>
      </c>
      <c r="DH102" s="228">
        <v>30.07</v>
      </c>
      <c r="DI102" s="228">
        <v>32.450000000000003</v>
      </c>
      <c r="DJ102" s="228">
        <v>-2.38</v>
      </c>
      <c r="DK102" s="228">
        <v>-2.38</v>
      </c>
      <c r="DL102" s="228">
        <v>30.55</v>
      </c>
      <c r="DM102" s="228">
        <v>30.98</v>
      </c>
      <c r="DN102" s="228">
        <v>-0.43</v>
      </c>
      <c r="DO102" s="228">
        <v>-0.43</v>
      </c>
      <c r="DP102" s="228">
        <v>0.51</v>
      </c>
      <c r="DQ102" s="228">
        <v>0.5</v>
      </c>
      <c r="DR102" s="228">
        <v>0.01</v>
      </c>
      <c r="DS102" s="229">
        <v>0.02</v>
      </c>
      <c r="DT102" s="228">
        <v>145</v>
      </c>
      <c r="DU102" s="228">
        <v>125</v>
      </c>
      <c r="DV102" s="228">
        <v>0.4</v>
      </c>
      <c r="DW102" s="228">
        <v>0.32</v>
      </c>
      <c r="DX102" s="228">
        <v>0.08</v>
      </c>
      <c r="DY102" s="229">
        <v>0.25</v>
      </c>
      <c r="DZ102" s="229">
        <v>0.26469999999999999</v>
      </c>
      <c r="EA102" s="230">
        <v>13382550</v>
      </c>
      <c r="EB102" s="229">
        <v>-3.5999999999999999E-3</v>
      </c>
      <c r="EC102" s="229">
        <v>0.26469999999999999</v>
      </c>
      <c r="ED102" s="228">
        <v>-0.42</v>
      </c>
      <c r="EE102" s="229">
        <v>-3.2000000000000002E-3</v>
      </c>
      <c r="EF102" s="230">
        <v>1675976</v>
      </c>
      <c r="EG102" s="230">
        <v>1658638</v>
      </c>
      <c r="EH102" s="229">
        <v>1.0500000000000001E-2</v>
      </c>
      <c r="EI102" s="229">
        <v>0.33050000000000002</v>
      </c>
      <c r="EJ102" s="231">
        <v>24124.95</v>
      </c>
      <c r="EK102" s="231">
        <v>8976.5499999999993</v>
      </c>
      <c r="EL102" s="231">
        <v>13692.79</v>
      </c>
      <c r="EM102" s="231">
        <v>1989</v>
      </c>
      <c r="EN102" s="231">
        <v>46794.29</v>
      </c>
      <c r="EO102" s="231">
        <v>40309.01</v>
      </c>
      <c r="EP102" s="231">
        <v>6485.28</v>
      </c>
      <c r="EQ102" s="229">
        <v>0.16089999999999999</v>
      </c>
      <c r="ER102" s="231">
        <v>57153</v>
      </c>
      <c r="ES102" s="231">
        <v>27287</v>
      </c>
      <c r="ET102" s="231">
        <v>73642</v>
      </c>
      <c r="EU102" s="231">
        <v>119011160</v>
      </c>
      <c r="EV102" s="231">
        <v>158081</v>
      </c>
      <c r="EW102" s="231">
        <v>154569</v>
      </c>
      <c r="EX102" s="231">
        <v>3512</v>
      </c>
      <c r="EY102" s="229">
        <v>2.2700000000000001E-2</v>
      </c>
      <c r="EZ102" s="229">
        <v>0.96950000000000003</v>
      </c>
      <c r="FA102" s="227" t="s">
        <v>555</v>
      </c>
      <c r="FB102" s="161">
        <f t="shared" si="1"/>
        <v>14814300</v>
      </c>
    </row>
    <row r="103" spans="1:158" ht="17.25" hidden="1" thickBot="1" x14ac:dyDescent="0.3">
      <c r="A103" s="226">
        <v>46009</v>
      </c>
      <c r="B103" s="227" t="s">
        <v>215</v>
      </c>
      <c r="C103" s="227" t="s">
        <v>592</v>
      </c>
      <c r="D103" s="228">
        <v>4250</v>
      </c>
      <c r="E103" s="228">
        <v>111.19</v>
      </c>
      <c r="F103" s="228">
        <v>111.25</v>
      </c>
      <c r="G103" s="228">
        <v>-0.06</v>
      </c>
      <c r="H103" s="229">
        <v>-5.0000000000000001E-4</v>
      </c>
      <c r="I103" s="228">
        <v>110.81</v>
      </c>
      <c r="J103" s="228">
        <v>111.08</v>
      </c>
      <c r="K103" s="228">
        <v>-0.27</v>
      </c>
      <c r="L103" s="229">
        <v>-2.3999999999999998E-3</v>
      </c>
      <c r="M103" s="228">
        <v>111.19</v>
      </c>
      <c r="N103" s="228">
        <v>111.25</v>
      </c>
      <c r="O103" s="228">
        <v>-0.06</v>
      </c>
      <c r="P103" s="229">
        <v>-5.0000000000000001E-4</v>
      </c>
      <c r="Q103" s="228">
        <v>111.81</v>
      </c>
      <c r="R103" s="228">
        <v>111.96</v>
      </c>
      <c r="S103" s="228">
        <v>-0.15</v>
      </c>
      <c r="T103" s="229">
        <v>-1.2999999999999999E-3</v>
      </c>
      <c r="U103" s="228">
        <v>112.18</v>
      </c>
      <c r="V103" s="228">
        <v>112.63</v>
      </c>
      <c r="W103" s="228">
        <v>-0.45</v>
      </c>
      <c r="X103" s="229">
        <v>-4.0000000000000001E-3</v>
      </c>
      <c r="Y103" s="228">
        <v>0.38</v>
      </c>
      <c r="Z103" s="228">
        <v>0.17</v>
      </c>
      <c r="AA103" s="228">
        <v>0.21</v>
      </c>
      <c r="AB103" s="229">
        <v>3.3999999999999998E-3</v>
      </c>
      <c r="AC103" s="228">
        <v>0.38</v>
      </c>
      <c r="AD103" s="228">
        <v>0.17</v>
      </c>
      <c r="AE103" s="228">
        <v>0.21</v>
      </c>
      <c r="AF103" s="229">
        <v>3.3999999999999998E-3</v>
      </c>
      <c r="AG103" s="228">
        <v>1</v>
      </c>
      <c r="AH103" s="228">
        <v>0.88</v>
      </c>
      <c r="AI103" s="228">
        <v>0.12</v>
      </c>
      <c r="AJ103" s="229">
        <v>8.9999999999999993E-3</v>
      </c>
      <c r="AK103" s="228">
        <v>1.37</v>
      </c>
      <c r="AL103" s="228">
        <v>1.55</v>
      </c>
      <c r="AM103" s="228">
        <v>-0.18</v>
      </c>
      <c r="AN103" s="229">
        <v>1.24E-2</v>
      </c>
      <c r="AO103" s="228">
        <v>111.02</v>
      </c>
      <c r="AP103" s="228">
        <v>111.77</v>
      </c>
      <c r="AQ103" s="228">
        <v>0</v>
      </c>
      <c r="AR103" s="230">
        <v>5869250</v>
      </c>
      <c r="AS103" s="230">
        <v>5393250</v>
      </c>
      <c r="AT103" s="230">
        <v>476000</v>
      </c>
      <c r="AU103" s="229">
        <v>8.8300000000000003E-2</v>
      </c>
      <c r="AV103" s="230">
        <v>4573000</v>
      </c>
      <c r="AW103" s="230">
        <v>3459500</v>
      </c>
      <c r="AX103" s="230">
        <v>1113500</v>
      </c>
      <c r="AY103" s="229">
        <v>0.32190000000000002</v>
      </c>
      <c r="AZ103" s="230">
        <v>1134750</v>
      </c>
      <c r="BA103" s="230">
        <v>1725500</v>
      </c>
      <c r="BB103" s="230">
        <v>-590750</v>
      </c>
      <c r="BC103" s="229">
        <v>-0.34239999999999998</v>
      </c>
      <c r="BD103" s="230">
        <v>161500</v>
      </c>
      <c r="BE103" s="230">
        <v>208250</v>
      </c>
      <c r="BF103" s="230">
        <v>-46750</v>
      </c>
      <c r="BG103" s="229">
        <v>-0.22450000000000001</v>
      </c>
      <c r="BH103" s="230">
        <v>23494000</v>
      </c>
      <c r="BI103" s="230">
        <v>21874750</v>
      </c>
      <c r="BJ103" s="230">
        <v>1619250</v>
      </c>
      <c r="BK103" s="229">
        <v>7.3999999999999996E-2</v>
      </c>
      <c r="BL103" s="230">
        <v>10875750</v>
      </c>
      <c r="BM103" s="230">
        <v>9167250</v>
      </c>
      <c r="BN103" s="230">
        <v>1708500</v>
      </c>
      <c r="BO103" s="229">
        <v>0.18640000000000001</v>
      </c>
      <c r="BP103" s="230">
        <v>40239000</v>
      </c>
      <c r="BQ103" s="230">
        <v>36435250</v>
      </c>
      <c r="BR103" s="230">
        <v>3803750</v>
      </c>
      <c r="BS103" s="229">
        <v>0.10440000000000001</v>
      </c>
      <c r="BT103" s="230">
        <v>7131550</v>
      </c>
      <c r="BU103" s="230">
        <v>5360488</v>
      </c>
      <c r="BV103" s="230">
        <v>1771062</v>
      </c>
      <c r="BW103" s="229">
        <v>0.33040000000000003</v>
      </c>
      <c r="BX103" s="230">
        <v>47850750</v>
      </c>
      <c r="BY103" s="230">
        <v>47974000</v>
      </c>
      <c r="BZ103" s="230">
        <v>-123250</v>
      </c>
      <c r="CA103" s="229">
        <v>-2.5999999999999999E-3</v>
      </c>
      <c r="CB103" s="230">
        <v>40987000</v>
      </c>
      <c r="CC103" s="230">
        <v>41463000</v>
      </c>
      <c r="CD103" s="230">
        <v>-476000</v>
      </c>
      <c r="CE103" s="229">
        <v>-1.15E-2</v>
      </c>
      <c r="CF103" s="230">
        <v>6009500</v>
      </c>
      <c r="CG103" s="230">
        <v>5644000</v>
      </c>
      <c r="CH103" s="230">
        <v>365500</v>
      </c>
      <c r="CI103" s="229">
        <v>6.4799999999999996E-2</v>
      </c>
      <c r="CJ103" s="230">
        <v>854250</v>
      </c>
      <c r="CK103" s="230">
        <v>867000</v>
      </c>
      <c r="CL103" s="230">
        <v>-12750</v>
      </c>
      <c r="CM103" s="229">
        <v>-1.47E-2</v>
      </c>
      <c r="CN103" s="230">
        <v>43549750</v>
      </c>
      <c r="CO103" s="230">
        <v>43996000</v>
      </c>
      <c r="CP103" s="230">
        <v>-446250</v>
      </c>
      <c r="CQ103" s="229">
        <v>-1.01E-2</v>
      </c>
      <c r="CR103" s="230">
        <v>21479500</v>
      </c>
      <c r="CS103" s="230">
        <v>20965250</v>
      </c>
      <c r="CT103" s="230">
        <v>514250</v>
      </c>
      <c r="CU103" s="229">
        <v>2.4500000000000001E-2</v>
      </c>
      <c r="CV103" s="230">
        <v>112880000</v>
      </c>
      <c r="CW103" s="230">
        <v>112935250</v>
      </c>
      <c r="CX103" s="230">
        <v>-55250</v>
      </c>
      <c r="CY103" s="229">
        <v>-5.0000000000000001E-4</v>
      </c>
      <c r="CZ103" s="228">
        <v>24.46</v>
      </c>
      <c r="DA103" s="228">
        <v>25.13</v>
      </c>
      <c r="DB103" s="228">
        <v>-0.67</v>
      </c>
      <c r="DC103" s="228">
        <v>-0.67</v>
      </c>
      <c r="DD103" s="228">
        <v>43.78</v>
      </c>
      <c r="DE103" s="228">
        <v>43.89</v>
      </c>
      <c r="DF103" s="228">
        <v>-19.32</v>
      </c>
      <c r="DG103" s="228">
        <v>-0.11</v>
      </c>
      <c r="DH103" s="228">
        <v>25.13</v>
      </c>
      <c r="DI103" s="228">
        <v>26.31</v>
      </c>
      <c r="DJ103" s="228">
        <v>-1.18</v>
      </c>
      <c r="DK103" s="228">
        <v>-1.18</v>
      </c>
      <c r="DL103" s="228">
        <v>23.02</v>
      </c>
      <c r="DM103" s="228">
        <v>22.29</v>
      </c>
      <c r="DN103" s="228">
        <v>0.73</v>
      </c>
      <c r="DO103" s="228">
        <v>0.73</v>
      </c>
      <c r="DP103" s="228">
        <v>0.49</v>
      </c>
      <c r="DQ103" s="228">
        <v>0.48</v>
      </c>
      <c r="DR103" s="228">
        <v>0.01</v>
      </c>
      <c r="DS103" s="229">
        <v>2.0799999999999999E-2</v>
      </c>
      <c r="DT103" s="228">
        <v>120</v>
      </c>
      <c r="DU103" s="228">
        <v>120</v>
      </c>
      <c r="DV103" s="228">
        <v>0.46</v>
      </c>
      <c r="DW103" s="228">
        <v>0.42</v>
      </c>
      <c r="DX103" s="228">
        <v>0.04</v>
      </c>
      <c r="DY103" s="229">
        <v>9.5200000000000007E-2</v>
      </c>
      <c r="DZ103" s="229">
        <v>0.1434</v>
      </c>
      <c r="EA103" s="230">
        <v>6511000</v>
      </c>
      <c r="EB103" s="229">
        <v>5.5999999999999999E-3</v>
      </c>
      <c r="EC103" s="229">
        <v>0.1434</v>
      </c>
      <c r="ED103" s="228">
        <v>0.75</v>
      </c>
      <c r="EE103" s="229">
        <v>6.7999999999999996E-3</v>
      </c>
      <c r="EF103" s="230">
        <v>2854576</v>
      </c>
      <c r="EG103" s="230">
        <v>2180133</v>
      </c>
      <c r="EH103" s="229">
        <v>0.30940000000000001</v>
      </c>
      <c r="EI103" s="229">
        <v>0.40029999999999999</v>
      </c>
      <c r="EJ103" s="231">
        <v>27587.360000000001</v>
      </c>
      <c r="EK103" s="231">
        <v>12013.6</v>
      </c>
      <c r="EL103" s="231">
        <v>6527.21</v>
      </c>
      <c r="EM103" s="231">
        <v>1090</v>
      </c>
      <c r="EN103" s="231">
        <v>46128.17</v>
      </c>
      <c r="EO103" s="231">
        <v>42207.95</v>
      </c>
      <c r="EP103" s="231">
        <v>3920.22</v>
      </c>
      <c r="EQ103" s="229">
        <v>9.2899999999999996E-2</v>
      </c>
      <c r="ER103" s="231">
        <v>52876</v>
      </c>
      <c r="ES103" s="231">
        <v>24536</v>
      </c>
      <c r="ET103" s="231">
        <v>53251</v>
      </c>
      <c r="EU103" s="231">
        <v>226853356</v>
      </c>
      <c r="EV103" s="231">
        <v>130663</v>
      </c>
      <c r="EW103" s="231">
        <v>130995</v>
      </c>
      <c r="EX103" s="228">
        <v>-332</v>
      </c>
      <c r="EY103" s="229">
        <v>-2.5000000000000001E-3</v>
      </c>
      <c r="EZ103" s="229">
        <v>0.49759999999999999</v>
      </c>
      <c r="FA103" s="227" t="s">
        <v>568</v>
      </c>
      <c r="FB103" s="161">
        <f t="shared" si="1"/>
        <v>6863750</v>
      </c>
    </row>
    <row r="104" spans="1:158" ht="17.25" hidden="1" thickBot="1" x14ac:dyDescent="0.3">
      <c r="A104" s="226">
        <v>46009</v>
      </c>
      <c r="B104" s="227" t="s">
        <v>168</v>
      </c>
      <c r="C104" s="227" t="s">
        <v>242</v>
      </c>
      <c r="D104" s="228">
        <v>1600</v>
      </c>
      <c r="E104" s="228">
        <v>401.25</v>
      </c>
      <c r="F104" s="228">
        <v>401.05</v>
      </c>
      <c r="G104" s="228">
        <v>0.2</v>
      </c>
      <c r="H104" s="229">
        <v>5.0000000000000001E-4</v>
      </c>
      <c r="I104" s="228">
        <v>400.4</v>
      </c>
      <c r="J104" s="228">
        <v>399.8</v>
      </c>
      <c r="K104" s="228">
        <v>0.6</v>
      </c>
      <c r="L104" s="229">
        <v>1.5E-3</v>
      </c>
      <c r="M104" s="228">
        <v>401.25</v>
      </c>
      <c r="N104" s="228">
        <v>401.05</v>
      </c>
      <c r="O104" s="228">
        <v>0.2</v>
      </c>
      <c r="P104" s="229">
        <v>5.0000000000000001E-4</v>
      </c>
      <c r="Q104" s="228">
        <v>403.75</v>
      </c>
      <c r="R104" s="228">
        <v>403.55</v>
      </c>
      <c r="S104" s="228">
        <v>0.2</v>
      </c>
      <c r="T104" s="229">
        <v>5.0000000000000001E-4</v>
      </c>
      <c r="U104" s="228">
        <v>401.15</v>
      </c>
      <c r="V104" s="228">
        <v>400.95</v>
      </c>
      <c r="W104" s="228">
        <v>0.2</v>
      </c>
      <c r="X104" s="229">
        <v>5.0000000000000001E-4</v>
      </c>
      <c r="Y104" s="228">
        <v>0.85</v>
      </c>
      <c r="Z104" s="228">
        <v>1.25</v>
      </c>
      <c r="AA104" s="228">
        <v>-0.4</v>
      </c>
      <c r="AB104" s="229">
        <v>2.0999999999999999E-3</v>
      </c>
      <c r="AC104" s="228">
        <v>0.85</v>
      </c>
      <c r="AD104" s="228">
        <v>1.25</v>
      </c>
      <c r="AE104" s="228">
        <v>-0.4</v>
      </c>
      <c r="AF104" s="229">
        <v>2.0999999999999999E-3</v>
      </c>
      <c r="AG104" s="228">
        <v>3.35</v>
      </c>
      <c r="AH104" s="228">
        <v>3.75</v>
      </c>
      <c r="AI104" s="228">
        <v>-0.4</v>
      </c>
      <c r="AJ104" s="229">
        <v>8.3999999999999995E-3</v>
      </c>
      <c r="AK104" s="228">
        <v>0.75</v>
      </c>
      <c r="AL104" s="228">
        <v>1.1499999999999999</v>
      </c>
      <c r="AM104" s="228">
        <v>-0.4</v>
      </c>
      <c r="AN104" s="229">
        <v>1.9E-3</v>
      </c>
      <c r="AO104" s="228">
        <v>401.76</v>
      </c>
      <c r="AP104" s="228">
        <v>404.3</v>
      </c>
      <c r="AQ104" s="228">
        <v>0</v>
      </c>
      <c r="AR104" s="230">
        <v>17598400</v>
      </c>
      <c r="AS104" s="230">
        <v>13742400</v>
      </c>
      <c r="AT104" s="230">
        <v>3856000</v>
      </c>
      <c r="AU104" s="229">
        <v>0.28060000000000002</v>
      </c>
      <c r="AV104" s="230">
        <v>10380800</v>
      </c>
      <c r="AW104" s="230">
        <v>9867200</v>
      </c>
      <c r="AX104" s="230">
        <v>513600</v>
      </c>
      <c r="AY104" s="229">
        <v>5.21E-2</v>
      </c>
      <c r="AZ104" s="230">
        <v>6883200</v>
      </c>
      <c r="BA104" s="230">
        <v>3555200</v>
      </c>
      <c r="BB104" s="230">
        <v>3328000</v>
      </c>
      <c r="BC104" s="229">
        <v>0.93610000000000004</v>
      </c>
      <c r="BD104" s="230">
        <v>334400</v>
      </c>
      <c r="BE104" s="230">
        <v>320000</v>
      </c>
      <c r="BF104" s="230">
        <v>14400</v>
      </c>
      <c r="BG104" s="229">
        <v>4.4999999999999998E-2</v>
      </c>
      <c r="BH104" s="230">
        <v>29828800</v>
      </c>
      <c r="BI104" s="230">
        <v>39790400</v>
      </c>
      <c r="BJ104" s="230">
        <v>-9961600</v>
      </c>
      <c r="BK104" s="229">
        <v>-0.25040000000000001</v>
      </c>
      <c r="BL104" s="230">
        <v>16644800</v>
      </c>
      <c r="BM104" s="230">
        <v>19144000</v>
      </c>
      <c r="BN104" s="230">
        <v>-2499200</v>
      </c>
      <c r="BO104" s="229">
        <v>-0.1305</v>
      </c>
      <c r="BP104" s="230">
        <v>64072000</v>
      </c>
      <c r="BQ104" s="230">
        <v>72676800</v>
      </c>
      <c r="BR104" s="230">
        <v>-8604800</v>
      </c>
      <c r="BS104" s="229">
        <v>-0.11840000000000001</v>
      </c>
      <c r="BT104" s="230">
        <v>8279543</v>
      </c>
      <c r="BU104" s="230">
        <v>12098504</v>
      </c>
      <c r="BV104" s="230">
        <v>-3818961</v>
      </c>
      <c r="BW104" s="229">
        <v>-0.31569999999999998</v>
      </c>
      <c r="BX104" s="230">
        <v>174612800</v>
      </c>
      <c r="BY104" s="230">
        <v>173939200</v>
      </c>
      <c r="BZ104" s="230">
        <v>673600</v>
      </c>
      <c r="CA104" s="229">
        <v>3.8999999999999998E-3</v>
      </c>
      <c r="CB104" s="230">
        <v>149291200</v>
      </c>
      <c r="CC104" s="230">
        <v>155156800</v>
      </c>
      <c r="CD104" s="230">
        <v>-5865600</v>
      </c>
      <c r="CE104" s="229">
        <v>-3.78E-2</v>
      </c>
      <c r="CF104" s="230">
        <v>22628800</v>
      </c>
      <c r="CG104" s="230">
        <v>16281600</v>
      </c>
      <c r="CH104" s="230">
        <v>6347200</v>
      </c>
      <c r="CI104" s="229">
        <v>0.38979999999999998</v>
      </c>
      <c r="CJ104" s="230">
        <v>2692800</v>
      </c>
      <c r="CK104" s="230">
        <v>2500800</v>
      </c>
      <c r="CL104" s="230">
        <v>192000</v>
      </c>
      <c r="CM104" s="229">
        <v>7.6799999999999993E-2</v>
      </c>
      <c r="CN104" s="230">
        <v>63161600</v>
      </c>
      <c r="CO104" s="230">
        <v>63188800</v>
      </c>
      <c r="CP104" s="230">
        <v>-27200</v>
      </c>
      <c r="CQ104" s="229">
        <v>-4.0000000000000002E-4</v>
      </c>
      <c r="CR104" s="230">
        <v>37960000</v>
      </c>
      <c r="CS104" s="230">
        <v>39073600</v>
      </c>
      <c r="CT104" s="230">
        <v>-1113600</v>
      </c>
      <c r="CU104" s="229">
        <v>-2.8500000000000001E-2</v>
      </c>
      <c r="CV104" s="230">
        <v>275734400</v>
      </c>
      <c r="CW104" s="230">
        <v>276201600</v>
      </c>
      <c r="CX104" s="230">
        <v>-467200</v>
      </c>
      <c r="CY104" s="229">
        <v>-1.6999999999999999E-3</v>
      </c>
      <c r="CZ104" s="228">
        <v>12.48</v>
      </c>
      <c r="DA104" s="228">
        <v>13.12</v>
      </c>
      <c r="DB104" s="228">
        <v>-0.64</v>
      </c>
      <c r="DC104" s="228">
        <v>-0.64</v>
      </c>
      <c r="DD104" s="228">
        <v>18.43</v>
      </c>
      <c r="DE104" s="228">
        <v>18.48</v>
      </c>
      <c r="DF104" s="228">
        <v>-5.95</v>
      </c>
      <c r="DG104" s="228">
        <v>-0.05</v>
      </c>
      <c r="DH104" s="228">
        <v>12.85</v>
      </c>
      <c r="DI104" s="228">
        <v>13.35</v>
      </c>
      <c r="DJ104" s="228">
        <v>-0.5</v>
      </c>
      <c r="DK104" s="228">
        <v>-0.5</v>
      </c>
      <c r="DL104" s="228">
        <v>11.83</v>
      </c>
      <c r="DM104" s="228">
        <v>12.62</v>
      </c>
      <c r="DN104" s="228">
        <v>-0.79</v>
      </c>
      <c r="DO104" s="228">
        <v>-0.79</v>
      </c>
      <c r="DP104" s="228">
        <v>0.6</v>
      </c>
      <c r="DQ104" s="228">
        <v>0.62</v>
      </c>
      <c r="DR104" s="228">
        <v>-0.02</v>
      </c>
      <c r="DS104" s="229">
        <v>-3.2300000000000002E-2</v>
      </c>
      <c r="DT104" s="228">
        <v>410</v>
      </c>
      <c r="DU104" s="228">
        <v>400</v>
      </c>
      <c r="DV104" s="228">
        <v>0.56000000000000005</v>
      </c>
      <c r="DW104" s="228">
        <v>0.48</v>
      </c>
      <c r="DX104" s="228">
        <v>0.08</v>
      </c>
      <c r="DY104" s="229">
        <v>0.16669999999999999</v>
      </c>
      <c r="DZ104" s="229">
        <v>0.14499999999999999</v>
      </c>
      <c r="EA104" s="230">
        <v>18782400</v>
      </c>
      <c r="EB104" s="229">
        <v>6.1999999999999998E-3</v>
      </c>
      <c r="EC104" s="229">
        <v>0.14499999999999999</v>
      </c>
      <c r="ED104" s="228">
        <v>2.54</v>
      </c>
      <c r="EE104" s="229">
        <v>6.3E-3</v>
      </c>
      <c r="EF104" s="230">
        <v>5484084</v>
      </c>
      <c r="EG104" s="230">
        <v>9400447</v>
      </c>
      <c r="EH104" s="229">
        <v>-0.41660000000000003</v>
      </c>
      <c r="EI104" s="229">
        <v>0.66239999999999999</v>
      </c>
      <c r="EJ104" s="231">
        <v>122312.44</v>
      </c>
      <c r="EK104" s="231">
        <v>66305.25</v>
      </c>
      <c r="EL104" s="231">
        <v>70878.070000000007</v>
      </c>
      <c r="EM104" s="231">
        <v>7075</v>
      </c>
      <c r="EN104" s="231">
        <v>259495.76</v>
      </c>
      <c r="EO104" s="231">
        <v>295694.77</v>
      </c>
      <c r="EP104" s="231">
        <v>-36199.01</v>
      </c>
      <c r="EQ104" s="229">
        <v>-0.12239999999999999</v>
      </c>
      <c r="ER104" s="231">
        <v>263524</v>
      </c>
      <c r="ES104" s="231">
        <v>151121</v>
      </c>
      <c r="ET104" s="231">
        <v>701197</v>
      </c>
      <c r="EU104" s="231">
        <v>1251412841</v>
      </c>
      <c r="EV104" s="231">
        <v>1115842</v>
      </c>
      <c r="EW104" s="231">
        <v>1117281</v>
      </c>
      <c r="EX104" s="231">
        <v>-1439</v>
      </c>
      <c r="EY104" s="229">
        <v>-1.2999999999999999E-3</v>
      </c>
      <c r="EZ104" s="229">
        <v>0.2203</v>
      </c>
      <c r="FA104" s="227" t="s">
        <v>555</v>
      </c>
      <c r="FB104" s="161">
        <f t="shared" si="1"/>
        <v>25321600</v>
      </c>
    </row>
    <row r="105" spans="1:158" ht="17.25" hidden="1" thickBot="1" x14ac:dyDescent="0.3">
      <c r="A105" s="226">
        <v>46009</v>
      </c>
      <c r="B105" s="227" t="s">
        <v>227</v>
      </c>
      <c r="C105" s="227" t="s">
        <v>243</v>
      </c>
      <c r="D105" s="228">
        <v>625</v>
      </c>
      <c r="E105" s="228">
        <v>988.9</v>
      </c>
      <c r="F105" s="231">
        <v>1003.9</v>
      </c>
      <c r="G105" s="228">
        <v>-15</v>
      </c>
      <c r="H105" s="229">
        <v>-1.49E-2</v>
      </c>
      <c r="I105" s="228">
        <v>986</v>
      </c>
      <c r="J105" s="231">
        <v>1001.5</v>
      </c>
      <c r="K105" s="228">
        <v>-15.5</v>
      </c>
      <c r="L105" s="229">
        <v>-1.55E-2</v>
      </c>
      <c r="M105" s="228">
        <v>988.9</v>
      </c>
      <c r="N105" s="231">
        <v>1003.9</v>
      </c>
      <c r="O105" s="228">
        <v>-15</v>
      </c>
      <c r="P105" s="229">
        <v>-1.49E-2</v>
      </c>
      <c r="Q105" s="228">
        <v>994.9</v>
      </c>
      <c r="R105" s="231">
        <v>1010.5</v>
      </c>
      <c r="S105" s="228">
        <v>-15.6</v>
      </c>
      <c r="T105" s="229">
        <v>-1.54E-2</v>
      </c>
      <c r="U105" s="228">
        <v>995</v>
      </c>
      <c r="V105" s="231">
        <v>1015.2</v>
      </c>
      <c r="W105" s="228">
        <v>-20.2</v>
      </c>
      <c r="X105" s="229">
        <v>-1.9900000000000001E-2</v>
      </c>
      <c r="Y105" s="228">
        <v>2.9</v>
      </c>
      <c r="Z105" s="228">
        <v>2.4</v>
      </c>
      <c r="AA105" s="228">
        <v>0.5</v>
      </c>
      <c r="AB105" s="229">
        <v>2.8999999999999998E-3</v>
      </c>
      <c r="AC105" s="228">
        <v>2.9</v>
      </c>
      <c r="AD105" s="228">
        <v>2.4</v>
      </c>
      <c r="AE105" s="228">
        <v>0.5</v>
      </c>
      <c r="AF105" s="229">
        <v>2.8999999999999998E-3</v>
      </c>
      <c r="AG105" s="228">
        <v>8.9</v>
      </c>
      <c r="AH105" s="228">
        <v>9</v>
      </c>
      <c r="AI105" s="228">
        <v>-0.1</v>
      </c>
      <c r="AJ105" s="229">
        <v>8.9999999999999993E-3</v>
      </c>
      <c r="AK105" s="228">
        <v>9</v>
      </c>
      <c r="AL105" s="228">
        <v>13.7</v>
      </c>
      <c r="AM105" s="228">
        <v>-4.7</v>
      </c>
      <c r="AN105" s="229">
        <v>9.1000000000000004E-3</v>
      </c>
      <c r="AO105" s="228">
        <v>990.78</v>
      </c>
      <c r="AP105" s="228">
        <v>994.91</v>
      </c>
      <c r="AQ105" s="228">
        <v>0</v>
      </c>
      <c r="AR105" s="230">
        <v>3688750</v>
      </c>
      <c r="AS105" s="230">
        <v>1740000</v>
      </c>
      <c r="AT105" s="230">
        <v>1948750</v>
      </c>
      <c r="AU105" s="229">
        <v>1.1200000000000001</v>
      </c>
      <c r="AV105" s="230">
        <v>3107500</v>
      </c>
      <c r="AW105" s="230">
        <v>1547500</v>
      </c>
      <c r="AX105" s="230">
        <v>1560000</v>
      </c>
      <c r="AY105" s="229">
        <v>1.0081</v>
      </c>
      <c r="AZ105" s="230">
        <v>564375</v>
      </c>
      <c r="BA105" s="230">
        <v>186250</v>
      </c>
      <c r="BB105" s="230">
        <v>378125</v>
      </c>
      <c r="BC105" s="229">
        <v>2.0301999999999998</v>
      </c>
      <c r="BD105" s="230">
        <v>16875</v>
      </c>
      <c r="BE105" s="230">
        <v>6250</v>
      </c>
      <c r="BF105" s="230">
        <v>10625</v>
      </c>
      <c r="BG105" s="229">
        <v>1.7</v>
      </c>
      <c r="BH105" s="230">
        <v>8565000</v>
      </c>
      <c r="BI105" s="230">
        <v>4140625</v>
      </c>
      <c r="BJ105" s="230">
        <v>4424375</v>
      </c>
      <c r="BK105" s="229">
        <v>1.0685</v>
      </c>
      <c r="BL105" s="230">
        <v>5603125</v>
      </c>
      <c r="BM105" s="230">
        <v>2266875</v>
      </c>
      <c r="BN105" s="230">
        <v>3336250</v>
      </c>
      <c r="BO105" s="229">
        <v>1.4717</v>
      </c>
      <c r="BP105" s="230">
        <v>17856875</v>
      </c>
      <c r="BQ105" s="230">
        <v>8147500</v>
      </c>
      <c r="BR105" s="230">
        <v>9709375</v>
      </c>
      <c r="BS105" s="229">
        <v>1.1917</v>
      </c>
      <c r="BT105" s="230">
        <v>2699270</v>
      </c>
      <c r="BU105" s="230">
        <v>660596</v>
      </c>
      <c r="BV105" s="230">
        <v>2038674</v>
      </c>
      <c r="BW105" s="229">
        <v>3.0861000000000001</v>
      </c>
      <c r="BX105" s="230">
        <v>13302500</v>
      </c>
      <c r="BY105" s="230">
        <v>12578750</v>
      </c>
      <c r="BZ105" s="230">
        <v>723750</v>
      </c>
      <c r="CA105" s="229">
        <v>5.7500000000000002E-2</v>
      </c>
      <c r="CB105" s="230">
        <v>12700625</v>
      </c>
      <c r="CC105" s="230">
        <v>12234375</v>
      </c>
      <c r="CD105" s="230">
        <v>466250</v>
      </c>
      <c r="CE105" s="229">
        <v>3.8100000000000002E-2</v>
      </c>
      <c r="CF105" s="230">
        <v>565000</v>
      </c>
      <c r="CG105" s="230">
        <v>312500</v>
      </c>
      <c r="CH105" s="230">
        <v>252500</v>
      </c>
      <c r="CI105" s="229">
        <v>0.80800000000000005</v>
      </c>
      <c r="CJ105" s="230">
        <v>36875</v>
      </c>
      <c r="CK105" s="230">
        <v>31875</v>
      </c>
      <c r="CL105" s="230">
        <v>5000</v>
      </c>
      <c r="CM105" s="229">
        <v>0.15690000000000001</v>
      </c>
      <c r="CN105" s="230">
        <v>6074375</v>
      </c>
      <c r="CO105" s="230">
        <v>5899375</v>
      </c>
      <c r="CP105" s="230">
        <v>175000</v>
      </c>
      <c r="CQ105" s="229">
        <v>2.9700000000000001E-2</v>
      </c>
      <c r="CR105" s="230">
        <v>3761875</v>
      </c>
      <c r="CS105" s="230">
        <v>3523125</v>
      </c>
      <c r="CT105" s="230">
        <v>238750</v>
      </c>
      <c r="CU105" s="229">
        <v>6.7799999999999999E-2</v>
      </c>
      <c r="CV105" s="230">
        <v>23138750</v>
      </c>
      <c r="CW105" s="230">
        <v>22001250</v>
      </c>
      <c r="CX105" s="230">
        <v>1137500</v>
      </c>
      <c r="CY105" s="229">
        <v>5.1700000000000003E-2</v>
      </c>
      <c r="CZ105" s="228">
        <v>23.16</v>
      </c>
      <c r="DA105" s="228">
        <v>24.35</v>
      </c>
      <c r="DB105" s="228">
        <v>-1.19</v>
      </c>
      <c r="DC105" s="228">
        <v>-1.19</v>
      </c>
      <c r="DD105" s="228">
        <v>34.380000000000003</v>
      </c>
      <c r="DE105" s="228">
        <v>34.409999999999997</v>
      </c>
      <c r="DF105" s="228">
        <v>-11.22</v>
      </c>
      <c r="DG105" s="228">
        <v>-0.03</v>
      </c>
      <c r="DH105" s="228">
        <v>23.63</v>
      </c>
      <c r="DI105" s="228">
        <v>25</v>
      </c>
      <c r="DJ105" s="228">
        <v>-1.37</v>
      </c>
      <c r="DK105" s="228">
        <v>-1.37</v>
      </c>
      <c r="DL105" s="228">
        <v>22.43</v>
      </c>
      <c r="DM105" s="228">
        <v>23.17</v>
      </c>
      <c r="DN105" s="228">
        <v>-0.74</v>
      </c>
      <c r="DO105" s="228">
        <v>-0.74</v>
      </c>
      <c r="DP105" s="228">
        <v>0.62</v>
      </c>
      <c r="DQ105" s="228">
        <v>0.6</v>
      </c>
      <c r="DR105" s="228">
        <v>0.02</v>
      </c>
      <c r="DS105" s="229">
        <v>3.3300000000000003E-2</v>
      </c>
      <c r="DT105" s="231">
        <v>1100</v>
      </c>
      <c r="DU105" s="231">
        <v>1000</v>
      </c>
      <c r="DV105" s="228">
        <v>0.65</v>
      </c>
      <c r="DW105" s="228">
        <v>0.55000000000000004</v>
      </c>
      <c r="DX105" s="228">
        <v>0.1</v>
      </c>
      <c r="DY105" s="229">
        <v>0.18179999999999999</v>
      </c>
      <c r="DZ105" s="229">
        <v>4.5199999999999997E-2</v>
      </c>
      <c r="EA105" s="230">
        <v>344375</v>
      </c>
      <c r="EB105" s="229">
        <v>6.1000000000000004E-3</v>
      </c>
      <c r="EC105" s="229">
        <v>4.5199999999999997E-2</v>
      </c>
      <c r="ED105" s="228">
        <v>4.13</v>
      </c>
      <c r="EE105" s="229">
        <v>4.1999999999999997E-3</v>
      </c>
      <c r="EF105" s="230">
        <v>1635855</v>
      </c>
      <c r="EG105" s="230">
        <v>255410</v>
      </c>
      <c r="EH105" s="229">
        <v>5.4047999999999998</v>
      </c>
      <c r="EI105" s="229">
        <v>0.60599999999999998</v>
      </c>
      <c r="EJ105" s="231">
        <v>88762.67</v>
      </c>
      <c r="EK105" s="231">
        <v>55435.66</v>
      </c>
      <c r="EL105" s="231">
        <v>36572.370000000003</v>
      </c>
      <c r="EM105" s="231">
        <v>2896</v>
      </c>
      <c r="EN105" s="231">
        <v>180770.7</v>
      </c>
      <c r="EO105" s="231">
        <v>84077.97</v>
      </c>
      <c r="EP105" s="231">
        <v>96692.73</v>
      </c>
      <c r="EQ105" s="229">
        <v>1.1499999999999999</v>
      </c>
      <c r="ER105" s="231">
        <v>64806</v>
      </c>
      <c r="ES105" s="231">
        <v>37156</v>
      </c>
      <c r="ET105" s="231">
        <v>131585</v>
      </c>
      <c r="EU105" s="231">
        <v>54776702</v>
      </c>
      <c r="EV105" s="231">
        <v>233546</v>
      </c>
      <c r="EW105" s="231">
        <v>224504</v>
      </c>
      <c r="EX105" s="231">
        <v>9042</v>
      </c>
      <c r="EY105" s="229">
        <v>4.0300000000000002E-2</v>
      </c>
      <c r="EZ105" s="229">
        <v>0.4224</v>
      </c>
      <c r="FA105" s="227" t="s">
        <v>567</v>
      </c>
      <c r="FB105" s="161">
        <f t="shared" si="1"/>
        <v>601875</v>
      </c>
    </row>
    <row r="106" spans="1:158" ht="17.25" hidden="1" thickBot="1" x14ac:dyDescent="0.3">
      <c r="A106" s="226">
        <v>46009</v>
      </c>
      <c r="B106" s="227" t="s">
        <v>175</v>
      </c>
      <c r="C106" s="227" t="s">
        <v>570</v>
      </c>
      <c r="D106" s="228">
        <v>2350</v>
      </c>
      <c r="E106" s="228">
        <v>292.89999999999998</v>
      </c>
      <c r="F106" s="228">
        <v>293.7</v>
      </c>
      <c r="G106" s="228">
        <v>-0.8</v>
      </c>
      <c r="H106" s="229">
        <v>-2.7000000000000001E-3</v>
      </c>
      <c r="I106" s="228">
        <v>292.3</v>
      </c>
      <c r="J106" s="228">
        <v>293.14999999999998</v>
      </c>
      <c r="K106" s="228">
        <v>-0.85</v>
      </c>
      <c r="L106" s="229">
        <v>-2.8999999999999998E-3</v>
      </c>
      <c r="M106" s="228">
        <v>292.89999999999998</v>
      </c>
      <c r="N106" s="228">
        <v>293.7</v>
      </c>
      <c r="O106" s="228">
        <v>-0.8</v>
      </c>
      <c r="P106" s="229">
        <v>-2.7000000000000001E-3</v>
      </c>
      <c r="Q106" s="228">
        <v>294.8</v>
      </c>
      <c r="R106" s="228">
        <v>295.60000000000002</v>
      </c>
      <c r="S106" s="228">
        <v>-0.8</v>
      </c>
      <c r="T106" s="229">
        <v>-2.7000000000000001E-3</v>
      </c>
      <c r="U106" s="228">
        <v>296.55</v>
      </c>
      <c r="V106" s="228">
        <v>297.25</v>
      </c>
      <c r="W106" s="228">
        <v>-0.7</v>
      </c>
      <c r="X106" s="229">
        <v>-2.3999999999999998E-3</v>
      </c>
      <c r="Y106" s="228">
        <v>0.6</v>
      </c>
      <c r="Z106" s="228">
        <v>0.55000000000000004</v>
      </c>
      <c r="AA106" s="228">
        <v>0.05</v>
      </c>
      <c r="AB106" s="229">
        <v>2.0999999999999999E-3</v>
      </c>
      <c r="AC106" s="228">
        <v>0.6</v>
      </c>
      <c r="AD106" s="228">
        <v>0.55000000000000004</v>
      </c>
      <c r="AE106" s="228">
        <v>0.05</v>
      </c>
      <c r="AF106" s="229">
        <v>2.0999999999999999E-3</v>
      </c>
      <c r="AG106" s="228">
        <v>2.5</v>
      </c>
      <c r="AH106" s="228">
        <v>2.4500000000000002</v>
      </c>
      <c r="AI106" s="228">
        <v>0.05</v>
      </c>
      <c r="AJ106" s="229">
        <v>8.6E-3</v>
      </c>
      <c r="AK106" s="228">
        <v>4.25</v>
      </c>
      <c r="AL106" s="228">
        <v>4.0999999999999996</v>
      </c>
      <c r="AM106" s="228">
        <v>0.15</v>
      </c>
      <c r="AN106" s="229">
        <v>1.4500000000000001E-2</v>
      </c>
      <c r="AO106" s="228">
        <v>292.25</v>
      </c>
      <c r="AP106" s="228">
        <v>294.01</v>
      </c>
      <c r="AQ106" s="228">
        <v>0</v>
      </c>
      <c r="AR106" s="230">
        <v>16680300</v>
      </c>
      <c r="AS106" s="230">
        <v>9244900</v>
      </c>
      <c r="AT106" s="230">
        <v>7435400</v>
      </c>
      <c r="AU106" s="229">
        <v>0.80430000000000001</v>
      </c>
      <c r="AV106" s="230">
        <v>10906350</v>
      </c>
      <c r="AW106" s="230">
        <v>6901950</v>
      </c>
      <c r="AX106" s="230">
        <v>4004400</v>
      </c>
      <c r="AY106" s="229">
        <v>0.58020000000000005</v>
      </c>
      <c r="AZ106" s="230">
        <v>5496650</v>
      </c>
      <c r="BA106" s="230">
        <v>2117350</v>
      </c>
      <c r="BB106" s="230">
        <v>3379300</v>
      </c>
      <c r="BC106" s="229">
        <v>1.5960000000000001</v>
      </c>
      <c r="BD106" s="230">
        <v>277300</v>
      </c>
      <c r="BE106" s="230">
        <v>225600</v>
      </c>
      <c r="BF106" s="230">
        <v>51700</v>
      </c>
      <c r="BG106" s="229">
        <v>0.22919999999999999</v>
      </c>
      <c r="BH106" s="230">
        <v>42866350</v>
      </c>
      <c r="BI106" s="230">
        <v>37153500</v>
      </c>
      <c r="BJ106" s="230">
        <v>5712850</v>
      </c>
      <c r="BK106" s="229">
        <v>0.15379999999999999</v>
      </c>
      <c r="BL106" s="230">
        <v>15991750</v>
      </c>
      <c r="BM106" s="230">
        <v>13209350</v>
      </c>
      <c r="BN106" s="230">
        <v>2782400</v>
      </c>
      <c r="BO106" s="229">
        <v>0.21060000000000001</v>
      </c>
      <c r="BP106" s="230">
        <v>75538400</v>
      </c>
      <c r="BQ106" s="230">
        <v>59607750</v>
      </c>
      <c r="BR106" s="230">
        <v>15930650</v>
      </c>
      <c r="BS106" s="229">
        <v>0.26729999999999998</v>
      </c>
      <c r="BT106" s="230">
        <v>7092906</v>
      </c>
      <c r="BU106" s="230">
        <v>6139430</v>
      </c>
      <c r="BV106" s="230">
        <v>953476</v>
      </c>
      <c r="BW106" s="229">
        <v>0.15529999999999999</v>
      </c>
      <c r="BX106" s="230">
        <v>160234750</v>
      </c>
      <c r="BY106" s="230">
        <v>159313550</v>
      </c>
      <c r="BZ106" s="230">
        <v>921200</v>
      </c>
      <c r="CA106" s="229">
        <v>5.7999999999999996E-3</v>
      </c>
      <c r="CB106" s="230">
        <v>132293250</v>
      </c>
      <c r="CC106" s="230">
        <v>135597350</v>
      </c>
      <c r="CD106" s="230">
        <v>-3304100</v>
      </c>
      <c r="CE106" s="229">
        <v>-2.4400000000000002E-2</v>
      </c>
      <c r="CF106" s="230">
        <v>24844200</v>
      </c>
      <c r="CG106" s="230">
        <v>20757550</v>
      </c>
      <c r="CH106" s="230">
        <v>4086650</v>
      </c>
      <c r="CI106" s="229">
        <v>0.19689999999999999</v>
      </c>
      <c r="CJ106" s="230">
        <v>3097300</v>
      </c>
      <c r="CK106" s="230">
        <v>2958650</v>
      </c>
      <c r="CL106" s="230">
        <v>138650</v>
      </c>
      <c r="CM106" s="229">
        <v>4.6899999999999997E-2</v>
      </c>
      <c r="CN106" s="230">
        <v>70006500</v>
      </c>
      <c r="CO106" s="230">
        <v>68631750</v>
      </c>
      <c r="CP106" s="230">
        <v>1374750</v>
      </c>
      <c r="CQ106" s="229">
        <v>0.02</v>
      </c>
      <c r="CR106" s="230">
        <v>48381800</v>
      </c>
      <c r="CS106" s="230">
        <v>46675700</v>
      </c>
      <c r="CT106" s="230">
        <v>1706100</v>
      </c>
      <c r="CU106" s="229">
        <v>3.6600000000000001E-2</v>
      </c>
      <c r="CV106" s="230">
        <v>278623050</v>
      </c>
      <c r="CW106" s="230">
        <v>274621000</v>
      </c>
      <c r="CX106" s="230">
        <v>4002050</v>
      </c>
      <c r="CY106" s="229">
        <v>1.46E-2</v>
      </c>
      <c r="CZ106" s="228">
        <v>23.12</v>
      </c>
      <c r="DA106" s="228">
        <v>23.08</v>
      </c>
      <c r="DB106" s="228">
        <v>0.04</v>
      </c>
      <c r="DC106" s="228">
        <v>0.04</v>
      </c>
      <c r="DD106" s="228">
        <v>33.97</v>
      </c>
      <c r="DE106" s="228">
        <v>34.049999999999997</v>
      </c>
      <c r="DF106" s="228">
        <v>-10.85</v>
      </c>
      <c r="DG106" s="228">
        <v>-0.08</v>
      </c>
      <c r="DH106" s="228">
        <v>23.79</v>
      </c>
      <c r="DI106" s="228">
        <v>23.74</v>
      </c>
      <c r="DJ106" s="228">
        <v>0.05</v>
      </c>
      <c r="DK106" s="228">
        <v>0.05</v>
      </c>
      <c r="DL106" s="228">
        <v>21.31</v>
      </c>
      <c r="DM106" s="228">
        <v>21.23</v>
      </c>
      <c r="DN106" s="228">
        <v>0.08</v>
      </c>
      <c r="DO106" s="228">
        <v>0.08</v>
      </c>
      <c r="DP106" s="228">
        <v>0.69</v>
      </c>
      <c r="DQ106" s="228">
        <v>0.68</v>
      </c>
      <c r="DR106" s="228">
        <v>0.01</v>
      </c>
      <c r="DS106" s="229">
        <v>1.47E-2</v>
      </c>
      <c r="DT106" s="228">
        <v>310</v>
      </c>
      <c r="DU106" s="228">
        <v>300</v>
      </c>
      <c r="DV106" s="228">
        <v>0.37</v>
      </c>
      <c r="DW106" s="228">
        <v>0.36</v>
      </c>
      <c r="DX106" s="228">
        <v>0.01</v>
      </c>
      <c r="DY106" s="229">
        <v>2.7799999999999998E-2</v>
      </c>
      <c r="DZ106" s="229">
        <v>0.1744</v>
      </c>
      <c r="EA106" s="230">
        <v>23716200</v>
      </c>
      <c r="EB106" s="229">
        <v>6.4999999999999997E-3</v>
      </c>
      <c r="EC106" s="229">
        <v>0.1744</v>
      </c>
      <c r="ED106" s="228">
        <v>1.76</v>
      </c>
      <c r="EE106" s="229">
        <v>6.0000000000000001E-3</v>
      </c>
      <c r="EF106" s="230">
        <v>3111724</v>
      </c>
      <c r="EG106" s="230">
        <v>3095553</v>
      </c>
      <c r="EH106" s="229">
        <v>5.1999999999999998E-3</v>
      </c>
      <c r="EI106" s="229">
        <v>0.43869999999999998</v>
      </c>
      <c r="EJ106" s="231">
        <v>132164.1</v>
      </c>
      <c r="EK106" s="231">
        <v>46404.22</v>
      </c>
      <c r="EL106" s="231">
        <v>48855.79</v>
      </c>
      <c r="EM106" s="231">
        <v>5852</v>
      </c>
      <c r="EN106" s="231">
        <v>227424.11</v>
      </c>
      <c r="EO106" s="231">
        <v>181350.13</v>
      </c>
      <c r="EP106" s="231">
        <v>46073.98</v>
      </c>
      <c r="EQ106" s="229">
        <v>0.25409999999999999</v>
      </c>
      <c r="ER106" s="231">
        <v>219729</v>
      </c>
      <c r="ES106" s="231">
        <v>145702</v>
      </c>
      <c r="ET106" s="231">
        <v>469913</v>
      </c>
      <c r="EU106" s="231">
        <v>446457456</v>
      </c>
      <c r="EV106" s="231">
        <v>835343</v>
      </c>
      <c r="EW106" s="231">
        <v>825234</v>
      </c>
      <c r="EX106" s="231">
        <v>10109</v>
      </c>
      <c r="EY106" s="229">
        <v>1.2200000000000001E-2</v>
      </c>
      <c r="EZ106" s="229">
        <v>0.62409999999999999</v>
      </c>
      <c r="FA106" s="227" t="s">
        <v>567</v>
      </c>
      <c r="FB106" s="161">
        <f t="shared" si="1"/>
        <v>27941500</v>
      </c>
    </row>
    <row r="107" spans="1:158" ht="17.25" hidden="1" thickBot="1" x14ac:dyDescent="0.3">
      <c r="A107" s="226">
        <v>46009</v>
      </c>
      <c r="B107" s="227" t="s">
        <v>161</v>
      </c>
      <c r="C107" s="227" t="s">
        <v>580</v>
      </c>
      <c r="D107" s="228">
        <v>1000</v>
      </c>
      <c r="E107" s="228">
        <v>472.35</v>
      </c>
      <c r="F107" s="228">
        <v>475.8</v>
      </c>
      <c r="G107" s="228">
        <v>-3.45</v>
      </c>
      <c r="H107" s="229">
        <v>-7.3000000000000001E-3</v>
      </c>
      <c r="I107" s="228">
        <v>472</v>
      </c>
      <c r="J107" s="228">
        <v>475.25</v>
      </c>
      <c r="K107" s="228">
        <v>-3.25</v>
      </c>
      <c r="L107" s="229">
        <v>-6.7999999999999996E-3</v>
      </c>
      <c r="M107" s="228">
        <v>472.35</v>
      </c>
      <c r="N107" s="228">
        <v>475.8</v>
      </c>
      <c r="O107" s="228">
        <v>-3.45</v>
      </c>
      <c r="P107" s="229">
        <v>-7.3000000000000001E-3</v>
      </c>
      <c r="Q107" s="228">
        <v>475.3</v>
      </c>
      <c r="R107" s="228">
        <v>478.35</v>
      </c>
      <c r="S107" s="228">
        <v>-3.05</v>
      </c>
      <c r="T107" s="229">
        <v>-6.4000000000000003E-3</v>
      </c>
      <c r="U107" s="228">
        <v>477.65</v>
      </c>
      <c r="V107" s="228">
        <v>480</v>
      </c>
      <c r="W107" s="228">
        <v>-2.35</v>
      </c>
      <c r="X107" s="229">
        <v>-4.8999999999999998E-3</v>
      </c>
      <c r="Y107" s="228">
        <v>0.35</v>
      </c>
      <c r="Z107" s="228">
        <v>0.55000000000000004</v>
      </c>
      <c r="AA107" s="228">
        <v>-0.2</v>
      </c>
      <c r="AB107" s="229">
        <v>6.9999999999999999E-4</v>
      </c>
      <c r="AC107" s="228">
        <v>0.35</v>
      </c>
      <c r="AD107" s="228">
        <v>0.55000000000000004</v>
      </c>
      <c r="AE107" s="228">
        <v>-0.2</v>
      </c>
      <c r="AF107" s="229">
        <v>6.9999999999999999E-4</v>
      </c>
      <c r="AG107" s="228">
        <v>3.3</v>
      </c>
      <c r="AH107" s="228">
        <v>3.1</v>
      </c>
      <c r="AI107" s="228">
        <v>0.2</v>
      </c>
      <c r="AJ107" s="229">
        <v>7.0000000000000001E-3</v>
      </c>
      <c r="AK107" s="228">
        <v>5.65</v>
      </c>
      <c r="AL107" s="228">
        <v>4.75</v>
      </c>
      <c r="AM107" s="228">
        <v>0.9</v>
      </c>
      <c r="AN107" s="229">
        <v>1.2E-2</v>
      </c>
      <c r="AO107" s="228">
        <v>471.34</v>
      </c>
      <c r="AP107" s="228">
        <v>474.4</v>
      </c>
      <c r="AQ107" s="228">
        <v>0</v>
      </c>
      <c r="AR107" s="230">
        <v>3424000</v>
      </c>
      <c r="AS107" s="230">
        <v>3439000</v>
      </c>
      <c r="AT107" s="230">
        <v>-15000</v>
      </c>
      <c r="AU107" s="229">
        <v>-4.4000000000000003E-3</v>
      </c>
      <c r="AV107" s="230">
        <v>2998000</v>
      </c>
      <c r="AW107" s="230">
        <v>2901000</v>
      </c>
      <c r="AX107" s="230">
        <v>97000</v>
      </c>
      <c r="AY107" s="229">
        <v>3.3399999999999999E-2</v>
      </c>
      <c r="AZ107" s="230">
        <v>415000</v>
      </c>
      <c r="BA107" s="230">
        <v>529000</v>
      </c>
      <c r="BB107" s="230">
        <v>-114000</v>
      </c>
      <c r="BC107" s="229">
        <v>-0.2155</v>
      </c>
      <c r="BD107" s="230">
        <v>11000</v>
      </c>
      <c r="BE107" s="230">
        <v>9000</v>
      </c>
      <c r="BF107" s="230">
        <v>2000</v>
      </c>
      <c r="BG107" s="229">
        <v>0.22220000000000001</v>
      </c>
      <c r="BH107" s="230">
        <v>8795000</v>
      </c>
      <c r="BI107" s="230">
        <v>9747000</v>
      </c>
      <c r="BJ107" s="230">
        <v>-952000</v>
      </c>
      <c r="BK107" s="229">
        <v>-9.7699999999999995E-2</v>
      </c>
      <c r="BL107" s="230">
        <v>5749000</v>
      </c>
      <c r="BM107" s="230">
        <v>5873000</v>
      </c>
      <c r="BN107" s="230">
        <v>-124000</v>
      </c>
      <c r="BO107" s="229">
        <v>-2.1100000000000001E-2</v>
      </c>
      <c r="BP107" s="230">
        <v>17968000</v>
      </c>
      <c r="BQ107" s="230">
        <v>19059000</v>
      </c>
      <c r="BR107" s="230">
        <v>-1091000</v>
      </c>
      <c r="BS107" s="229">
        <v>-5.7200000000000001E-2</v>
      </c>
      <c r="BT107" s="230">
        <v>2086209</v>
      </c>
      <c r="BU107" s="230">
        <v>1917031</v>
      </c>
      <c r="BV107" s="230">
        <v>169178</v>
      </c>
      <c r="BW107" s="229">
        <v>8.8300000000000003E-2</v>
      </c>
      <c r="BX107" s="230">
        <v>46041000</v>
      </c>
      <c r="BY107" s="230">
        <v>46778000</v>
      </c>
      <c r="BZ107" s="230">
        <v>-737000</v>
      </c>
      <c r="CA107" s="229">
        <v>-1.5800000000000002E-2</v>
      </c>
      <c r="CB107" s="230">
        <v>43655000</v>
      </c>
      <c r="CC107" s="230">
        <v>44596000</v>
      </c>
      <c r="CD107" s="230">
        <v>-941000</v>
      </c>
      <c r="CE107" s="229">
        <v>-2.1100000000000001E-2</v>
      </c>
      <c r="CF107" s="230">
        <v>2204000</v>
      </c>
      <c r="CG107" s="230">
        <v>2002000</v>
      </c>
      <c r="CH107" s="230">
        <v>202000</v>
      </c>
      <c r="CI107" s="229">
        <v>0.1009</v>
      </c>
      <c r="CJ107" s="230">
        <v>182000</v>
      </c>
      <c r="CK107" s="230">
        <v>180000</v>
      </c>
      <c r="CL107" s="230">
        <v>2000</v>
      </c>
      <c r="CM107" s="229">
        <v>1.11E-2</v>
      </c>
      <c r="CN107" s="230">
        <v>15780000</v>
      </c>
      <c r="CO107" s="230">
        <v>15713000</v>
      </c>
      <c r="CP107" s="230">
        <v>67000</v>
      </c>
      <c r="CQ107" s="229">
        <v>4.3E-3</v>
      </c>
      <c r="CR107" s="230">
        <v>10271000</v>
      </c>
      <c r="CS107" s="230">
        <v>10722000</v>
      </c>
      <c r="CT107" s="230">
        <v>-451000</v>
      </c>
      <c r="CU107" s="229">
        <v>-4.2099999999999999E-2</v>
      </c>
      <c r="CV107" s="230">
        <v>72092000</v>
      </c>
      <c r="CW107" s="230">
        <v>73213000</v>
      </c>
      <c r="CX107" s="230">
        <v>-1121000</v>
      </c>
      <c r="CY107" s="229">
        <v>-1.5299999999999999E-2</v>
      </c>
      <c r="CZ107" s="228">
        <v>27.18</v>
      </c>
      <c r="DA107" s="228">
        <v>28.17</v>
      </c>
      <c r="DB107" s="228">
        <v>-0.99</v>
      </c>
      <c r="DC107" s="228">
        <v>-0.99</v>
      </c>
      <c r="DD107" s="228">
        <v>43</v>
      </c>
      <c r="DE107" s="228">
        <v>43.09</v>
      </c>
      <c r="DF107" s="228">
        <v>-15.82</v>
      </c>
      <c r="DG107" s="228">
        <v>-0.09</v>
      </c>
      <c r="DH107" s="228">
        <v>27.67</v>
      </c>
      <c r="DI107" s="228">
        <v>28.84</v>
      </c>
      <c r="DJ107" s="228">
        <v>-1.17</v>
      </c>
      <c r="DK107" s="228">
        <v>-1.17</v>
      </c>
      <c r="DL107" s="228">
        <v>26.44</v>
      </c>
      <c r="DM107" s="228">
        <v>27.05</v>
      </c>
      <c r="DN107" s="228">
        <v>-0.61</v>
      </c>
      <c r="DO107" s="228">
        <v>-0.61</v>
      </c>
      <c r="DP107" s="228">
        <v>0.65</v>
      </c>
      <c r="DQ107" s="228">
        <v>0.68</v>
      </c>
      <c r="DR107" s="228">
        <v>-0.03</v>
      </c>
      <c r="DS107" s="229">
        <v>-4.41E-2</v>
      </c>
      <c r="DT107" s="228">
        <v>500</v>
      </c>
      <c r="DU107" s="228">
        <v>450</v>
      </c>
      <c r="DV107" s="228">
        <v>0.65</v>
      </c>
      <c r="DW107" s="228">
        <v>0.6</v>
      </c>
      <c r="DX107" s="228">
        <v>0.05</v>
      </c>
      <c r="DY107" s="229">
        <v>8.3299999999999999E-2</v>
      </c>
      <c r="DZ107" s="229">
        <v>5.1799999999999999E-2</v>
      </c>
      <c r="EA107" s="230">
        <v>2182000</v>
      </c>
      <c r="EB107" s="229">
        <v>6.1999999999999998E-3</v>
      </c>
      <c r="EC107" s="229">
        <v>5.1799999999999999E-2</v>
      </c>
      <c r="ED107" s="228">
        <v>3.06</v>
      </c>
      <c r="EE107" s="229">
        <v>6.4999999999999997E-3</v>
      </c>
      <c r="EF107" s="230">
        <v>1169591</v>
      </c>
      <c r="EG107" s="230">
        <v>871885</v>
      </c>
      <c r="EH107" s="229">
        <v>0.34150000000000003</v>
      </c>
      <c r="EI107" s="229">
        <v>0.56059999999999999</v>
      </c>
      <c r="EJ107" s="231">
        <v>43637.68</v>
      </c>
      <c r="EK107" s="231">
        <v>26553.02</v>
      </c>
      <c r="EL107" s="231">
        <v>16152</v>
      </c>
      <c r="EM107" s="231">
        <v>7455</v>
      </c>
      <c r="EN107" s="231">
        <v>86342.7</v>
      </c>
      <c r="EO107" s="231">
        <v>93035.85</v>
      </c>
      <c r="EP107" s="231">
        <v>-6693.15</v>
      </c>
      <c r="EQ107" s="229">
        <v>-7.1900000000000006E-2</v>
      </c>
      <c r="ER107" s="231">
        <v>79651</v>
      </c>
      <c r="ES107" s="231">
        <v>49182</v>
      </c>
      <c r="ET107" s="231">
        <v>217549</v>
      </c>
      <c r="EU107" s="231">
        <v>80203755</v>
      </c>
      <c r="EV107" s="231">
        <v>346383</v>
      </c>
      <c r="EW107" s="231">
        <v>353421</v>
      </c>
      <c r="EX107" s="231">
        <v>-7038</v>
      </c>
      <c r="EY107" s="229">
        <v>-1.9900000000000001E-2</v>
      </c>
      <c r="EZ107" s="229">
        <v>0.89890000000000003</v>
      </c>
      <c r="FA107" s="227" t="s">
        <v>568</v>
      </c>
      <c r="FB107" s="161">
        <f t="shared" si="1"/>
        <v>2386000</v>
      </c>
    </row>
    <row r="108" spans="1:158" ht="17.25" hidden="1" thickBot="1" x14ac:dyDescent="0.3">
      <c r="A108" s="226">
        <v>46009</v>
      </c>
      <c r="B108" s="227" t="s">
        <v>227</v>
      </c>
      <c r="C108" s="227" t="s">
        <v>244</v>
      </c>
      <c r="D108" s="228">
        <v>675</v>
      </c>
      <c r="E108" s="231">
        <v>1084</v>
      </c>
      <c r="F108" s="231">
        <v>1083.2</v>
      </c>
      <c r="G108" s="228">
        <v>0.8</v>
      </c>
      <c r="H108" s="229">
        <v>6.9999999999999999E-4</v>
      </c>
      <c r="I108" s="231">
        <v>1082.2</v>
      </c>
      <c r="J108" s="231">
        <v>1079.3</v>
      </c>
      <c r="K108" s="228">
        <v>2.9</v>
      </c>
      <c r="L108" s="229">
        <v>2.7000000000000001E-3</v>
      </c>
      <c r="M108" s="231">
        <v>1084</v>
      </c>
      <c r="N108" s="231">
        <v>1083.2</v>
      </c>
      <c r="O108" s="228">
        <v>0.8</v>
      </c>
      <c r="P108" s="229">
        <v>6.9999999999999999E-4</v>
      </c>
      <c r="Q108" s="231">
        <v>1091.3</v>
      </c>
      <c r="R108" s="231">
        <v>1089.0999999999999</v>
      </c>
      <c r="S108" s="228">
        <v>2.2000000000000002</v>
      </c>
      <c r="T108" s="229">
        <v>2E-3</v>
      </c>
      <c r="U108" s="231">
        <v>1096.5</v>
      </c>
      <c r="V108" s="231">
        <v>1095.7</v>
      </c>
      <c r="W108" s="228">
        <v>0.8</v>
      </c>
      <c r="X108" s="229">
        <v>6.9999999999999999E-4</v>
      </c>
      <c r="Y108" s="228">
        <v>1.8</v>
      </c>
      <c r="Z108" s="228">
        <v>3.9</v>
      </c>
      <c r="AA108" s="228">
        <v>-2.1</v>
      </c>
      <c r="AB108" s="229">
        <v>1.6999999999999999E-3</v>
      </c>
      <c r="AC108" s="228">
        <v>1.8</v>
      </c>
      <c r="AD108" s="228">
        <v>3.9</v>
      </c>
      <c r="AE108" s="228">
        <v>-2.1</v>
      </c>
      <c r="AF108" s="229">
        <v>1.6999999999999999E-3</v>
      </c>
      <c r="AG108" s="228">
        <v>9.1</v>
      </c>
      <c r="AH108" s="228">
        <v>9.8000000000000007</v>
      </c>
      <c r="AI108" s="228">
        <v>-0.7</v>
      </c>
      <c r="AJ108" s="229">
        <v>8.3999999999999995E-3</v>
      </c>
      <c r="AK108" s="228">
        <v>14.3</v>
      </c>
      <c r="AL108" s="228">
        <v>16.399999999999999</v>
      </c>
      <c r="AM108" s="228">
        <v>-2.1</v>
      </c>
      <c r="AN108" s="229">
        <v>1.32E-2</v>
      </c>
      <c r="AO108" s="231">
        <v>1084.8599999999999</v>
      </c>
      <c r="AP108" s="231">
        <v>1091.8499999999999</v>
      </c>
      <c r="AQ108" s="228">
        <v>0</v>
      </c>
      <c r="AR108" s="230">
        <v>5049000</v>
      </c>
      <c r="AS108" s="230">
        <v>3385125</v>
      </c>
      <c r="AT108" s="230">
        <v>1663875</v>
      </c>
      <c r="AU108" s="229">
        <v>0.49149999999999999</v>
      </c>
      <c r="AV108" s="230">
        <v>3714525</v>
      </c>
      <c r="AW108" s="230">
        <v>2814075</v>
      </c>
      <c r="AX108" s="230">
        <v>900450</v>
      </c>
      <c r="AY108" s="229">
        <v>0.32</v>
      </c>
      <c r="AZ108" s="230">
        <v>1314225</v>
      </c>
      <c r="BA108" s="230">
        <v>560250</v>
      </c>
      <c r="BB108" s="230">
        <v>753975</v>
      </c>
      <c r="BC108" s="229">
        <v>1.3458000000000001</v>
      </c>
      <c r="BD108" s="230">
        <v>20250</v>
      </c>
      <c r="BE108" s="230">
        <v>10800</v>
      </c>
      <c r="BF108" s="230">
        <v>9450</v>
      </c>
      <c r="BG108" s="229">
        <v>0.875</v>
      </c>
      <c r="BH108" s="230">
        <v>16671825</v>
      </c>
      <c r="BI108" s="230">
        <v>13807800</v>
      </c>
      <c r="BJ108" s="230">
        <v>2864025</v>
      </c>
      <c r="BK108" s="229">
        <v>0.2074</v>
      </c>
      <c r="BL108" s="230">
        <v>6720975</v>
      </c>
      <c r="BM108" s="230">
        <v>5138100</v>
      </c>
      <c r="BN108" s="230">
        <v>1582875</v>
      </c>
      <c r="BO108" s="229">
        <v>0.30809999999999998</v>
      </c>
      <c r="BP108" s="230">
        <v>28441800</v>
      </c>
      <c r="BQ108" s="230">
        <v>22331025</v>
      </c>
      <c r="BR108" s="230">
        <v>6110775</v>
      </c>
      <c r="BS108" s="229">
        <v>0.27360000000000001</v>
      </c>
      <c r="BT108" s="230">
        <v>1372660</v>
      </c>
      <c r="BU108" s="230">
        <v>1804059</v>
      </c>
      <c r="BV108" s="230">
        <v>-431399</v>
      </c>
      <c r="BW108" s="229">
        <v>-0.23910000000000001</v>
      </c>
      <c r="BX108" s="230">
        <v>49729950</v>
      </c>
      <c r="BY108" s="230">
        <v>49486950</v>
      </c>
      <c r="BZ108" s="230">
        <v>243000</v>
      </c>
      <c r="CA108" s="229">
        <v>4.8999999999999998E-3</v>
      </c>
      <c r="CB108" s="230">
        <v>46311075</v>
      </c>
      <c r="CC108" s="230">
        <v>46975950</v>
      </c>
      <c r="CD108" s="230">
        <v>-664875</v>
      </c>
      <c r="CE108" s="229">
        <v>-1.4200000000000001E-2</v>
      </c>
      <c r="CF108" s="230">
        <v>3228525</v>
      </c>
      <c r="CG108" s="230">
        <v>2333475</v>
      </c>
      <c r="CH108" s="230">
        <v>895050</v>
      </c>
      <c r="CI108" s="229">
        <v>0.3836</v>
      </c>
      <c r="CJ108" s="230">
        <v>190350</v>
      </c>
      <c r="CK108" s="230">
        <v>177525</v>
      </c>
      <c r="CL108" s="230">
        <v>12825</v>
      </c>
      <c r="CM108" s="229">
        <v>7.22E-2</v>
      </c>
      <c r="CN108" s="230">
        <v>20084625</v>
      </c>
      <c r="CO108" s="230">
        <v>20433600</v>
      </c>
      <c r="CP108" s="230">
        <v>-348975</v>
      </c>
      <c r="CQ108" s="229">
        <v>-1.7100000000000001E-2</v>
      </c>
      <c r="CR108" s="230">
        <v>10537425</v>
      </c>
      <c r="CS108" s="230">
        <v>10351800</v>
      </c>
      <c r="CT108" s="230">
        <v>185625</v>
      </c>
      <c r="CU108" s="229">
        <v>1.7899999999999999E-2</v>
      </c>
      <c r="CV108" s="230">
        <v>80352000</v>
      </c>
      <c r="CW108" s="230">
        <v>80272350</v>
      </c>
      <c r="CX108" s="230">
        <v>79650</v>
      </c>
      <c r="CY108" s="229">
        <v>1E-3</v>
      </c>
      <c r="CZ108" s="228">
        <v>22.03</v>
      </c>
      <c r="DA108" s="228">
        <v>23.24</v>
      </c>
      <c r="DB108" s="228">
        <v>-1.21</v>
      </c>
      <c r="DC108" s="228">
        <v>-1.21</v>
      </c>
      <c r="DD108" s="228">
        <v>29.29</v>
      </c>
      <c r="DE108" s="228">
        <v>29.36</v>
      </c>
      <c r="DF108" s="228">
        <v>-7.26</v>
      </c>
      <c r="DG108" s="228">
        <v>-7.0000000000000007E-2</v>
      </c>
      <c r="DH108" s="228">
        <v>22.51</v>
      </c>
      <c r="DI108" s="228">
        <v>23.88</v>
      </c>
      <c r="DJ108" s="228">
        <v>-1.37</v>
      </c>
      <c r="DK108" s="228">
        <v>-1.37</v>
      </c>
      <c r="DL108" s="228">
        <v>20.83</v>
      </c>
      <c r="DM108" s="228">
        <v>21.54</v>
      </c>
      <c r="DN108" s="228">
        <v>-0.71</v>
      </c>
      <c r="DO108" s="228">
        <v>-0.71</v>
      </c>
      <c r="DP108" s="228">
        <v>0.52</v>
      </c>
      <c r="DQ108" s="228">
        <v>0.51</v>
      </c>
      <c r="DR108" s="228">
        <v>0.01</v>
      </c>
      <c r="DS108" s="229">
        <v>1.9599999999999999E-2</v>
      </c>
      <c r="DT108" s="231">
        <v>1200</v>
      </c>
      <c r="DU108" s="231">
        <v>1000</v>
      </c>
      <c r="DV108" s="228">
        <v>0.4</v>
      </c>
      <c r="DW108" s="228">
        <v>0.37</v>
      </c>
      <c r="DX108" s="228">
        <v>0.03</v>
      </c>
      <c r="DY108" s="229">
        <v>8.1100000000000005E-2</v>
      </c>
      <c r="DZ108" s="229">
        <v>6.8699999999999997E-2</v>
      </c>
      <c r="EA108" s="230">
        <v>2511000</v>
      </c>
      <c r="EB108" s="229">
        <v>6.7000000000000002E-3</v>
      </c>
      <c r="EC108" s="229">
        <v>6.8699999999999997E-2</v>
      </c>
      <c r="ED108" s="228">
        <v>6.99</v>
      </c>
      <c r="EE108" s="229">
        <v>6.4000000000000003E-3</v>
      </c>
      <c r="EF108" s="230">
        <v>720128</v>
      </c>
      <c r="EG108" s="230">
        <v>1052171</v>
      </c>
      <c r="EH108" s="229">
        <v>-0.31559999999999999</v>
      </c>
      <c r="EI108" s="229">
        <v>0.52459999999999996</v>
      </c>
      <c r="EJ108" s="231">
        <v>189716.61</v>
      </c>
      <c r="EK108" s="231">
        <v>72707.149999999994</v>
      </c>
      <c r="EL108" s="231">
        <v>54869.21</v>
      </c>
      <c r="EM108" s="231">
        <v>5639</v>
      </c>
      <c r="EN108" s="231">
        <v>317292.96999999997</v>
      </c>
      <c r="EO108" s="231">
        <v>250458.05</v>
      </c>
      <c r="EP108" s="231">
        <v>66834.92</v>
      </c>
      <c r="EQ108" s="229">
        <v>0.26690000000000003</v>
      </c>
      <c r="ER108" s="231">
        <v>236000</v>
      </c>
      <c r="ES108" s="231">
        <v>114211</v>
      </c>
      <c r="ET108" s="231">
        <v>539332</v>
      </c>
      <c r="EU108" s="231">
        <v>133166619</v>
      </c>
      <c r="EV108" s="231">
        <v>889544</v>
      </c>
      <c r="EW108" s="231">
        <v>889324</v>
      </c>
      <c r="EX108" s="228">
        <v>220</v>
      </c>
      <c r="EY108" s="229">
        <v>2.0000000000000001E-4</v>
      </c>
      <c r="EZ108" s="229">
        <v>0.60340000000000005</v>
      </c>
      <c r="FA108" s="227" t="s">
        <v>555</v>
      </c>
      <c r="FB108" s="161">
        <f t="shared" si="1"/>
        <v>3418875</v>
      </c>
    </row>
    <row r="109" spans="1:158" ht="17.25" hidden="1" thickBot="1" x14ac:dyDescent="0.3">
      <c r="A109" s="226">
        <v>46009</v>
      </c>
      <c r="B109" s="227" t="s">
        <v>168</v>
      </c>
      <c r="C109" s="227" t="s">
        <v>245</v>
      </c>
      <c r="D109" s="228">
        <v>1250</v>
      </c>
      <c r="E109" s="228">
        <v>559</v>
      </c>
      <c r="F109" s="228">
        <v>554.70000000000005</v>
      </c>
      <c r="G109" s="228">
        <v>4.3</v>
      </c>
      <c r="H109" s="229">
        <v>7.7999999999999996E-3</v>
      </c>
      <c r="I109" s="228">
        <v>558.70000000000005</v>
      </c>
      <c r="J109" s="228">
        <v>554.04999999999995</v>
      </c>
      <c r="K109" s="228">
        <v>4.6500000000000004</v>
      </c>
      <c r="L109" s="229">
        <v>8.3999999999999995E-3</v>
      </c>
      <c r="M109" s="228">
        <v>559</v>
      </c>
      <c r="N109" s="228">
        <v>554.70000000000005</v>
      </c>
      <c r="O109" s="228">
        <v>4.3</v>
      </c>
      <c r="P109" s="229">
        <v>7.7999999999999996E-3</v>
      </c>
      <c r="Q109" s="228">
        <v>562.35</v>
      </c>
      <c r="R109" s="228">
        <v>557.79999999999995</v>
      </c>
      <c r="S109" s="228">
        <v>4.55</v>
      </c>
      <c r="T109" s="229">
        <v>8.2000000000000007E-3</v>
      </c>
      <c r="U109" s="228">
        <v>562</v>
      </c>
      <c r="V109" s="228">
        <v>561.15</v>
      </c>
      <c r="W109" s="228">
        <v>0.85</v>
      </c>
      <c r="X109" s="229">
        <v>1.5E-3</v>
      </c>
      <c r="Y109" s="228">
        <v>0.3</v>
      </c>
      <c r="Z109" s="228">
        <v>0.65</v>
      </c>
      <c r="AA109" s="228">
        <v>-0.35</v>
      </c>
      <c r="AB109" s="229">
        <v>5.0000000000000001E-4</v>
      </c>
      <c r="AC109" s="228">
        <v>0.3</v>
      </c>
      <c r="AD109" s="228">
        <v>0.65</v>
      </c>
      <c r="AE109" s="228">
        <v>-0.35</v>
      </c>
      <c r="AF109" s="229">
        <v>5.0000000000000001E-4</v>
      </c>
      <c r="AG109" s="228">
        <v>3.65</v>
      </c>
      <c r="AH109" s="228">
        <v>3.75</v>
      </c>
      <c r="AI109" s="228">
        <v>-0.1</v>
      </c>
      <c r="AJ109" s="229">
        <v>6.4999999999999997E-3</v>
      </c>
      <c r="AK109" s="228">
        <v>3.3</v>
      </c>
      <c r="AL109" s="228">
        <v>7.1</v>
      </c>
      <c r="AM109" s="228">
        <v>-3.8</v>
      </c>
      <c r="AN109" s="229">
        <v>5.8999999999999999E-3</v>
      </c>
      <c r="AO109" s="228">
        <v>558.22</v>
      </c>
      <c r="AP109" s="228">
        <v>561.45000000000005</v>
      </c>
      <c r="AQ109" s="228">
        <v>0</v>
      </c>
      <c r="AR109" s="230">
        <v>3658750</v>
      </c>
      <c r="AS109" s="230">
        <v>4928750</v>
      </c>
      <c r="AT109" s="230">
        <v>-1270000</v>
      </c>
      <c r="AU109" s="229">
        <v>-0.25769999999999998</v>
      </c>
      <c r="AV109" s="230">
        <v>3001250</v>
      </c>
      <c r="AW109" s="230">
        <v>3836250</v>
      </c>
      <c r="AX109" s="230">
        <v>-835000</v>
      </c>
      <c r="AY109" s="229">
        <v>-0.2177</v>
      </c>
      <c r="AZ109" s="230">
        <v>622500</v>
      </c>
      <c r="BA109" s="230">
        <v>983750</v>
      </c>
      <c r="BB109" s="230">
        <v>-361250</v>
      </c>
      <c r="BC109" s="229">
        <v>-0.36720000000000003</v>
      </c>
      <c r="BD109" s="230">
        <v>35000</v>
      </c>
      <c r="BE109" s="230">
        <v>108750</v>
      </c>
      <c r="BF109" s="230">
        <v>-73750</v>
      </c>
      <c r="BG109" s="229">
        <v>-0.67820000000000003</v>
      </c>
      <c r="BH109" s="230">
        <v>9957500</v>
      </c>
      <c r="BI109" s="230">
        <v>13562500</v>
      </c>
      <c r="BJ109" s="230">
        <v>-3605000</v>
      </c>
      <c r="BK109" s="229">
        <v>-0.26579999999999998</v>
      </c>
      <c r="BL109" s="230">
        <v>5436250</v>
      </c>
      <c r="BM109" s="230">
        <v>8573750</v>
      </c>
      <c r="BN109" s="230">
        <v>-3137500</v>
      </c>
      <c r="BO109" s="229">
        <v>-0.3659</v>
      </c>
      <c r="BP109" s="230">
        <v>19052500</v>
      </c>
      <c r="BQ109" s="230">
        <v>27065000</v>
      </c>
      <c r="BR109" s="230">
        <v>-8012500</v>
      </c>
      <c r="BS109" s="229">
        <v>-0.29599999999999999</v>
      </c>
      <c r="BT109" s="230">
        <v>1273717</v>
      </c>
      <c r="BU109" s="230">
        <v>1592150</v>
      </c>
      <c r="BV109" s="230">
        <v>-318433</v>
      </c>
      <c r="BW109" s="229">
        <v>-0.2</v>
      </c>
      <c r="BX109" s="230">
        <v>22183750</v>
      </c>
      <c r="BY109" s="230">
        <v>22225000</v>
      </c>
      <c r="BZ109" s="230">
        <v>-41250</v>
      </c>
      <c r="CA109" s="229">
        <v>-1.9E-3</v>
      </c>
      <c r="CB109" s="230">
        <v>19538750</v>
      </c>
      <c r="CC109" s="230">
        <v>19737500</v>
      </c>
      <c r="CD109" s="230">
        <v>-198750</v>
      </c>
      <c r="CE109" s="229">
        <v>-1.01E-2</v>
      </c>
      <c r="CF109" s="230">
        <v>2400000</v>
      </c>
      <c r="CG109" s="230">
        <v>2253750</v>
      </c>
      <c r="CH109" s="230">
        <v>146250</v>
      </c>
      <c r="CI109" s="229">
        <v>6.4899999999999999E-2</v>
      </c>
      <c r="CJ109" s="230">
        <v>245000</v>
      </c>
      <c r="CK109" s="230">
        <v>233750</v>
      </c>
      <c r="CL109" s="230">
        <v>11250</v>
      </c>
      <c r="CM109" s="229">
        <v>4.8099999999999997E-2</v>
      </c>
      <c r="CN109" s="230">
        <v>13881250</v>
      </c>
      <c r="CO109" s="230">
        <v>14525000</v>
      </c>
      <c r="CP109" s="230">
        <v>-643750</v>
      </c>
      <c r="CQ109" s="229">
        <v>-4.4299999999999999E-2</v>
      </c>
      <c r="CR109" s="230">
        <v>8322500</v>
      </c>
      <c r="CS109" s="230">
        <v>8148750</v>
      </c>
      <c r="CT109" s="230">
        <v>173750</v>
      </c>
      <c r="CU109" s="229">
        <v>2.1299999999999999E-2</v>
      </c>
      <c r="CV109" s="230">
        <v>44387500</v>
      </c>
      <c r="CW109" s="230">
        <v>44898750</v>
      </c>
      <c r="CX109" s="230">
        <v>-511250</v>
      </c>
      <c r="CY109" s="229">
        <v>-1.14E-2</v>
      </c>
      <c r="CZ109" s="228">
        <v>24.78</v>
      </c>
      <c r="DA109" s="228">
        <v>26.83</v>
      </c>
      <c r="DB109" s="228">
        <v>-2.0499999999999998</v>
      </c>
      <c r="DC109" s="228">
        <v>-2.0499999999999998</v>
      </c>
      <c r="DD109" s="228">
        <v>33.76</v>
      </c>
      <c r="DE109" s="228">
        <v>33.82</v>
      </c>
      <c r="DF109" s="228">
        <v>-8.98</v>
      </c>
      <c r="DG109" s="228">
        <v>-0.06</v>
      </c>
      <c r="DH109" s="228">
        <v>25.13</v>
      </c>
      <c r="DI109" s="228">
        <v>27.24</v>
      </c>
      <c r="DJ109" s="228">
        <v>-2.11</v>
      </c>
      <c r="DK109" s="228">
        <v>-2.11</v>
      </c>
      <c r="DL109" s="228">
        <v>24.14</v>
      </c>
      <c r="DM109" s="228">
        <v>26.18</v>
      </c>
      <c r="DN109" s="228">
        <v>-2.04</v>
      </c>
      <c r="DO109" s="228">
        <v>-2.04</v>
      </c>
      <c r="DP109" s="228">
        <v>0.6</v>
      </c>
      <c r="DQ109" s="228">
        <v>0.56000000000000005</v>
      </c>
      <c r="DR109" s="228">
        <v>0.04</v>
      </c>
      <c r="DS109" s="229">
        <v>7.1400000000000005E-2</v>
      </c>
      <c r="DT109" s="228">
        <v>600</v>
      </c>
      <c r="DU109" s="228">
        <v>550</v>
      </c>
      <c r="DV109" s="228">
        <v>0.55000000000000004</v>
      </c>
      <c r="DW109" s="228">
        <v>0.63</v>
      </c>
      <c r="DX109" s="228">
        <v>-0.08</v>
      </c>
      <c r="DY109" s="229">
        <v>-0.127</v>
      </c>
      <c r="DZ109" s="229">
        <v>0.1192</v>
      </c>
      <c r="EA109" s="230">
        <v>2487500</v>
      </c>
      <c r="EB109" s="229">
        <v>6.0000000000000001E-3</v>
      </c>
      <c r="EC109" s="229">
        <v>0.1192</v>
      </c>
      <c r="ED109" s="228">
        <v>3.23</v>
      </c>
      <c r="EE109" s="229">
        <v>5.7999999999999996E-3</v>
      </c>
      <c r="EF109" s="230">
        <v>604747</v>
      </c>
      <c r="EG109" s="230">
        <v>688380</v>
      </c>
      <c r="EH109" s="229">
        <v>-0.1215</v>
      </c>
      <c r="EI109" s="229">
        <v>0.4748</v>
      </c>
      <c r="EJ109" s="231">
        <v>58386.46</v>
      </c>
      <c r="EK109" s="231">
        <v>30368.71</v>
      </c>
      <c r="EL109" s="231">
        <v>20446.03</v>
      </c>
      <c r="EM109" s="231">
        <v>5008</v>
      </c>
      <c r="EN109" s="231">
        <v>109201.2</v>
      </c>
      <c r="EO109" s="231">
        <v>154918.73000000001</v>
      </c>
      <c r="EP109" s="231">
        <v>-45717.53</v>
      </c>
      <c r="EQ109" s="229">
        <v>-0.29509999999999997</v>
      </c>
      <c r="ER109" s="231">
        <v>84116</v>
      </c>
      <c r="ES109" s="231">
        <v>46706</v>
      </c>
      <c r="ET109" s="231">
        <v>124095</v>
      </c>
      <c r="EU109" s="231">
        <v>48884739</v>
      </c>
      <c r="EV109" s="231">
        <v>254918</v>
      </c>
      <c r="EW109" s="231">
        <v>257035</v>
      </c>
      <c r="EX109" s="231">
        <v>-2117</v>
      </c>
      <c r="EY109" s="229">
        <v>-8.2000000000000007E-3</v>
      </c>
      <c r="EZ109" s="229">
        <v>0.90800000000000003</v>
      </c>
      <c r="FA109" s="227" t="s">
        <v>556</v>
      </c>
      <c r="FB109" s="161">
        <f t="shared" si="1"/>
        <v>2645000</v>
      </c>
    </row>
    <row r="110" spans="1:158" ht="17.25" hidden="1" thickBot="1" x14ac:dyDescent="0.3">
      <c r="A110" s="226">
        <v>46009</v>
      </c>
      <c r="B110" s="227" t="s">
        <v>168</v>
      </c>
      <c r="C110" s="227" t="s">
        <v>582</v>
      </c>
      <c r="D110" s="228">
        <v>1175</v>
      </c>
      <c r="E110" s="228">
        <v>471.9</v>
      </c>
      <c r="F110" s="228">
        <v>475.3</v>
      </c>
      <c r="G110" s="228">
        <v>-3.4</v>
      </c>
      <c r="H110" s="229">
        <v>-7.1999999999999998E-3</v>
      </c>
      <c r="I110" s="228">
        <v>470.85</v>
      </c>
      <c r="J110" s="228">
        <v>474.85</v>
      </c>
      <c r="K110" s="228">
        <v>-4</v>
      </c>
      <c r="L110" s="229">
        <v>-8.3999999999999995E-3</v>
      </c>
      <c r="M110" s="228">
        <v>471.9</v>
      </c>
      <c r="N110" s="228">
        <v>475.3</v>
      </c>
      <c r="O110" s="228">
        <v>-3.4</v>
      </c>
      <c r="P110" s="229">
        <v>-7.1999999999999998E-3</v>
      </c>
      <c r="Q110" s="228">
        <v>474.95</v>
      </c>
      <c r="R110" s="228">
        <v>478.65</v>
      </c>
      <c r="S110" s="228">
        <v>-3.7</v>
      </c>
      <c r="T110" s="229">
        <v>-7.7000000000000002E-3</v>
      </c>
      <c r="U110" s="228">
        <v>477.35</v>
      </c>
      <c r="V110" s="228">
        <v>481.05</v>
      </c>
      <c r="W110" s="228">
        <v>-3.7</v>
      </c>
      <c r="X110" s="229">
        <v>-7.7000000000000002E-3</v>
      </c>
      <c r="Y110" s="228">
        <v>1.05</v>
      </c>
      <c r="Z110" s="228">
        <v>0.45</v>
      </c>
      <c r="AA110" s="228">
        <v>0.6</v>
      </c>
      <c r="AB110" s="229">
        <v>2.2000000000000001E-3</v>
      </c>
      <c r="AC110" s="228">
        <v>1.05</v>
      </c>
      <c r="AD110" s="228">
        <v>0.45</v>
      </c>
      <c r="AE110" s="228">
        <v>0.6</v>
      </c>
      <c r="AF110" s="229">
        <v>2.2000000000000001E-3</v>
      </c>
      <c r="AG110" s="228">
        <v>4.0999999999999996</v>
      </c>
      <c r="AH110" s="228">
        <v>3.8</v>
      </c>
      <c r="AI110" s="228">
        <v>0.3</v>
      </c>
      <c r="AJ110" s="229">
        <v>8.6999999999999994E-3</v>
      </c>
      <c r="AK110" s="228">
        <v>6.5</v>
      </c>
      <c r="AL110" s="228">
        <v>6.2</v>
      </c>
      <c r="AM110" s="228">
        <v>0.3</v>
      </c>
      <c r="AN110" s="229">
        <v>1.38E-2</v>
      </c>
      <c r="AO110" s="228">
        <v>471.47</v>
      </c>
      <c r="AP110" s="228">
        <v>474.19</v>
      </c>
      <c r="AQ110" s="228">
        <v>0</v>
      </c>
      <c r="AR110" s="230">
        <v>1749575</v>
      </c>
      <c r="AS110" s="230">
        <v>3983250</v>
      </c>
      <c r="AT110" s="230">
        <v>-2233675</v>
      </c>
      <c r="AU110" s="229">
        <v>-0.56079999999999997</v>
      </c>
      <c r="AV110" s="230">
        <v>1446425</v>
      </c>
      <c r="AW110" s="230">
        <v>3415725</v>
      </c>
      <c r="AX110" s="230">
        <v>-1969300</v>
      </c>
      <c r="AY110" s="229">
        <v>-0.57650000000000001</v>
      </c>
      <c r="AZ110" s="230">
        <v>276125</v>
      </c>
      <c r="BA110" s="230">
        <v>511125</v>
      </c>
      <c r="BB110" s="230">
        <v>-235000</v>
      </c>
      <c r="BC110" s="229">
        <v>-0.45979999999999999</v>
      </c>
      <c r="BD110" s="230">
        <v>27025</v>
      </c>
      <c r="BE110" s="230">
        <v>56400</v>
      </c>
      <c r="BF110" s="230">
        <v>-29375</v>
      </c>
      <c r="BG110" s="229">
        <v>-0.52080000000000004</v>
      </c>
      <c r="BH110" s="230">
        <v>8718500</v>
      </c>
      <c r="BI110" s="230">
        <v>9995725</v>
      </c>
      <c r="BJ110" s="230">
        <v>-1277225</v>
      </c>
      <c r="BK110" s="229">
        <v>-0.1278</v>
      </c>
      <c r="BL110" s="230">
        <v>2651975</v>
      </c>
      <c r="BM110" s="230">
        <v>5469625</v>
      </c>
      <c r="BN110" s="230">
        <v>-2817650</v>
      </c>
      <c r="BO110" s="229">
        <v>-0.5151</v>
      </c>
      <c r="BP110" s="230">
        <v>13120050</v>
      </c>
      <c r="BQ110" s="230">
        <v>19448600</v>
      </c>
      <c r="BR110" s="230">
        <v>-6328550</v>
      </c>
      <c r="BS110" s="229">
        <v>-0.32540000000000002</v>
      </c>
      <c r="BT110" s="230">
        <v>2491153</v>
      </c>
      <c r="BU110" s="230">
        <v>2786083</v>
      </c>
      <c r="BV110" s="230">
        <v>-294930</v>
      </c>
      <c r="BW110" s="229">
        <v>-0.10589999999999999</v>
      </c>
      <c r="BX110" s="230">
        <v>34076175</v>
      </c>
      <c r="BY110" s="230">
        <v>33984525</v>
      </c>
      <c r="BZ110" s="230">
        <v>91650</v>
      </c>
      <c r="CA110" s="229">
        <v>2.7000000000000001E-3</v>
      </c>
      <c r="CB110" s="230">
        <v>32607425</v>
      </c>
      <c r="CC110" s="230">
        <v>32572175</v>
      </c>
      <c r="CD110" s="230">
        <v>35250</v>
      </c>
      <c r="CE110" s="229">
        <v>1.1000000000000001E-3</v>
      </c>
      <c r="CF110" s="230">
        <v>1296025</v>
      </c>
      <c r="CG110" s="230">
        <v>1250200</v>
      </c>
      <c r="CH110" s="230">
        <v>45825</v>
      </c>
      <c r="CI110" s="229">
        <v>3.6700000000000003E-2</v>
      </c>
      <c r="CJ110" s="230">
        <v>172725</v>
      </c>
      <c r="CK110" s="230">
        <v>162150</v>
      </c>
      <c r="CL110" s="230">
        <v>10575</v>
      </c>
      <c r="CM110" s="229">
        <v>6.5199999999999994E-2</v>
      </c>
      <c r="CN110" s="230">
        <v>11785250</v>
      </c>
      <c r="CO110" s="230">
        <v>11475050</v>
      </c>
      <c r="CP110" s="230">
        <v>310200</v>
      </c>
      <c r="CQ110" s="229">
        <v>2.7E-2</v>
      </c>
      <c r="CR110" s="230">
        <v>6450750</v>
      </c>
      <c r="CS110" s="230">
        <v>6319150</v>
      </c>
      <c r="CT110" s="230">
        <v>131600</v>
      </c>
      <c r="CU110" s="229">
        <v>2.0799999999999999E-2</v>
      </c>
      <c r="CV110" s="230">
        <v>52312175</v>
      </c>
      <c r="CW110" s="230">
        <v>51778725</v>
      </c>
      <c r="CX110" s="230">
        <v>533450</v>
      </c>
      <c r="CY110" s="229">
        <v>1.03E-2</v>
      </c>
      <c r="CZ110" s="228">
        <v>28.04</v>
      </c>
      <c r="DA110" s="228">
        <v>30.15</v>
      </c>
      <c r="DB110" s="228">
        <v>-2.11</v>
      </c>
      <c r="DC110" s="228">
        <v>-2.11</v>
      </c>
      <c r="DD110" s="228">
        <v>48.02</v>
      </c>
      <c r="DE110" s="228">
        <v>48.12</v>
      </c>
      <c r="DF110" s="228">
        <v>-19.98</v>
      </c>
      <c r="DG110" s="228">
        <v>-0.1</v>
      </c>
      <c r="DH110" s="228">
        <v>28.42</v>
      </c>
      <c r="DI110" s="228">
        <v>30.81</v>
      </c>
      <c r="DJ110" s="228">
        <v>-2.39</v>
      </c>
      <c r="DK110" s="228">
        <v>-2.39</v>
      </c>
      <c r="DL110" s="228">
        <v>26.8</v>
      </c>
      <c r="DM110" s="228">
        <v>28.94</v>
      </c>
      <c r="DN110" s="228">
        <v>-2.14</v>
      </c>
      <c r="DO110" s="228">
        <v>-2.14</v>
      </c>
      <c r="DP110" s="228">
        <v>0.55000000000000004</v>
      </c>
      <c r="DQ110" s="228">
        <v>0.55000000000000004</v>
      </c>
      <c r="DR110" s="228">
        <v>0</v>
      </c>
      <c r="DS110" s="229">
        <v>0</v>
      </c>
      <c r="DT110" s="228">
        <v>500</v>
      </c>
      <c r="DU110" s="228">
        <v>470</v>
      </c>
      <c r="DV110" s="228">
        <v>0.3</v>
      </c>
      <c r="DW110" s="228">
        <v>0.55000000000000004</v>
      </c>
      <c r="DX110" s="228">
        <v>-0.25</v>
      </c>
      <c r="DY110" s="229">
        <v>-0.45450000000000002</v>
      </c>
      <c r="DZ110" s="229">
        <v>4.3099999999999999E-2</v>
      </c>
      <c r="EA110" s="230">
        <v>1412350</v>
      </c>
      <c r="EB110" s="229">
        <v>6.4999999999999997E-3</v>
      </c>
      <c r="EC110" s="229">
        <v>4.3099999999999999E-2</v>
      </c>
      <c r="ED110" s="228">
        <v>2.72</v>
      </c>
      <c r="EE110" s="229">
        <v>5.7999999999999996E-3</v>
      </c>
      <c r="EF110" s="230">
        <v>1210633</v>
      </c>
      <c r="EG110" s="230">
        <v>1216852</v>
      </c>
      <c r="EH110" s="229">
        <v>-5.1000000000000004E-3</v>
      </c>
      <c r="EI110" s="229">
        <v>0.48599999999999999</v>
      </c>
      <c r="EJ110" s="231">
        <v>43201.760000000002</v>
      </c>
      <c r="EK110" s="231">
        <v>12483.55</v>
      </c>
      <c r="EL110" s="231">
        <v>8257.76</v>
      </c>
      <c r="EM110" s="231">
        <v>2563</v>
      </c>
      <c r="EN110" s="231">
        <v>63943.07</v>
      </c>
      <c r="EO110" s="231">
        <v>94542.57</v>
      </c>
      <c r="EP110" s="231">
        <v>-30599.5</v>
      </c>
      <c r="EQ110" s="229">
        <v>-0.32369999999999999</v>
      </c>
      <c r="ER110" s="231">
        <v>60039</v>
      </c>
      <c r="ES110" s="231">
        <v>30105</v>
      </c>
      <c r="ET110" s="231">
        <v>160854</v>
      </c>
      <c r="EU110" s="231">
        <v>57552009</v>
      </c>
      <c r="EV110" s="231">
        <v>250998</v>
      </c>
      <c r="EW110" s="231">
        <v>249696</v>
      </c>
      <c r="EX110" s="231">
        <v>1302</v>
      </c>
      <c r="EY110" s="229">
        <v>5.1999999999999998E-3</v>
      </c>
      <c r="EZ110" s="229">
        <v>0.90900000000000003</v>
      </c>
      <c r="FA110" s="227" t="s">
        <v>567</v>
      </c>
      <c r="FB110" s="161">
        <f t="shared" si="1"/>
        <v>1468750</v>
      </c>
    </row>
    <row r="111" spans="1:158" ht="17.25" hidden="1" thickBot="1" x14ac:dyDescent="0.3">
      <c r="A111" s="226">
        <v>46009</v>
      </c>
      <c r="B111" s="227" t="s">
        <v>184</v>
      </c>
      <c r="C111" s="227" t="s">
        <v>677</v>
      </c>
      <c r="D111" s="228">
        <v>100</v>
      </c>
      <c r="E111" s="231">
        <v>4048</v>
      </c>
      <c r="F111" s="231">
        <v>4098.5</v>
      </c>
      <c r="G111" s="228">
        <v>-50.5</v>
      </c>
      <c r="H111" s="229">
        <v>-1.23E-2</v>
      </c>
      <c r="I111" s="231">
        <v>4046.5</v>
      </c>
      <c r="J111" s="231">
        <v>4093.5</v>
      </c>
      <c r="K111" s="228">
        <v>-47</v>
      </c>
      <c r="L111" s="229">
        <v>-1.15E-2</v>
      </c>
      <c r="M111" s="231">
        <v>4048</v>
      </c>
      <c r="N111" s="231">
        <v>4098.5</v>
      </c>
      <c r="O111" s="228">
        <v>-50.5</v>
      </c>
      <c r="P111" s="229">
        <v>-1.23E-2</v>
      </c>
      <c r="Q111" s="231">
        <v>4071</v>
      </c>
      <c r="R111" s="231">
        <v>4114.5</v>
      </c>
      <c r="S111" s="228">
        <v>-43.5</v>
      </c>
      <c r="T111" s="229">
        <v>-1.06E-2</v>
      </c>
      <c r="U111" s="231">
        <v>4092.5</v>
      </c>
      <c r="V111" s="231">
        <v>4145</v>
      </c>
      <c r="W111" s="228">
        <v>-52.5</v>
      </c>
      <c r="X111" s="229">
        <v>-1.2699999999999999E-2</v>
      </c>
      <c r="Y111" s="228">
        <v>1.5</v>
      </c>
      <c r="Z111" s="228">
        <v>5</v>
      </c>
      <c r="AA111" s="228">
        <v>-3.5</v>
      </c>
      <c r="AB111" s="229">
        <v>4.0000000000000002E-4</v>
      </c>
      <c r="AC111" s="228">
        <v>1.5</v>
      </c>
      <c r="AD111" s="228">
        <v>5</v>
      </c>
      <c r="AE111" s="228">
        <v>-3.5</v>
      </c>
      <c r="AF111" s="229">
        <v>4.0000000000000002E-4</v>
      </c>
      <c r="AG111" s="228">
        <v>24.5</v>
      </c>
      <c r="AH111" s="228">
        <v>21</v>
      </c>
      <c r="AI111" s="228">
        <v>3.5</v>
      </c>
      <c r="AJ111" s="229">
        <v>6.1000000000000004E-3</v>
      </c>
      <c r="AK111" s="228">
        <v>46</v>
      </c>
      <c r="AL111" s="228">
        <v>51.5</v>
      </c>
      <c r="AM111" s="228">
        <v>-5.5</v>
      </c>
      <c r="AN111" s="229">
        <v>1.14E-2</v>
      </c>
      <c r="AO111" s="231">
        <v>4065.59</v>
      </c>
      <c r="AP111" s="231">
        <v>4085.55</v>
      </c>
      <c r="AQ111" s="228">
        <v>0</v>
      </c>
      <c r="AR111" s="230">
        <v>1193900</v>
      </c>
      <c r="AS111" s="230">
        <v>1303100</v>
      </c>
      <c r="AT111" s="230">
        <v>-109200</v>
      </c>
      <c r="AU111" s="229">
        <v>-8.3799999999999999E-2</v>
      </c>
      <c r="AV111" s="230">
        <v>997700</v>
      </c>
      <c r="AW111" s="230">
        <v>1114800</v>
      </c>
      <c r="AX111" s="230">
        <v>-117100</v>
      </c>
      <c r="AY111" s="229">
        <v>-0.105</v>
      </c>
      <c r="AZ111" s="230">
        <v>183000</v>
      </c>
      <c r="BA111" s="230">
        <v>176300</v>
      </c>
      <c r="BB111" s="230">
        <v>6700</v>
      </c>
      <c r="BC111" s="229">
        <v>3.7999999999999999E-2</v>
      </c>
      <c r="BD111" s="230">
        <v>13200</v>
      </c>
      <c r="BE111" s="230">
        <v>12000</v>
      </c>
      <c r="BF111" s="230">
        <v>1200</v>
      </c>
      <c r="BG111" s="229">
        <v>0.1</v>
      </c>
      <c r="BH111" s="230">
        <v>10814800</v>
      </c>
      <c r="BI111" s="230">
        <v>10252000</v>
      </c>
      <c r="BJ111" s="230">
        <v>562800</v>
      </c>
      <c r="BK111" s="229">
        <v>5.4899999999999997E-2</v>
      </c>
      <c r="BL111" s="230">
        <v>5467900</v>
      </c>
      <c r="BM111" s="230">
        <v>5089300</v>
      </c>
      <c r="BN111" s="230">
        <v>378600</v>
      </c>
      <c r="BO111" s="229">
        <v>7.4399999999999994E-2</v>
      </c>
      <c r="BP111" s="230">
        <v>17476600</v>
      </c>
      <c r="BQ111" s="230">
        <v>16644400</v>
      </c>
      <c r="BR111" s="230">
        <v>832200</v>
      </c>
      <c r="BS111" s="229">
        <v>0.05</v>
      </c>
      <c r="BT111" s="230">
        <v>2489012</v>
      </c>
      <c r="BU111" s="230">
        <v>2863234</v>
      </c>
      <c r="BV111" s="230">
        <v>-374222</v>
      </c>
      <c r="BW111" s="229">
        <v>-0.13070000000000001</v>
      </c>
      <c r="BX111" s="230">
        <v>3691200</v>
      </c>
      <c r="BY111" s="230">
        <v>3817500</v>
      </c>
      <c r="BZ111" s="230">
        <v>-126300</v>
      </c>
      <c r="CA111" s="229">
        <v>-3.3099999999999997E-2</v>
      </c>
      <c r="CB111" s="230">
        <v>3106700</v>
      </c>
      <c r="CC111" s="230">
        <v>3272600</v>
      </c>
      <c r="CD111" s="230">
        <v>-165900</v>
      </c>
      <c r="CE111" s="229">
        <v>-5.0700000000000002E-2</v>
      </c>
      <c r="CF111" s="230">
        <v>482400</v>
      </c>
      <c r="CG111" s="230">
        <v>446900</v>
      </c>
      <c r="CH111" s="230">
        <v>35500</v>
      </c>
      <c r="CI111" s="229">
        <v>7.9399999999999998E-2</v>
      </c>
      <c r="CJ111" s="230">
        <v>102100</v>
      </c>
      <c r="CK111" s="230">
        <v>98000</v>
      </c>
      <c r="CL111" s="230">
        <v>4100</v>
      </c>
      <c r="CM111" s="229">
        <v>4.1799999999999997E-2</v>
      </c>
      <c r="CN111" s="230">
        <v>8229700</v>
      </c>
      <c r="CO111" s="230">
        <v>8352600</v>
      </c>
      <c r="CP111" s="230">
        <v>-122900</v>
      </c>
      <c r="CQ111" s="229">
        <v>-1.47E-2</v>
      </c>
      <c r="CR111" s="230">
        <v>3217800</v>
      </c>
      <c r="CS111" s="230">
        <v>3332900</v>
      </c>
      <c r="CT111" s="230">
        <v>-115100</v>
      </c>
      <c r="CU111" s="229">
        <v>-3.4500000000000003E-2</v>
      </c>
      <c r="CV111" s="230">
        <v>15138700</v>
      </c>
      <c r="CW111" s="230">
        <v>15503000</v>
      </c>
      <c r="CX111" s="230">
        <v>-364300</v>
      </c>
      <c r="CY111" s="229">
        <v>-2.35E-2</v>
      </c>
      <c r="CZ111" s="228">
        <v>55.01</v>
      </c>
      <c r="DA111" s="228">
        <v>56.54</v>
      </c>
      <c r="DB111" s="228">
        <v>-1.53</v>
      </c>
      <c r="DC111" s="228">
        <v>-1.53</v>
      </c>
      <c r="DD111" s="228">
        <v>63.04</v>
      </c>
      <c r="DE111" s="228">
        <v>63.17</v>
      </c>
      <c r="DF111" s="228">
        <v>-8.0299999999999994</v>
      </c>
      <c r="DG111" s="228">
        <v>-0.13</v>
      </c>
      <c r="DH111" s="228">
        <v>53.66</v>
      </c>
      <c r="DI111" s="228">
        <v>54.62</v>
      </c>
      <c r="DJ111" s="228">
        <v>-0.96</v>
      </c>
      <c r="DK111" s="228">
        <v>-0.96</v>
      </c>
      <c r="DL111" s="228">
        <v>57.68</v>
      </c>
      <c r="DM111" s="228">
        <v>60.43</v>
      </c>
      <c r="DN111" s="228">
        <v>-2.75</v>
      </c>
      <c r="DO111" s="228">
        <v>-2.75</v>
      </c>
      <c r="DP111" s="228">
        <v>0.39</v>
      </c>
      <c r="DQ111" s="228">
        <v>0.4</v>
      </c>
      <c r="DR111" s="228">
        <v>-0.01</v>
      </c>
      <c r="DS111" s="229">
        <v>-2.5000000000000001E-2</v>
      </c>
      <c r="DT111" s="231">
        <v>5000</v>
      </c>
      <c r="DU111" s="231">
        <v>4000</v>
      </c>
      <c r="DV111" s="228">
        <v>0.51</v>
      </c>
      <c r="DW111" s="228">
        <v>0.5</v>
      </c>
      <c r="DX111" s="228">
        <v>0.01</v>
      </c>
      <c r="DY111" s="229">
        <v>0.02</v>
      </c>
      <c r="DZ111" s="229">
        <v>0.1583</v>
      </c>
      <c r="EA111" s="230">
        <v>544900</v>
      </c>
      <c r="EB111" s="229">
        <v>5.7000000000000002E-3</v>
      </c>
      <c r="EC111" s="229">
        <v>0.1583</v>
      </c>
      <c r="ED111" s="228">
        <v>19.96</v>
      </c>
      <c r="EE111" s="229">
        <v>4.8999999999999998E-3</v>
      </c>
      <c r="EF111" s="230">
        <v>405444</v>
      </c>
      <c r="EG111" s="230">
        <v>520699</v>
      </c>
      <c r="EH111" s="229">
        <v>-0.2213</v>
      </c>
      <c r="EI111" s="229">
        <v>0.16289999999999999</v>
      </c>
      <c r="EJ111" s="231">
        <v>494338.79</v>
      </c>
      <c r="EK111" s="231">
        <v>215443.25</v>
      </c>
      <c r="EL111" s="231">
        <v>48581.68</v>
      </c>
      <c r="EM111" s="231">
        <v>19359</v>
      </c>
      <c r="EN111" s="231">
        <v>758363.72</v>
      </c>
      <c r="EO111" s="231">
        <v>733315.17</v>
      </c>
      <c r="EP111" s="231">
        <v>25048.55</v>
      </c>
      <c r="EQ111" s="229">
        <v>3.4200000000000001E-2</v>
      </c>
      <c r="ER111" s="231">
        <v>418242</v>
      </c>
      <c r="ES111" s="231">
        <v>140613</v>
      </c>
      <c r="ET111" s="231">
        <v>149576</v>
      </c>
      <c r="EU111" s="231">
        <v>4667784</v>
      </c>
      <c r="EV111" s="231">
        <v>708432</v>
      </c>
      <c r="EW111" s="231">
        <v>729669</v>
      </c>
      <c r="EX111" s="231">
        <v>-21237</v>
      </c>
      <c r="EY111" s="229">
        <v>-2.9100000000000001E-2</v>
      </c>
      <c r="EZ111" s="229">
        <v>3.2431999999999999</v>
      </c>
      <c r="FA111" s="227" t="s">
        <v>568</v>
      </c>
      <c r="FB111" s="161">
        <f t="shared" si="1"/>
        <v>584500</v>
      </c>
    </row>
    <row r="112" spans="1:158" ht="17.25" hidden="1" thickBot="1" x14ac:dyDescent="0.3">
      <c r="A112" s="226">
        <v>46009</v>
      </c>
      <c r="B112" s="227" t="s">
        <v>161</v>
      </c>
      <c r="C112" s="227" t="s">
        <v>610</v>
      </c>
      <c r="D112" s="228">
        <v>175</v>
      </c>
      <c r="E112" s="231">
        <v>4103.5</v>
      </c>
      <c r="F112" s="231">
        <v>4119.8999999999996</v>
      </c>
      <c r="G112" s="228">
        <v>-16.399999999999999</v>
      </c>
      <c r="H112" s="229">
        <v>-4.0000000000000001E-3</v>
      </c>
      <c r="I112" s="231">
        <v>4086.8</v>
      </c>
      <c r="J112" s="231">
        <v>4106.6000000000004</v>
      </c>
      <c r="K112" s="228">
        <v>-19.8</v>
      </c>
      <c r="L112" s="229">
        <v>-4.7999999999999996E-3</v>
      </c>
      <c r="M112" s="231">
        <v>4103.5</v>
      </c>
      <c r="N112" s="231">
        <v>4119.8999999999996</v>
      </c>
      <c r="O112" s="228">
        <v>-16.399999999999999</v>
      </c>
      <c r="P112" s="229">
        <v>-4.0000000000000001E-3</v>
      </c>
      <c r="Q112" s="231">
        <v>4116.6000000000004</v>
      </c>
      <c r="R112" s="231">
        <v>4124</v>
      </c>
      <c r="S112" s="228">
        <v>-7.4</v>
      </c>
      <c r="T112" s="229">
        <v>-1.8E-3</v>
      </c>
      <c r="U112" s="231">
        <v>4181.6000000000004</v>
      </c>
      <c r="V112" s="231">
        <v>4181.6000000000004</v>
      </c>
      <c r="W112" s="228">
        <v>0</v>
      </c>
      <c r="X112" s="229">
        <v>0</v>
      </c>
      <c r="Y112" s="228">
        <v>16.7</v>
      </c>
      <c r="Z112" s="228">
        <v>13.3</v>
      </c>
      <c r="AA112" s="228">
        <v>3.4</v>
      </c>
      <c r="AB112" s="229">
        <v>4.1000000000000003E-3</v>
      </c>
      <c r="AC112" s="228">
        <v>16.7</v>
      </c>
      <c r="AD112" s="228">
        <v>13.3</v>
      </c>
      <c r="AE112" s="228">
        <v>3.4</v>
      </c>
      <c r="AF112" s="229">
        <v>4.1000000000000003E-3</v>
      </c>
      <c r="AG112" s="228">
        <v>29.8</v>
      </c>
      <c r="AH112" s="228">
        <v>17.399999999999999</v>
      </c>
      <c r="AI112" s="228">
        <v>12.4</v>
      </c>
      <c r="AJ112" s="229">
        <v>7.3000000000000001E-3</v>
      </c>
      <c r="AK112" s="228">
        <v>94.8</v>
      </c>
      <c r="AL112" s="228">
        <v>75</v>
      </c>
      <c r="AM112" s="228">
        <v>19.8</v>
      </c>
      <c r="AN112" s="229">
        <v>2.3199999999999998E-2</v>
      </c>
      <c r="AO112" s="231">
        <v>4085.87</v>
      </c>
      <c r="AP112" s="231">
        <v>4103.01</v>
      </c>
      <c r="AQ112" s="228">
        <v>0</v>
      </c>
      <c r="AR112" s="230">
        <v>289275</v>
      </c>
      <c r="AS112" s="230">
        <v>367325</v>
      </c>
      <c r="AT112" s="230">
        <v>-78050</v>
      </c>
      <c r="AU112" s="229">
        <v>-0.21249999999999999</v>
      </c>
      <c r="AV112" s="230">
        <v>250600</v>
      </c>
      <c r="AW112" s="230">
        <v>318150</v>
      </c>
      <c r="AX112" s="230">
        <v>-67550</v>
      </c>
      <c r="AY112" s="229">
        <v>-0.21229999999999999</v>
      </c>
      <c r="AZ112" s="230">
        <v>38675</v>
      </c>
      <c r="BA112" s="230">
        <v>49175</v>
      </c>
      <c r="BB112" s="230">
        <v>-10500</v>
      </c>
      <c r="BC112" s="229">
        <v>-0.2135</v>
      </c>
      <c r="BD112" s="228">
        <v>0</v>
      </c>
      <c r="BE112" s="228">
        <v>0</v>
      </c>
      <c r="BF112" s="228">
        <v>0</v>
      </c>
      <c r="BG112" s="229">
        <v>0</v>
      </c>
      <c r="BH112" s="230">
        <v>558075</v>
      </c>
      <c r="BI112" s="230">
        <v>704200</v>
      </c>
      <c r="BJ112" s="230">
        <v>-146125</v>
      </c>
      <c r="BK112" s="229">
        <v>-0.20749999999999999</v>
      </c>
      <c r="BL112" s="230">
        <v>504525</v>
      </c>
      <c r="BM112" s="230">
        <v>1175300</v>
      </c>
      <c r="BN112" s="230">
        <v>-670775</v>
      </c>
      <c r="BO112" s="229">
        <v>-0.57069999999999999</v>
      </c>
      <c r="BP112" s="230">
        <v>1351875</v>
      </c>
      <c r="BQ112" s="230">
        <v>2246825</v>
      </c>
      <c r="BR112" s="230">
        <v>-894950</v>
      </c>
      <c r="BS112" s="229">
        <v>-0.39829999999999999</v>
      </c>
      <c r="BT112" s="230">
        <v>139100</v>
      </c>
      <c r="BU112" s="230">
        <v>278857</v>
      </c>
      <c r="BV112" s="230">
        <v>-139757</v>
      </c>
      <c r="BW112" s="229">
        <v>-0.50119999999999998</v>
      </c>
      <c r="BX112" s="230">
        <v>1185100</v>
      </c>
      <c r="BY112" s="230">
        <v>1156750</v>
      </c>
      <c r="BZ112" s="230">
        <v>28350</v>
      </c>
      <c r="CA112" s="229">
        <v>2.4500000000000001E-2</v>
      </c>
      <c r="CB112" s="230">
        <v>1072575</v>
      </c>
      <c r="CC112" s="230">
        <v>1055075</v>
      </c>
      <c r="CD112" s="230">
        <v>17500</v>
      </c>
      <c r="CE112" s="229">
        <v>1.66E-2</v>
      </c>
      <c r="CF112" s="230">
        <v>109900</v>
      </c>
      <c r="CG112" s="230">
        <v>99050</v>
      </c>
      <c r="CH112" s="230">
        <v>10850</v>
      </c>
      <c r="CI112" s="229">
        <v>0.1095</v>
      </c>
      <c r="CJ112" s="230">
        <v>2625</v>
      </c>
      <c r="CK112" s="230">
        <v>2625</v>
      </c>
      <c r="CL112" s="228">
        <v>0</v>
      </c>
      <c r="CM112" s="229">
        <v>0</v>
      </c>
      <c r="CN112" s="230">
        <v>662375</v>
      </c>
      <c r="CO112" s="230">
        <v>684425</v>
      </c>
      <c r="CP112" s="230">
        <v>-22050</v>
      </c>
      <c r="CQ112" s="229">
        <v>-3.2199999999999999E-2</v>
      </c>
      <c r="CR112" s="230">
        <v>460600</v>
      </c>
      <c r="CS112" s="230">
        <v>460250</v>
      </c>
      <c r="CT112" s="228">
        <v>350</v>
      </c>
      <c r="CU112" s="229">
        <v>8.0000000000000004E-4</v>
      </c>
      <c r="CV112" s="230">
        <v>2308075</v>
      </c>
      <c r="CW112" s="230">
        <v>2301425</v>
      </c>
      <c r="CX112" s="230">
        <v>6650</v>
      </c>
      <c r="CY112" s="229">
        <v>2.8999999999999998E-3</v>
      </c>
      <c r="CZ112" s="228">
        <v>23.78</v>
      </c>
      <c r="DA112" s="228">
        <v>25.08</v>
      </c>
      <c r="DB112" s="228">
        <v>-1.3</v>
      </c>
      <c r="DC112" s="228">
        <v>-1.3</v>
      </c>
      <c r="DD112" s="228">
        <v>45.59</v>
      </c>
      <c r="DE112" s="228">
        <v>45.7</v>
      </c>
      <c r="DF112" s="228">
        <v>-21.81</v>
      </c>
      <c r="DG112" s="228">
        <v>-0.11</v>
      </c>
      <c r="DH112" s="228">
        <v>23.44</v>
      </c>
      <c r="DI112" s="228">
        <v>24.68</v>
      </c>
      <c r="DJ112" s="228">
        <v>-1.24</v>
      </c>
      <c r="DK112" s="228">
        <v>-1.24</v>
      </c>
      <c r="DL112" s="228">
        <v>24.17</v>
      </c>
      <c r="DM112" s="228">
        <v>25.32</v>
      </c>
      <c r="DN112" s="228">
        <v>-1.1499999999999999</v>
      </c>
      <c r="DO112" s="228">
        <v>-1.1499999999999999</v>
      </c>
      <c r="DP112" s="228">
        <v>0.7</v>
      </c>
      <c r="DQ112" s="228">
        <v>0.67</v>
      </c>
      <c r="DR112" s="228">
        <v>0.03</v>
      </c>
      <c r="DS112" s="229">
        <v>4.48E-2</v>
      </c>
      <c r="DT112" s="231">
        <v>4250</v>
      </c>
      <c r="DU112" s="231">
        <v>3900</v>
      </c>
      <c r="DV112" s="228">
        <v>0.9</v>
      </c>
      <c r="DW112" s="228">
        <v>1.67</v>
      </c>
      <c r="DX112" s="228">
        <v>-0.77</v>
      </c>
      <c r="DY112" s="229">
        <v>-0.46110000000000001</v>
      </c>
      <c r="DZ112" s="229">
        <v>9.4899999999999998E-2</v>
      </c>
      <c r="EA112" s="230">
        <v>101675</v>
      </c>
      <c r="EB112" s="229">
        <v>3.2000000000000002E-3</v>
      </c>
      <c r="EC112" s="229">
        <v>9.4899999999999998E-2</v>
      </c>
      <c r="ED112" s="228">
        <v>17.14</v>
      </c>
      <c r="EE112" s="229">
        <v>4.1999999999999997E-3</v>
      </c>
      <c r="EF112" s="230">
        <v>63872</v>
      </c>
      <c r="EG112" s="230">
        <v>172147</v>
      </c>
      <c r="EH112" s="229">
        <v>-0.629</v>
      </c>
      <c r="EI112" s="229">
        <v>0.4592</v>
      </c>
      <c r="EJ112" s="231">
        <v>23800.54</v>
      </c>
      <c r="EK112" s="231">
        <v>20488.23</v>
      </c>
      <c r="EL112" s="231">
        <v>11826.03</v>
      </c>
      <c r="EM112" s="231">
        <v>1914</v>
      </c>
      <c r="EN112" s="231">
        <v>56114.8</v>
      </c>
      <c r="EO112" s="231">
        <v>92802.28</v>
      </c>
      <c r="EP112" s="231">
        <v>-36687.480000000003</v>
      </c>
      <c r="EQ112" s="229">
        <v>-0.39529999999999998</v>
      </c>
      <c r="ER112" s="231">
        <v>28067</v>
      </c>
      <c r="ES112" s="231">
        <v>18157</v>
      </c>
      <c r="ET112" s="231">
        <v>48647</v>
      </c>
      <c r="EU112" s="231">
        <v>9313740</v>
      </c>
      <c r="EV112" s="231">
        <v>94871</v>
      </c>
      <c r="EW112" s="231">
        <v>94914</v>
      </c>
      <c r="EX112" s="228">
        <v>-43</v>
      </c>
      <c r="EY112" s="229">
        <v>-5.0000000000000001E-4</v>
      </c>
      <c r="EZ112" s="229">
        <v>0.24779999999999999</v>
      </c>
      <c r="FA112" s="227" t="s">
        <v>567</v>
      </c>
      <c r="FB112" s="161">
        <f t="shared" si="1"/>
        <v>112525</v>
      </c>
    </row>
    <row r="113" spans="1:158" ht="17.25" hidden="1" thickBot="1" x14ac:dyDescent="0.3">
      <c r="A113" s="226">
        <v>46009</v>
      </c>
      <c r="B113" s="227" t="s">
        <v>175</v>
      </c>
      <c r="C113" s="227" t="s">
        <v>684</v>
      </c>
      <c r="D113" s="228">
        <v>450</v>
      </c>
      <c r="E113" s="231">
        <v>1073.0999999999999</v>
      </c>
      <c r="F113" s="231">
        <v>1031.4000000000001</v>
      </c>
      <c r="G113" s="228">
        <v>41.7</v>
      </c>
      <c r="H113" s="229">
        <v>4.0399999999999998E-2</v>
      </c>
      <c r="I113" s="231">
        <v>1069</v>
      </c>
      <c r="J113" s="231">
        <v>1031.3</v>
      </c>
      <c r="K113" s="228">
        <v>37.700000000000003</v>
      </c>
      <c r="L113" s="229">
        <v>3.6600000000000001E-2</v>
      </c>
      <c r="M113" s="231">
        <v>1073.0999999999999</v>
      </c>
      <c r="N113" s="231">
        <v>1031.4000000000001</v>
      </c>
      <c r="O113" s="228">
        <v>41.7</v>
      </c>
      <c r="P113" s="229">
        <v>4.0399999999999998E-2</v>
      </c>
      <c r="Q113" s="231">
        <v>1069.5</v>
      </c>
      <c r="R113" s="231">
        <v>1028.3</v>
      </c>
      <c r="S113" s="228">
        <v>41.2</v>
      </c>
      <c r="T113" s="229">
        <v>4.0099999999999997E-2</v>
      </c>
      <c r="U113" s="231">
        <v>1068.5999999999999</v>
      </c>
      <c r="V113" s="231">
        <v>1033.3</v>
      </c>
      <c r="W113" s="228">
        <v>35.299999999999997</v>
      </c>
      <c r="X113" s="229">
        <v>3.4200000000000001E-2</v>
      </c>
      <c r="Y113" s="228">
        <v>4.0999999999999996</v>
      </c>
      <c r="Z113" s="228">
        <v>0.1</v>
      </c>
      <c r="AA113" s="228">
        <v>4</v>
      </c>
      <c r="AB113" s="229">
        <v>3.8E-3</v>
      </c>
      <c r="AC113" s="228">
        <v>4.0999999999999996</v>
      </c>
      <c r="AD113" s="228">
        <v>0.1</v>
      </c>
      <c r="AE113" s="228">
        <v>4</v>
      </c>
      <c r="AF113" s="229">
        <v>3.8E-3</v>
      </c>
      <c r="AG113" s="228">
        <v>0.5</v>
      </c>
      <c r="AH113" s="228">
        <v>-3</v>
      </c>
      <c r="AI113" s="228">
        <v>3.5</v>
      </c>
      <c r="AJ113" s="229">
        <v>5.0000000000000001E-4</v>
      </c>
      <c r="AK113" s="228">
        <v>-0.4</v>
      </c>
      <c r="AL113" s="228">
        <v>2</v>
      </c>
      <c r="AM113" s="228">
        <v>-2.4</v>
      </c>
      <c r="AN113" s="229">
        <v>-4.0000000000000002E-4</v>
      </c>
      <c r="AO113" s="231">
        <v>1057.72</v>
      </c>
      <c r="AP113" s="231">
        <v>1054.45</v>
      </c>
      <c r="AQ113" s="228">
        <v>0</v>
      </c>
      <c r="AR113" s="230">
        <v>2063700</v>
      </c>
      <c r="AS113" s="230">
        <v>616950</v>
      </c>
      <c r="AT113" s="230">
        <v>1446750</v>
      </c>
      <c r="AU113" s="229">
        <v>2.3450000000000002</v>
      </c>
      <c r="AV113" s="230">
        <v>1788750</v>
      </c>
      <c r="AW113" s="230">
        <v>486450</v>
      </c>
      <c r="AX113" s="230">
        <v>1302300</v>
      </c>
      <c r="AY113" s="229">
        <v>2.6772</v>
      </c>
      <c r="AZ113" s="230">
        <v>270450</v>
      </c>
      <c r="BA113" s="230">
        <v>127350</v>
      </c>
      <c r="BB113" s="230">
        <v>143100</v>
      </c>
      <c r="BC113" s="229">
        <v>1.1236999999999999</v>
      </c>
      <c r="BD113" s="230">
        <v>4500</v>
      </c>
      <c r="BE113" s="230">
        <v>3150</v>
      </c>
      <c r="BF113" s="230">
        <v>1350</v>
      </c>
      <c r="BG113" s="229">
        <v>0.42859999999999998</v>
      </c>
      <c r="BH113" s="230">
        <v>5461200</v>
      </c>
      <c r="BI113" s="230">
        <v>1226700</v>
      </c>
      <c r="BJ113" s="230">
        <v>4234500</v>
      </c>
      <c r="BK113" s="229">
        <v>3.4519000000000002</v>
      </c>
      <c r="BL113" s="230">
        <v>2012850</v>
      </c>
      <c r="BM113" s="230">
        <v>579150</v>
      </c>
      <c r="BN113" s="230">
        <v>1433700</v>
      </c>
      <c r="BO113" s="229">
        <v>2.4754999999999998</v>
      </c>
      <c r="BP113" s="230">
        <v>9537750</v>
      </c>
      <c r="BQ113" s="230">
        <v>2422800</v>
      </c>
      <c r="BR113" s="230">
        <v>7114950</v>
      </c>
      <c r="BS113" s="229">
        <v>2.9367000000000001</v>
      </c>
      <c r="BT113" s="230">
        <v>1529657</v>
      </c>
      <c r="BU113" s="230">
        <v>460051</v>
      </c>
      <c r="BV113" s="230">
        <v>1069606</v>
      </c>
      <c r="BW113" s="229">
        <v>2.3250000000000002</v>
      </c>
      <c r="BX113" s="230">
        <v>3513900</v>
      </c>
      <c r="BY113" s="230">
        <v>3680450</v>
      </c>
      <c r="BZ113" s="230">
        <v>-166550</v>
      </c>
      <c r="CA113" s="229">
        <v>-4.53E-2</v>
      </c>
      <c r="CB113" s="230">
        <v>3186900</v>
      </c>
      <c r="CC113" s="230">
        <v>3321450</v>
      </c>
      <c r="CD113" s="230">
        <v>-134550</v>
      </c>
      <c r="CE113" s="229">
        <v>-4.0500000000000001E-2</v>
      </c>
      <c r="CF113" s="230">
        <v>311500</v>
      </c>
      <c r="CG113" s="230">
        <v>341000</v>
      </c>
      <c r="CH113" s="230">
        <v>-29500</v>
      </c>
      <c r="CI113" s="229">
        <v>-8.6499999999999994E-2</v>
      </c>
      <c r="CJ113" s="230">
        <v>15500</v>
      </c>
      <c r="CK113" s="230">
        <v>18000</v>
      </c>
      <c r="CL113" s="230">
        <v>-2500</v>
      </c>
      <c r="CM113" s="229">
        <v>-0.1389</v>
      </c>
      <c r="CN113" s="230">
        <v>2506150</v>
      </c>
      <c r="CO113" s="230">
        <v>2996150</v>
      </c>
      <c r="CP113" s="230">
        <v>-490000</v>
      </c>
      <c r="CQ113" s="229">
        <v>-0.16350000000000001</v>
      </c>
      <c r="CR113" s="230">
        <v>1939950</v>
      </c>
      <c r="CS113" s="230">
        <v>1918700</v>
      </c>
      <c r="CT113" s="230">
        <v>21250</v>
      </c>
      <c r="CU113" s="229">
        <v>1.11E-2</v>
      </c>
      <c r="CV113" s="230">
        <v>7960000</v>
      </c>
      <c r="CW113" s="230">
        <v>8595300</v>
      </c>
      <c r="CX113" s="230">
        <v>-635300</v>
      </c>
      <c r="CY113" s="229">
        <v>-7.3899999999999993E-2</v>
      </c>
      <c r="CZ113" s="228">
        <v>28.29</v>
      </c>
      <c r="DA113" s="228">
        <v>30</v>
      </c>
      <c r="DB113" s="228">
        <v>-1.71</v>
      </c>
      <c r="DC113" s="228">
        <v>-1.71</v>
      </c>
      <c r="DD113" s="228">
        <v>52.94</v>
      </c>
      <c r="DE113" s="228">
        <v>52.8</v>
      </c>
      <c r="DF113" s="228">
        <v>-24.65</v>
      </c>
      <c r="DG113" s="228">
        <v>0.14000000000000001</v>
      </c>
      <c r="DH113" s="228">
        <v>27.76</v>
      </c>
      <c r="DI113" s="228">
        <v>30.71</v>
      </c>
      <c r="DJ113" s="228">
        <v>-2.95</v>
      </c>
      <c r="DK113" s="228">
        <v>-2.95</v>
      </c>
      <c r="DL113" s="228">
        <v>29.73</v>
      </c>
      <c r="DM113" s="228">
        <v>28.49</v>
      </c>
      <c r="DN113" s="228">
        <v>1.24</v>
      </c>
      <c r="DO113" s="228">
        <v>1.24</v>
      </c>
      <c r="DP113" s="228">
        <v>0.77</v>
      </c>
      <c r="DQ113" s="228">
        <v>0.64</v>
      </c>
      <c r="DR113" s="228">
        <v>0.13</v>
      </c>
      <c r="DS113" s="229">
        <v>0.2031</v>
      </c>
      <c r="DT113" s="231">
        <v>1100</v>
      </c>
      <c r="DU113" s="231">
        <v>1000</v>
      </c>
      <c r="DV113" s="228">
        <v>0.37</v>
      </c>
      <c r="DW113" s="228">
        <v>0.47</v>
      </c>
      <c r="DX113" s="228">
        <v>-0.1</v>
      </c>
      <c r="DY113" s="229">
        <v>-0.21279999999999999</v>
      </c>
      <c r="DZ113" s="229">
        <v>9.3100000000000002E-2</v>
      </c>
      <c r="EA113" s="230">
        <v>359000</v>
      </c>
      <c r="EB113" s="229">
        <v>-3.3999999999999998E-3</v>
      </c>
      <c r="EC113" s="229">
        <v>9.3100000000000002E-2</v>
      </c>
      <c r="ED113" s="228">
        <v>-3.27</v>
      </c>
      <c r="EE113" s="229">
        <v>-3.0999999999999999E-3</v>
      </c>
      <c r="EF113" s="230">
        <v>504009</v>
      </c>
      <c r="EG113" s="230">
        <v>189298</v>
      </c>
      <c r="EH113" s="229">
        <v>1.6625000000000001</v>
      </c>
      <c r="EI113" s="229">
        <v>0.32950000000000002</v>
      </c>
      <c r="EJ113" s="231">
        <v>60136.61</v>
      </c>
      <c r="EK113" s="231">
        <v>20643.16</v>
      </c>
      <c r="EL113" s="231">
        <v>22141.56</v>
      </c>
      <c r="EM113" s="231">
        <v>1964</v>
      </c>
      <c r="EN113" s="231">
        <v>102921.33</v>
      </c>
      <c r="EO113" s="231">
        <v>25888.97</v>
      </c>
      <c r="EP113" s="231">
        <v>77032.36</v>
      </c>
      <c r="EQ113" s="229">
        <v>2.9754999999999998</v>
      </c>
      <c r="ER113" s="231">
        <v>27926</v>
      </c>
      <c r="ES113" s="231">
        <v>19884</v>
      </c>
      <c r="ET113" s="231">
        <v>37696</v>
      </c>
      <c r="EU113" s="231">
        <v>19911179</v>
      </c>
      <c r="EV113" s="231">
        <v>85506</v>
      </c>
      <c r="EW113" s="231">
        <v>90873</v>
      </c>
      <c r="EX113" s="231">
        <v>-5367</v>
      </c>
      <c r="EY113" s="229">
        <v>-5.91E-2</v>
      </c>
      <c r="EZ113" s="229">
        <v>0.39979999999999999</v>
      </c>
      <c r="FA113" s="227" t="s">
        <v>556</v>
      </c>
      <c r="FB113" s="161">
        <f t="shared" si="1"/>
        <v>327000</v>
      </c>
    </row>
    <row r="114" spans="1:158" ht="17.25" hidden="1" thickBot="1" x14ac:dyDescent="0.3">
      <c r="A114" s="226">
        <v>46009</v>
      </c>
      <c r="B114" s="227" t="s">
        <v>172</v>
      </c>
      <c r="C114" s="227" t="s">
        <v>246</v>
      </c>
      <c r="D114" s="228">
        <v>400</v>
      </c>
      <c r="E114" s="231">
        <v>2170.6</v>
      </c>
      <c r="F114" s="231">
        <v>2176.6</v>
      </c>
      <c r="G114" s="228">
        <v>-6</v>
      </c>
      <c r="H114" s="229">
        <v>-2.8E-3</v>
      </c>
      <c r="I114" s="231">
        <v>2164.6</v>
      </c>
      <c r="J114" s="231">
        <v>2173.1999999999998</v>
      </c>
      <c r="K114" s="228">
        <v>-8.6</v>
      </c>
      <c r="L114" s="229">
        <v>-4.0000000000000001E-3</v>
      </c>
      <c r="M114" s="231">
        <v>2170.6</v>
      </c>
      <c r="N114" s="231">
        <v>2176.6</v>
      </c>
      <c r="O114" s="228">
        <v>-6</v>
      </c>
      <c r="P114" s="229">
        <v>-2.8E-3</v>
      </c>
      <c r="Q114" s="231">
        <v>2184.4</v>
      </c>
      <c r="R114" s="231">
        <v>2190</v>
      </c>
      <c r="S114" s="228">
        <v>-5.6</v>
      </c>
      <c r="T114" s="229">
        <v>-2.5999999999999999E-3</v>
      </c>
      <c r="U114" s="231">
        <v>2197.1999999999998</v>
      </c>
      <c r="V114" s="231">
        <v>2202.3000000000002</v>
      </c>
      <c r="W114" s="228">
        <v>-5.0999999999999996</v>
      </c>
      <c r="X114" s="229">
        <v>-2.3E-3</v>
      </c>
      <c r="Y114" s="228">
        <v>6</v>
      </c>
      <c r="Z114" s="228">
        <v>3.4</v>
      </c>
      <c r="AA114" s="228">
        <v>2.6</v>
      </c>
      <c r="AB114" s="229">
        <v>2.8E-3</v>
      </c>
      <c r="AC114" s="228">
        <v>6</v>
      </c>
      <c r="AD114" s="228">
        <v>3.4</v>
      </c>
      <c r="AE114" s="228">
        <v>2.6</v>
      </c>
      <c r="AF114" s="229">
        <v>2.8E-3</v>
      </c>
      <c r="AG114" s="228">
        <v>19.8</v>
      </c>
      <c r="AH114" s="228">
        <v>16.8</v>
      </c>
      <c r="AI114" s="228">
        <v>3</v>
      </c>
      <c r="AJ114" s="229">
        <v>9.1000000000000004E-3</v>
      </c>
      <c r="AK114" s="228">
        <v>32.6</v>
      </c>
      <c r="AL114" s="228">
        <v>29.1</v>
      </c>
      <c r="AM114" s="228">
        <v>3.5</v>
      </c>
      <c r="AN114" s="229">
        <v>1.5100000000000001E-2</v>
      </c>
      <c r="AO114" s="231">
        <v>2174.91</v>
      </c>
      <c r="AP114" s="231">
        <v>2188.7800000000002</v>
      </c>
      <c r="AQ114" s="228">
        <v>0</v>
      </c>
      <c r="AR114" s="230">
        <v>5167600</v>
      </c>
      <c r="AS114" s="230">
        <v>4447600</v>
      </c>
      <c r="AT114" s="230">
        <v>720000</v>
      </c>
      <c r="AU114" s="229">
        <v>0.16189999999999999</v>
      </c>
      <c r="AV114" s="230">
        <v>3210000</v>
      </c>
      <c r="AW114" s="230">
        <v>2829200</v>
      </c>
      <c r="AX114" s="230">
        <v>380800</v>
      </c>
      <c r="AY114" s="229">
        <v>0.1346</v>
      </c>
      <c r="AZ114" s="230">
        <v>1927200</v>
      </c>
      <c r="BA114" s="230">
        <v>1609600</v>
      </c>
      <c r="BB114" s="230">
        <v>317600</v>
      </c>
      <c r="BC114" s="229">
        <v>0.1973</v>
      </c>
      <c r="BD114" s="230">
        <v>30400</v>
      </c>
      <c r="BE114" s="230">
        <v>8800</v>
      </c>
      <c r="BF114" s="230">
        <v>21600</v>
      </c>
      <c r="BG114" s="229">
        <v>2.4544999999999999</v>
      </c>
      <c r="BH114" s="230">
        <v>8132400</v>
      </c>
      <c r="BI114" s="230">
        <v>7369600</v>
      </c>
      <c r="BJ114" s="230">
        <v>762800</v>
      </c>
      <c r="BK114" s="229">
        <v>0.10349999999999999</v>
      </c>
      <c r="BL114" s="230">
        <v>4044000</v>
      </c>
      <c r="BM114" s="230">
        <v>4828000</v>
      </c>
      <c r="BN114" s="230">
        <v>-784000</v>
      </c>
      <c r="BO114" s="229">
        <v>-0.16239999999999999</v>
      </c>
      <c r="BP114" s="230">
        <v>17344000</v>
      </c>
      <c r="BQ114" s="230">
        <v>16645200</v>
      </c>
      <c r="BR114" s="230">
        <v>698800</v>
      </c>
      <c r="BS114" s="229">
        <v>4.2000000000000003E-2</v>
      </c>
      <c r="BT114" s="230">
        <v>1289828</v>
      </c>
      <c r="BU114" s="230">
        <v>1650483</v>
      </c>
      <c r="BV114" s="230">
        <v>-360655</v>
      </c>
      <c r="BW114" s="229">
        <v>-0.2185</v>
      </c>
      <c r="BX114" s="230">
        <v>40759600</v>
      </c>
      <c r="BY114" s="230">
        <v>40432000</v>
      </c>
      <c r="BZ114" s="230">
        <v>327600</v>
      </c>
      <c r="CA114" s="229">
        <v>8.0999999999999996E-3</v>
      </c>
      <c r="CB114" s="230">
        <v>33310000</v>
      </c>
      <c r="CC114" s="230">
        <v>34760800</v>
      </c>
      <c r="CD114" s="230">
        <v>-1450800</v>
      </c>
      <c r="CE114" s="229">
        <v>-4.1700000000000001E-2</v>
      </c>
      <c r="CF114" s="230">
        <v>7325600</v>
      </c>
      <c r="CG114" s="230">
        <v>5561600</v>
      </c>
      <c r="CH114" s="230">
        <v>1764000</v>
      </c>
      <c r="CI114" s="229">
        <v>0.31719999999999998</v>
      </c>
      <c r="CJ114" s="230">
        <v>124000</v>
      </c>
      <c r="CK114" s="230">
        <v>109600</v>
      </c>
      <c r="CL114" s="230">
        <v>14400</v>
      </c>
      <c r="CM114" s="229">
        <v>0.13139999999999999</v>
      </c>
      <c r="CN114" s="230">
        <v>8965600</v>
      </c>
      <c r="CO114" s="230">
        <v>8988000</v>
      </c>
      <c r="CP114" s="230">
        <v>-22400</v>
      </c>
      <c r="CQ114" s="229">
        <v>-2.5000000000000001E-3</v>
      </c>
      <c r="CR114" s="230">
        <v>7522400</v>
      </c>
      <c r="CS114" s="230">
        <v>7605600</v>
      </c>
      <c r="CT114" s="230">
        <v>-83200</v>
      </c>
      <c r="CU114" s="229">
        <v>-1.09E-2</v>
      </c>
      <c r="CV114" s="230">
        <v>57247600</v>
      </c>
      <c r="CW114" s="230">
        <v>57025600</v>
      </c>
      <c r="CX114" s="230">
        <v>222000</v>
      </c>
      <c r="CY114" s="229">
        <v>3.8999999999999998E-3</v>
      </c>
      <c r="CZ114" s="228">
        <v>15.67</v>
      </c>
      <c r="DA114" s="228">
        <v>16.190000000000001</v>
      </c>
      <c r="DB114" s="228">
        <v>-0.52</v>
      </c>
      <c r="DC114" s="228">
        <v>-0.52</v>
      </c>
      <c r="DD114" s="228">
        <v>25.75</v>
      </c>
      <c r="DE114" s="228">
        <v>25.81</v>
      </c>
      <c r="DF114" s="228">
        <v>-10.08</v>
      </c>
      <c r="DG114" s="228">
        <v>-0.06</v>
      </c>
      <c r="DH114" s="228">
        <v>15.71</v>
      </c>
      <c r="DI114" s="228">
        <v>16.350000000000001</v>
      </c>
      <c r="DJ114" s="228">
        <v>-0.64</v>
      </c>
      <c r="DK114" s="228">
        <v>-0.64</v>
      </c>
      <c r="DL114" s="228">
        <v>15.58</v>
      </c>
      <c r="DM114" s="228">
        <v>15.93</v>
      </c>
      <c r="DN114" s="228">
        <v>-0.35</v>
      </c>
      <c r="DO114" s="228">
        <v>-0.35</v>
      </c>
      <c r="DP114" s="228">
        <v>0.84</v>
      </c>
      <c r="DQ114" s="228">
        <v>0.85</v>
      </c>
      <c r="DR114" s="228">
        <v>-0.01</v>
      </c>
      <c r="DS114" s="229">
        <v>-1.18E-2</v>
      </c>
      <c r="DT114" s="231">
        <v>2200</v>
      </c>
      <c r="DU114" s="231">
        <v>2100</v>
      </c>
      <c r="DV114" s="228">
        <v>0.5</v>
      </c>
      <c r="DW114" s="228">
        <v>0.66</v>
      </c>
      <c r="DX114" s="228">
        <v>-0.16</v>
      </c>
      <c r="DY114" s="229">
        <v>-0.2424</v>
      </c>
      <c r="DZ114" s="229">
        <v>0.18279999999999999</v>
      </c>
      <c r="EA114" s="230">
        <v>5671200</v>
      </c>
      <c r="EB114" s="229">
        <v>6.4000000000000003E-3</v>
      </c>
      <c r="EC114" s="229">
        <v>0.18279999999999999</v>
      </c>
      <c r="ED114" s="228">
        <v>13.87</v>
      </c>
      <c r="EE114" s="229">
        <v>6.4000000000000003E-3</v>
      </c>
      <c r="EF114" s="230">
        <v>681908</v>
      </c>
      <c r="EG114" s="230">
        <v>1086258</v>
      </c>
      <c r="EH114" s="229">
        <v>-0.37219999999999998</v>
      </c>
      <c r="EI114" s="229">
        <v>0.52869999999999995</v>
      </c>
      <c r="EJ114" s="231">
        <v>180940.27</v>
      </c>
      <c r="EK114" s="231">
        <v>87022.02</v>
      </c>
      <c r="EL114" s="231">
        <v>112665.75</v>
      </c>
      <c r="EM114" s="231">
        <v>11409</v>
      </c>
      <c r="EN114" s="231">
        <v>380628.04</v>
      </c>
      <c r="EO114" s="231">
        <v>366312.09</v>
      </c>
      <c r="EP114" s="231">
        <v>14315.95</v>
      </c>
      <c r="EQ114" s="229">
        <v>3.9100000000000003E-2</v>
      </c>
      <c r="ER114" s="231">
        <v>199071</v>
      </c>
      <c r="ES114" s="231">
        <v>156790</v>
      </c>
      <c r="ET114" s="231">
        <v>885772</v>
      </c>
      <c r="EU114" s="231">
        <v>215751979</v>
      </c>
      <c r="EV114" s="231">
        <v>1241633</v>
      </c>
      <c r="EW114" s="231">
        <v>1238960</v>
      </c>
      <c r="EX114" s="231">
        <v>2673</v>
      </c>
      <c r="EY114" s="229">
        <v>2.2000000000000001E-3</v>
      </c>
      <c r="EZ114" s="229">
        <v>0.26529999999999998</v>
      </c>
      <c r="FA114" s="227" t="s">
        <v>567</v>
      </c>
      <c r="FB114" s="161">
        <f t="shared" si="1"/>
        <v>7449600</v>
      </c>
    </row>
    <row r="115" spans="1:158" ht="17.25" hidden="1" thickBot="1" x14ac:dyDescent="0.3">
      <c r="A115" s="226">
        <v>46009</v>
      </c>
      <c r="B115" s="227" t="s">
        <v>221</v>
      </c>
      <c r="C115" s="227" t="s">
        <v>577</v>
      </c>
      <c r="D115" s="228">
        <v>400</v>
      </c>
      <c r="E115" s="231">
        <v>1164.5999999999999</v>
      </c>
      <c r="F115" s="231">
        <v>1173.4000000000001</v>
      </c>
      <c r="G115" s="228">
        <v>-8.8000000000000007</v>
      </c>
      <c r="H115" s="229">
        <v>-7.4999999999999997E-3</v>
      </c>
      <c r="I115" s="231">
        <v>1160.8</v>
      </c>
      <c r="J115" s="231">
        <v>1168.9000000000001</v>
      </c>
      <c r="K115" s="228">
        <v>-8.1</v>
      </c>
      <c r="L115" s="229">
        <v>-6.8999999999999999E-3</v>
      </c>
      <c r="M115" s="231">
        <v>1164.5999999999999</v>
      </c>
      <c r="N115" s="231">
        <v>1173.4000000000001</v>
      </c>
      <c r="O115" s="228">
        <v>-8.8000000000000007</v>
      </c>
      <c r="P115" s="229">
        <v>-7.4999999999999997E-3</v>
      </c>
      <c r="Q115" s="231">
        <v>1166.9000000000001</v>
      </c>
      <c r="R115" s="231">
        <v>1177.5</v>
      </c>
      <c r="S115" s="228">
        <v>-10.6</v>
      </c>
      <c r="T115" s="229">
        <v>-8.9999999999999993E-3</v>
      </c>
      <c r="U115" s="231">
        <v>1168.0999999999999</v>
      </c>
      <c r="V115" s="231">
        <v>1180</v>
      </c>
      <c r="W115" s="228">
        <v>-11.9</v>
      </c>
      <c r="X115" s="229">
        <v>-1.01E-2</v>
      </c>
      <c r="Y115" s="228">
        <v>3.8</v>
      </c>
      <c r="Z115" s="228">
        <v>4.5</v>
      </c>
      <c r="AA115" s="228">
        <v>-0.7</v>
      </c>
      <c r="AB115" s="229">
        <v>3.3E-3</v>
      </c>
      <c r="AC115" s="228">
        <v>3.8</v>
      </c>
      <c r="AD115" s="228">
        <v>4.5</v>
      </c>
      <c r="AE115" s="228">
        <v>-0.7</v>
      </c>
      <c r="AF115" s="229">
        <v>3.3E-3</v>
      </c>
      <c r="AG115" s="228">
        <v>6.1</v>
      </c>
      <c r="AH115" s="228">
        <v>8.6</v>
      </c>
      <c r="AI115" s="228">
        <v>-2.5</v>
      </c>
      <c r="AJ115" s="229">
        <v>5.3E-3</v>
      </c>
      <c r="AK115" s="228">
        <v>7.3</v>
      </c>
      <c r="AL115" s="228">
        <v>11.1</v>
      </c>
      <c r="AM115" s="228">
        <v>-3.8</v>
      </c>
      <c r="AN115" s="229">
        <v>6.3E-3</v>
      </c>
      <c r="AO115" s="231">
        <v>1166.1099999999999</v>
      </c>
      <c r="AP115" s="231">
        <v>1168.2</v>
      </c>
      <c r="AQ115" s="228">
        <v>0</v>
      </c>
      <c r="AR115" s="230">
        <v>570000</v>
      </c>
      <c r="AS115" s="230">
        <v>498000</v>
      </c>
      <c r="AT115" s="230">
        <v>72000</v>
      </c>
      <c r="AU115" s="229">
        <v>0.14460000000000001</v>
      </c>
      <c r="AV115" s="230">
        <v>475200</v>
      </c>
      <c r="AW115" s="230">
        <v>426800</v>
      </c>
      <c r="AX115" s="230">
        <v>48400</v>
      </c>
      <c r="AY115" s="229">
        <v>0.1134</v>
      </c>
      <c r="AZ115" s="230">
        <v>90000</v>
      </c>
      <c r="BA115" s="230">
        <v>64400</v>
      </c>
      <c r="BB115" s="230">
        <v>25600</v>
      </c>
      <c r="BC115" s="229">
        <v>0.39750000000000002</v>
      </c>
      <c r="BD115" s="230">
        <v>4800</v>
      </c>
      <c r="BE115" s="230">
        <v>6800</v>
      </c>
      <c r="BF115" s="230">
        <v>-2000</v>
      </c>
      <c r="BG115" s="229">
        <v>-0.29409999999999997</v>
      </c>
      <c r="BH115" s="230">
        <v>2499200</v>
      </c>
      <c r="BI115" s="230">
        <v>1492000</v>
      </c>
      <c r="BJ115" s="230">
        <v>1007200</v>
      </c>
      <c r="BK115" s="229">
        <v>0.67510000000000003</v>
      </c>
      <c r="BL115" s="230">
        <v>833600</v>
      </c>
      <c r="BM115" s="230">
        <v>979200</v>
      </c>
      <c r="BN115" s="230">
        <v>-145600</v>
      </c>
      <c r="BO115" s="229">
        <v>-0.1487</v>
      </c>
      <c r="BP115" s="230">
        <v>3902800</v>
      </c>
      <c r="BQ115" s="230">
        <v>2969200</v>
      </c>
      <c r="BR115" s="230">
        <v>933600</v>
      </c>
      <c r="BS115" s="229">
        <v>0.31440000000000001</v>
      </c>
      <c r="BT115" s="230">
        <v>456222</v>
      </c>
      <c r="BU115" s="230">
        <v>533275</v>
      </c>
      <c r="BV115" s="230">
        <v>-77053</v>
      </c>
      <c r="BW115" s="229">
        <v>-0.14449999999999999</v>
      </c>
      <c r="BX115" s="230">
        <v>3847575</v>
      </c>
      <c r="BY115" s="230">
        <v>3842450</v>
      </c>
      <c r="BZ115" s="230">
        <v>5125</v>
      </c>
      <c r="CA115" s="229">
        <v>1.2999999999999999E-3</v>
      </c>
      <c r="CB115" s="230">
        <v>3480800</v>
      </c>
      <c r="CC115" s="230">
        <v>3501600</v>
      </c>
      <c r="CD115" s="230">
        <v>-20800</v>
      </c>
      <c r="CE115" s="229">
        <v>-5.8999999999999999E-3</v>
      </c>
      <c r="CF115" s="230">
        <v>322150</v>
      </c>
      <c r="CG115" s="230">
        <v>299625</v>
      </c>
      <c r="CH115" s="230">
        <v>22525</v>
      </c>
      <c r="CI115" s="229">
        <v>7.5200000000000003E-2</v>
      </c>
      <c r="CJ115" s="230">
        <v>44625</v>
      </c>
      <c r="CK115" s="230">
        <v>41225</v>
      </c>
      <c r="CL115" s="230">
        <v>3400</v>
      </c>
      <c r="CM115" s="229">
        <v>8.2500000000000004E-2</v>
      </c>
      <c r="CN115" s="230">
        <v>2778600</v>
      </c>
      <c r="CO115" s="230">
        <v>2678000</v>
      </c>
      <c r="CP115" s="230">
        <v>100600</v>
      </c>
      <c r="CQ115" s="229">
        <v>3.7600000000000001E-2</v>
      </c>
      <c r="CR115" s="230">
        <v>1589875</v>
      </c>
      <c r="CS115" s="230">
        <v>1574200</v>
      </c>
      <c r="CT115" s="230">
        <v>15675</v>
      </c>
      <c r="CU115" s="229">
        <v>0.01</v>
      </c>
      <c r="CV115" s="230">
        <v>8216050</v>
      </c>
      <c r="CW115" s="230">
        <v>8094650</v>
      </c>
      <c r="CX115" s="230">
        <v>121400</v>
      </c>
      <c r="CY115" s="229">
        <v>1.4999999999999999E-2</v>
      </c>
      <c r="CZ115" s="228">
        <v>28.55</v>
      </c>
      <c r="DA115" s="228">
        <v>29.17</v>
      </c>
      <c r="DB115" s="228">
        <v>-0.62</v>
      </c>
      <c r="DC115" s="228">
        <v>-0.62</v>
      </c>
      <c r="DD115" s="228">
        <v>42.64</v>
      </c>
      <c r="DE115" s="228">
        <v>42.73</v>
      </c>
      <c r="DF115" s="228">
        <v>-14.09</v>
      </c>
      <c r="DG115" s="228">
        <v>-0.09</v>
      </c>
      <c r="DH115" s="228">
        <v>28.91</v>
      </c>
      <c r="DI115" s="228">
        <v>30.04</v>
      </c>
      <c r="DJ115" s="228">
        <v>-1.1299999999999999</v>
      </c>
      <c r="DK115" s="228">
        <v>-1.1299999999999999</v>
      </c>
      <c r="DL115" s="228">
        <v>27.45</v>
      </c>
      <c r="DM115" s="228">
        <v>27.85</v>
      </c>
      <c r="DN115" s="228">
        <v>-0.4</v>
      </c>
      <c r="DO115" s="228">
        <v>-0.4</v>
      </c>
      <c r="DP115" s="228">
        <v>0.56999999999999995</v>
      </c>
      <c r="DQ115" s="228">
        <v>0.59</v>
      </c>
      <c r="DR115" s="228">
        <v>-0.02</v>
      </c>
      <c r="DS115" s="229">
        <v>-3.39E-2</v>
      </c>
      <c r="DT115" s="231">
        <v>1300</v>
      </c>
      <c r="DU115" s="231">
        <v>1120</v>
      </c>
      <c r="DV115" s="228">
        <v>0.33</v>
      </c>
      <c r="DW115" s="228">
        <v>0.66</v>
      </c>
      <c r="DX115" s="228">
        <v>-0.33</v>
      </c>
      <c r="DY115" s="229">
        <v>-0.5</v>
      </c>
      <c r="DZ115" s="229">
        <v>9.5299999999999996E-2</v>
      </c>
      <c r="EA115" s="230">
        <v>340850</v>
      </c>
      <c r="EB115" s="229">
        <v>2E-3</v>
      </c>
      <c r="EC115" s="229">
        <v>9.5299999999999996E-2</v>
      </c>
      <c r="ED115" s="228">
        <v>2.09</v>
      </c>
      <c r="EE115" s="229">
        <v>1.8E-3</v>
      </c>
      <c r="EF115" s="230">
        <v>195898</v>
      </c>
      <c r="EG115" s="230">
        <v>306975</v>
      </c>
      <c r="EH115" s="229">
        <v>-0.36180000000000001</v>
      </c>
      <c r="EI115" s="229">
        <v>0.4294</v>
      </c>
      <c r="EJ115" s="231">
        <v>30901.94</v>
      </c>
      <c r="EK115" s="231">
        <v>9569.4699999999993</v>
      </c>
      <c r="EL115" s="231">
        <v>6718.22</v>
      </c>
      <c r="EM115" s="231">
        <v>2063</v>
      </c>
      <c r="EN115" s="231">
        <v>47189.63</v>
      </c>
      <c r="EO115" s="231">
        <v>35925.79</v>
      </c>
      <c r="EP115" s="231">
        <v>11263.84</v>
      </c>
      <c r="EQ115" s="229">
        <v>0.3135</v>
      </c>
      <c r="ER115" s="231">
        <v>34869</v>
      </c>
      <c r="ES115" s="231">
        <v>18432</v>
      </c>
      <c r="ET115" s="231">
        <v>44818</v>
      </c>
      <c r="EU115" s="231">
        <v>24568295</v>
      </c>
      <c r="EV115" s="231">
        <v>98119</v>
      </c>
      <c r="EW115" s="231">
        <v>97088</v>
      </c>
      <c r="EX115" s="231">
        <v>1031</v>
      </c>
      <c r="EY115" s="229">
        <v>1.06E-2</v>
      </c>
      <c r="EZ115" s="229">
        <v>0.33439999999999998</v>
      </c>
      <c r="FA115" s="227" t="s">
        <v>567</v>
      </c>
      <c r="FB115" s="161">
        <f t="shared" si="1"/>
        <v>366775</v>
      </c>
    </row>
    <row r="116" spans="1:158" ht="17.25" hidden="1" thickBot="1" x14ac:dyDescent="0.3">
      <c r="A116" s="226">
        <v>46009</v>
      </c>
      <c r="B116" s="227" t="s">
        <v>170</v>
      </c>
      <c r="C116" s="227" t="s">
        <v>535</v>
      </c>
      <c r="D116" s="228">
        <v>850</v>
      </c>
      <c r="E116" s="231">
        <v>1018.9</v>
      </c>
      <c r="F116" s="231">
        <v>1010.6</v>
      </c>
      <c r="G116" s="228">
        <v>8.3000000000000007</v>
      </c>
      <c r="H116" s="229">
        <v>8.2000000000000007E-3</v>
      </c>
      <c r="I116" s="231">
        <v>1015.5</v>
      </c>
      <c r="J116" s="231">
        <v>1010</v>
      </c>
      <c r="K116" s="228">
        <v>5.5</v>
      </c>
      <c r="L116" s="229">
        <v>5.4000000000000003E-3</v>
      </c>
      <c r="M116" s="231">
        <v>1018.9</v>
      </c>
      <c r="N116" s="231">
        <v>1010.6</v>
      </c>
      <c r="O116" s="228">
        <v>8.3000000000000007</v>
      </c>
      <c r="P116" s="229">
        <v>8.2000000000000007E-3</v>
      </c>
      <c r="Q116" s="231">
        <v>1025.2</v>
      </c>
      <c r="R116" s="231">
        <v>1017.4</v>
      </c>
      <c r="S116" s="228">
        <v>7.8</v>
      </c>
      <c r="T116" s="229">
        <v>7.7000000000000002E-3</v>
      </c>
      <c r="U116" s="231">
        <v>1030.4000000000001</v>
      </c>
      <c r="V116" s="231">
        <v>1020.7</v>
      </c>
      <c r="W116" s="228">
        <v>9.6999999999999993</v>
      </c>
      <c r="X116" s="229">
        <v>9.4999999999999998E-3</v>
      </c>
      <c r="Y116" s="228">
        <v>3.4</v>
      </c>
      <c r="Z116" s="228">
        <v>0.6</v>
      </c>
      <c r="AA116" s="228">
        <v>2.8</v>
      </c>
      <c r="AB116" s="229">
        <v>3.3E-3</v>
      </c>
      <c r="AC116" s="228">
        <v>3.4</v>
      </c>
      <c r="AD116" s="228">
        <v>0.6</v>
      </c>
      <c r="AE116" s="228">
        <v>2.8</v>
      </c>
      <c r="AF116" s="229">
        <v>3.3E-3</v>
      </c>
      <c r="AG116" s="228">
        <v>9.6999999999999993</v>
      </c>
      <c r="AH116" s="228">
        <v>7.4</v>
      </c>
      <c r="AI116" s="228">
        <v>2.2999999999999998</v>
      </c>
      <c r="AJ116" s="229">
        <v>9.5999999999999992E-3</v>
      </c>
      <c r="AK116" s="228">
        <v>14.9</v>
      </c>
      <c r="AL116" s="228">
        <v>10.7</v>
      </c>
      <c r="AM116" s="228">
        <v>4.2</v>
      </c>
      <c r="AN116" s="229">
        <v>1.47E-2</v>
      </c>
      <c r="AO116" s="231">
        <v>1014.99</v>
      </c>
      <c r="AP116" s="231">
        <v>1020.04</v>
      </c>
      <c r="AQ116" s="228">
        <v>0</v>
      </c>
      <c r="AR116" s="230">
        <v>3027700</v>
      </c>
      <c r="AS116" s="230">
        <v>2533850</v>
      </c>
      <c r="AT116" s="230">
        <v>493850</v>
      </c>
      <c r="AU116" s="229">
        <v>0.19489999999999999</v>
      </c>
      <c r="AV116" s="230">
        <v>2358750</v>
      </c>
      <c r="AW116" s="230">
        <v>2049350</v>
      </c>
      <c r="AX116" s="230">
        <v>309400</v>
      </c>
      <c r="AY116" s="229">
        <v>0.151</v>
      </c>
      <c r="AZ116" s="230">
        <v>617950</v>
      </c>
      <c r="BA116" s="230">
        <v>463250</v>
      </c>
      <c r="BB116" s="230">
        <v>154700</v>
      </c>
      <c r="BC116" s="229">
        <v>0.33389999999999997</v>
      </c>
      <c r="BD116" s="230">
        <v>51000</v>
      </c>
      <c r="BE116" s="230">
        <v>21250</v>
      </c>
      <c r="BF116" s="230">
        <v>29750</v>
      </c>
      <c r="BG116" s="229">
        <v>1.4</v>
      </c>
      <c r="BH116" s="230">
        <v>8688700</v>
      </c>
      <c r="BI116" s="230">
        <v>8028250</v>
      </c>
      <c r="BJ116" s="230">
        <v>660450</v>
      </c>
      <c r="BK116" s="229">
        <v>8.2299999999999998E-2</v>
      </c>
      <c r="BL116" s="230">
        <v>4068950</v>
      </c>
      <c r="BM116" s="230">
        <v>3074450</v>
      </c>
      <c r="BN116" s="230">
        <v>994500</v>
      </c>
      <c r="BO116" s="229">
        <v>0.32350000000000001</v>
      </c>
      <c r="BP116" s="230">
        <v>15785350</v>
      </c>
      <c r="BQ116" s="230">
        <v>13636550</v>
      </c>
      <c r="BR116" s="230">
        <v>2148800</v>
      </c>
      <c r="BS116" s="229">
        <v>0.15759999999999999</v>
      </c>
      <c r="BT116" s="230">
        <v>889160</v>
      </c>
      <c r="BU116" s="230">
        <v>1312238</v>
      </c>
      <c r="BV116" s="230">
        <v>-423078</v>
      </c>
      <c r="BW116" s="229">
        <v>-0.32240000000000002</v>
      </c>
      <c r="BX116" s="230">
        <v>16144050</v>
      </c>
      <c r="BY116" s="230">
        <v>16296200</v>
      </c>
      <c r="BZ116" s="230">
        <v>-152150</v>
      </c>
      <c r="CA116" s="229">
        <v>-9.2999999999999992E-3</v>
      </c>
      <c r="CB116" s="230">
        <v>14406650</v>
      </c>
      <c r="CC116" s="230">
        <v>14839300</v>
      </c>
      <c r="CD116" s="230">
        <v>-432650</v>
      </c>
      <c r="CE116" s="229">
        <v>-2.92E-2</v>
      </c>
      <c r="CF116" s="230">
        <v>1522350</v>
      </c>
      <c r="CG116" s="230">
        <v>1244400</v>
      </c>
      <c r="CH116" s="230">
        <v>277950</v>
      </c>
      <c r="CI116" s="229">
        <v>0.22339999999999999</v>
      </c>
      <c r="CJ116" s="230">
        <v>215050</v>
      </c>
      <c r="CK116" s="230">
        <v>212500</v>
      </c>
      <c r="CL116" s="230">
        <v>2550</v>
      </c>
      <c r="CM116" s="229">
        <v>1.2E-2</v>
      </c>
      <c r="CN116" s="230">
        <v>8601150</v>
      </c>
      <c r="CO116" s="230">
        <v>8849350</v>
      </c>
      <c r="CP116" s="230">
        <v>-248200</v>
      </c>
      <c r="CQ116" s="229">
        <v>-2.8000000000000001E-2</v>
      </c>
      <c r="CR116" s="230">
        <v>4927450</v>
      </c>
      <c r="CS116" s="230">
        <v>4858600</v>
      </c>
      <c r="CT116" s="230">
        <v>68850</v>
      </c>
      <c r="CU116" s="229">
        <v>1.4200000000000001E-2</v>
      </c>
      <c r="CV116" s="230">
        <v>29672650</v>
      </c>
      <c r="CW116" s="230">
        <v>30004150</v>
      </c>
      <c r="CX116" s="230">
        <v>-331500</v>
      </c>
      <c r="CY116" s="229">
        <v>-1.0999999999999999E-2</v>
      </c>
      <c r="CZ116" s="228">
        <v>24.76</v>
      </c>
      <c r="DA116" s="228">
        <v>25.41</v>
      </c>
      <c r="DB116" s="228">
        <v>-0.65</v>
      </c>
      <c r="DC116" s="228">
        <v>-0.65</v>
      </c>
      <c r="DD116" s="228">
        <v>38.25</v>
      </c>
      <c r="DE116" s="228">
        <v>38.340000000000003</v>
      </c>
      <c r="DF116" s="228">
        <v>-13.49</v>
      </c>
      <c r="DG116" s="228">
        <v>-0.09</v>
      </c>
      <c r="DH116" s="228">
        <v>24.45</v>
      </c>
      <c r="DI116" s="228">
        <v>25.45</v>
      </c>
      <c r="DJ116" s="228">
        <v>-1</v>
      </c>
      <c r="DK116" s="228">
        <v>-1</v>
      </c>
      <c r="DL116" s="228">
        <v>25.42</v>
      </c>
      <c r="DM116" s="228">
        <v>25.28</v>
      </c>
      <c r="DN116" s="228">
        <v>0.14000000000000001</v>
      </c>
      <c r="DO116" s="228">
        <v>0.14000000000000001</v>
      </c>
      <c r="DP116" s="228">
        <v>0.56999999999999995</v>
      </c>
      <c r="DQ116" s="228">
        <v>0.55000000000000004</v>
      </c>
      <c r="DR116" s="228">
        <v>0.02</v>
      </c>
      <c r="DS116" s="229">
        <v>3.6400000000000002E-2</v>
      </c>
      <c r="DT116" s="231">
        <v>1100</v>
      </c>
      <c r="DU116" s="231">
        <v>1000</v>
      </c>
      <c r="DV116" s="228">
        <v>0.47</v>
      </c>
      <c r="DW116" s="228">
        <v>0.38</v>
      </c>
      <c r="DX116" s="228">
        <v>0.09</v>
      </c>
      <c r="DY116" s="229">
        <v>0.23680000000000001</v>
      </c>
      <c r="DZ116" s="229">
        <v>0.1076</v>
      </c>
      <c r="EA116" s="230">
        <v>1456900</v>
      </c>
      <c r="EB116" s="229">
        <v>6.1999999999999998E-3</v>
      </c>
      <c r="EC116" s="229">
        <v>0.1076</v>
      </c>
      <c r="ED116" s="228">
        <v>5.05</v>
      </c>
      <c r="EE116" s="229">
        <v>5.0000000000000001E-3</v>
      </c>
      <c r="EF116" s="230">
        <v>487422</v>
      </c>
      <c r="EG116" s="230">
        <v>766405</v>
      </c>
      <c r="EH116" s="229">
        <v>-0.36399999999999999</v>
      </c>
      <c r="EI116" s="229">
        <v>0.54820000000000002</v>
      </c>
      <c r="EJ116" s="231">
        <v>90693.35</v>
      </c>
      <c r="EK116" s="231">
        <v>40695.58</v>
      </c>
      <c r="EL116" s="231">
        <v>30767.94</v>
      </c>
      <c r="EM116" s="231">
        <v>3258</v>
      </c>
      <c r="EN116" s="231">
        <v>162156.87</v>
      </c>
      <c r="EO116" s="231">
        <v>140480.25</v>
      </c>
      <c r="EP116" s="231">
        <v>21676.62</v>
      </c>
      <c r="EQ116" s="229">
        <v>0.15429999999999999</v>
      </c>
      <c r="ER116" s="231">
        <v>89366</v>
      </c>
      <c r="ES116" s="231">
        <v>47965</v>
      </c>
      <c r="ET116" s="231">
        <v>164612</v>
      </c>
      <c r="EU116" s="231">
        <v>58629477</v>
      </c>
      <c r="EV116" s="231">
        <v>301944</v>
      </c>
      <c r="EW116" s="231">
        <v>303828</v>
      </c>
      <c r="EX116" s="231">
        <v>-1884</v>
      </c>
      <c r="EY116" s="229">
        <v>-6.1999999999999998E-3</v>
      </c>
      <c r="EZ116" s="229">
        <v>0.50609999999999999</v>
      </c>
      <c r="FA116" s="227" t="s">
        <v>556</v>
      </c>
      <c r="FB116" s="161">
        <f t="shared" si="1"/>
        <v>1737400</v>
      </c>
    </row>
    <row r="117" spans="1:158" ht="17.25" hidden="1" thickBot="1" x14ac:dyDescent="0.3">
      <c r="A117" s="226">
        <v>46009</v>
      </c>
      <c r="B117" s="227" t="s">
        <v>175</v>
      </c>
      <c r="C117" s="227" t="s">
        <v>248</v>
      </c>
      <c r="D117" s="228">
        <v>1000</v>
      </c>
      <c r="E117" s="228">
        <v>528.35</v>
      </c>
      <c r="F117" s="228">
        <v>524.75</v>
      </c>
      <c r="G117" s="228">
        <v>3.6</v>
      </c>
      <c r="H117" s="229">
        <v>6.8999999999999999E-3</v>
      </c>
      <c r="I117" s="228">
        <v>528.1</v>
      </c>
      <c r="J117" s="228">
        <v>524.79999999999995</v>
      </c>
      <c r="K117" s="228">
        <v>3.3</v>
      </c>
      <c r="L117" s="229">
        <v>6.3E-3</v>
      </c>
      <c r="M117" s="228">
        <v>528.35</v>
      </c>
      <c r="N117" s="228">
        <v>524.75</v>
      </c>
      <c r="O117" s="228">
        <v>3.6</v>
      </c>
      <c r="P117" s="229">
        <v>6.8999999999999999E-3</v>
      </c>
      <c r="Q117" s="228">
        <v>531.4</v>
      </c>
      <c r="R117" s="228">
        <v>528.25</v>
      </c>
      <c r="S117" s="228">
        <v>3.15</v>
      </c>
      <c r="T117" s="229">
        <v>6.0000000000000001E-3</v>
      </c>
      <c r="U117" s="228">
        <v>535.1</v>
      </c>
      <c r="V117" s="228">
        <v>530.54999999999995</v>
      </c>
      <c r="W117" s="228">
        <v>4.55</v>
      </c>
      <c r="X117" s="229">
        <v>8.6E-3</v>
      </c>
      <c r="Y117" s="228">
        <v>0.25</v>
      </c>
      <c r="Z117" s="228">
        <v>-0.05</v>
      </c>
      <c r="AA117" s="228">
        <v>0.3</v>
      </c>
      <c r="AB117" s="229">
        <v>5.0000000000000001E-4</v>
      </c>
      <c r="AC117" s="228">
        <v>0.25</v>
      </c>
      <c r="AD117" s="228">
        <v>-0.05</v>
      </c>
      <c r="AE117" s="228">
        <v>0.3</v>
      </c>
      <c r="AF117" s="229">
        <v>5.0000000000000001E-4</v>
      </c>
      <c r="AG117" s="228">
        <v>3.3</v>
      </c>
      <c r="AH117" s="228">
        <v>3.45</v>
      </c>
      <c r="AI117" s="228">
        <v>-0.15</v>
      </c>
      <c r="AJ117" s="229">
        <v>6.1999999999999998E-3</v>
      </c>
      <c r="AK117" s="228">
        <v>7</v>
      </c>
      <c r="AL117" s="228">
        <v>5.75</v>
      </c>
      <c r="AM117" s="228">
        <v>1.25</v>
      </c>
      <c r="AN117" s="229">
        <v>1.3299999999999999E-2</v>
      </c>
      <c r="AO117" s="228">
        <v>526.79999999999995</v>
      </c>
      <c r="AP117" s="228">
        <v>529.33000000000004</v>
      </c>
      <c r="AQ117" s="228">
        <v>0</v>
      </c>
      <c r="AR117" s="230">
        <v>3383000</v>
      </c>
      <c r="AS117" s="230">
        <v>1941000</v>
      </c>
      <c r="AT117" s="230">
        <v>1442000</v>
      </c>
      <c r="AU117" s="229">
        <v>0.7429</v>
      </c>
      <c r="AV117" s="230">
        <v>2482000</v>
      </c>
      <c r="AW117" s="230">
        <v>1568000</v>
      </c>
      <c r="AX117" s="230">
        <v>914000</v>
      </c>
      <c r="AY117" s="229">
        <v>0.58289999999999997</v>
      </c>
      <c r="AZ117" s="230">
        <v>869000</v>
      </c>
      <c r="BA117" s="230">
        <v>350000</v>
      </c>
      <c r="BB117" s="230">
        <v>519000</v>
      </c>
      <c r="BC117" s="229">
        <v>1.4829000000000001</v>
      </c>
      <c r="BD117" s="230">
        <v>32000</v>
      </c>
      <c r="BE117" s="230">
        <v>23000</v>
      </c>
      <c r="BF117" s="230">
        <v>9000</v>
      </c>
      <c r="BG117" s="229">
        <v>0.39129999999999998</v>
      </c>
      <c r="BH117" s="230">
        <v>5776000</v>
      </c>
      <c r="BI117" s="230">
        <v>5456000</v>
      </c>
      <c r="BJ117" s="230">
        <v>320000</v>
      </c>
      <c r="BK117" s="229">
        <v>5.8700000000000002E-2</v>
      </c>
      <c r="BL117" s="230">
        <v>1981000</v>
      </c>
      <c r="BM117" s="230">
        <v>1756000</v>
      </c>
      <c r="BN117" s="230">
        <v>225000</v>
      </c>
      <c r="BO117" s="229">
        <v>0.12809999999999999</v>
      </c>
      <c r="BP117" s="230">
        <v>11140000</v>
      </c>
      <c r="BQ117" s="230">
        <v>9153000</v>
      </c>
      <c r="BR117" s="230">
        <v>1987000</v>
      </c>
      <c r="BS117" s="229">
        <v>0.21709999999999999</v>
      </c>
      <c r="BT117" s="230">
        <v>876929</v>
      </c>
      <c r="BU117" s="230">
        <v>717998</v>
      </c>
      <c r="BV117" s="230">
        <v>158931</v>
      </c>
      <c r="BW117" s="229">
        <v>0.22140000000000001</v>
      </c>
      <c r="BX117" s="230">
        <v>36293000</v>
      </c>
      <c r="BY117" s="230">
        <v>35773000</v>
      </c>
      <c r="BZ117" s="230">
        <v>520000</v>
      </c>
      <c r="CA117" s="229">
        <v>1.4500000000000001E-2</v>
      </c>
      <c r="CB117" s="230">
        <v>32811000</v>
      </c>
      <c r="CC117" s="230">
        <v>32805000</v>
      </c>
      <c r="CD117" s="230">
        <v>6000</v>
      </c>
      <c r="CE117" s="229">
        <v>2.0000000000000001E-4</v>
      </c>
      <c r="CF117" s="230">
        <v>3237000</v>
      </c>
      <c r="CG117" s="230">
        <v>2731000</v>
      </c>
      <c r="CH117" s="230">
        <v>506000</v>
      </c>
      <c r="CI117" s="229">
        <v>0.18529999999999999</v>
      </c>
      <c r="CJ117" s="230">
        <v>245000</v>
      </c>
      <c r="CK117" s="230">
        <v>237000</v>
      </c>
      <c r="CL117" s="230">
        <v>8000</v>
      </c>
      <c r="CM117" s="229">
        <v>3.3799999999999997E-2</v>
      </c>
      <c r="CN117" s="230">
        <v>10461000</v>
      </c>
      <c r="CO117" s="230">
        <v>10732000</v>
      </c>
      <c r="CP117" s="230">
        <v>-271000</v>
      </c>
      <c r="CQ117" s="229">
        <v>-2.53E-2</v>
      </c>
      <c r="CR117" s="230">
        <v>8081000</v>
      </c>
      <c r="CS117" s="230">
        <v>8010000</v>
      </c>
      <c r="CT117" s="230">
        <v>71000</v>
      </c>
      <c r="CU117" s="229">
        <v>8.8999999999999999E-3</v>
      </c>
      <c r="CV117" s="230">
        <v>54835000</v>
      </c>
      <c r="CW117" s="230">
        <v>54515000</v>
      </c>
      <c r="CX117" s="230">
        <v>320000</v>
      </c>
      <c r="CY117" s="229">
        <v>5.8999999999999999E-3</v>
      </c>
      <c r="CZ117" s="228">
        <v>17.75</v>
      </c>
      <c r="DA117" s="228">
        <v>19.36</v>
      </c>
      <c r="DB117" s="228">
        <v>-1.61</v>
      </c>
      <c r="DC117" s="228">
        <v>-1.61</v>
      </c>
      <c r="DD117" s="228">
        <v>32.65</v>
      </c>
      <c r="DE117" s="228">
        <v>32.72</v>
      </c>
      <c r="DF117" s="228">
        <v>-14.9</v>
      </c>
      <c r="DG117" s="228">
        <v>-7.0000000000000007E-2</v>
      </c>
      <c r="DH117" s="228">
        <v>17.5</v>
      </c>
      <c r="DI117" s="228">
        <v>19.420000000000002</v>
      </c>
      <c r="DJ117" s="228">
        <v>-1.92</v>
      </c>
      <c r="DK117" s="228">
        <v>-1.92</v>
      </c>
      <c r="DL117" s="228">
        <v>18.47</v>
      </c>
      <c r="DM117" s="228">
        <v>19.18</v>
      </c>
      <c r="DN117" s="228">
        <v>-0.71</v>
      </c>
      <c r="DO117" s="228">
        <v>-0.71</v>
      </c>
      <c r="DP117" s="228">
        <v>0.77</v>
      </c>
      <c r="DQ117" s="228">
        <v>0.75</v>
      </c>
      <c r="DR117" s="228">
        <v>0.02</v>
      </c>
      <c r="DS117" s="229">
        <v>2.6700000000000002E-2</v>
      </c>
      <c r="DT117" s="228">
        <v>550</v>
      </c>
      <c r="DU117" s="228">
        <v>550</v>
      </c>
      <c r="DV117" s="228">
        <v>0.34</v>
      </c>
      <c r="DW117" s="228">
        <v>0.32</v>
      </c>
      <c r="DX117" s="228">
        <v>0.02</v>
      </c>
      <c r="DY117" s="229">
        <v>6.25E-2</v>
      </c>
      <c r="DZ117" s="229">
        <v>9.5899999999999999E-2</v>
      </c>
      <c r="EA117" s="230">
        <v>2968000</v>
      </c>
      <c r="EB117" s="229">
        <v>5.7999999999999996E-3</v>
      </c>
      <c r="EC117" s="229">
        <v>9.5899999999999999E-2</v>
      </c>
      <c r="ED117" s="228">
        <v>2.5299999999999998</v>
      </c>
      <c r="EE117" s="229">
        <v>4.7999999999999996E-3</v>
      </c>
      <c r="EF117" s="230">
        <v>508795</v>
      </c>
      <c r="EG117" s="230">
        <v>419441</v>
      </c>
      <c r="EH117" s="229">
        <v>0.21299999999999999</v>
      </c>
      <c r="EI117" s="229">
        <v>0.58020000000000005</v>
      </c>
      <c r="EJ117" s="231">
        <v>31317.360000000001</v>
      </c>
      <c r="EK117" s="231">
        <v>10584.22</v>
      </c>
      <c r="EL117" s="231">
        <v>17845.32</v>
      </c>
      <c r="EM117" s="231">
        <v>2323</v>
      </c>
      <c r="EN117" s="231">
        <v>59746.9</v>
      </c>
      <c r="EO117" s="231">
        <v>49245.84</v>
      </c>
      <c r="EP117" s="231">
        <v>10501.06</v>
      </c>
      <c r="EQ117" s="229">
        <v>0.2132</v>
      </c>
      <c r="ER117" s="231">
        <v>58815</v>
      </c>
      <c r="ES117" s="231">
        <v>44339</v>
      </c>
      <c r="ET117" s="231">
        <v>191869</v>
      </c>
      <c r="EU117" s="231">
        <v>45183075</v>
      </c>
      <c r="EV117" s="231">
        <v>295024</v>
      </c>
      <c r="EW117" s="231">
        <v>292128</v>
      </c>
      <c r="EX117" s="231">
        <v>2896</v>
      </c>
      <c r="EY117" s="229">
        <v>9.9000000000000008E-3</v>
      </c>
      <c r="EZ117" s="229">
        <v>1.2136</v>
      </c>
      <c r="FA117" s="227" t="s">
        <v>555</v>
      </c>
      <c r="FB117" s="161">
        <f t="shared" si="1"/>
        <v>3482000</v>
      </c>
    </row>
    <row r="118" spans="1:158" ht="17.25" hidden="1" thickBot="1" x14ac:dyDescent="0.3">
      <c r="A118" s="226">
        <v>46009</v>
      </c>
      <c r="B118" s="227" t="s">
        <v>175</v>
      </c>
      <c r="C118" s="227" t="s">
        <v>607</v>
      </c>
      <c r="D118" s="228">
        <v>700</v>
      </c>
      <c r="E118" s="228">
        <v>848.05</v>
      </c>
      <c r="F118" s="228">
        <v>847.1</v>
      </c>
      <c r="G118" s="228">
        <v>0.95</v>
      </c>
      <c r="H118" s="229">
        <v>1.1000000000000001E-3</v>
      </c>
      <c r="I118" s="228">
        <v>847.4</v>
      </c>
      <c r="J118" s="228">
        <v>844.55</v>
      </c>
      <c r="K118" s="228">
        <v>2.85</v>
      </c>
      <c r="L118" s="229">
        <v>3.3999999999999998E-3</v>
      </c>
      <c r="M118" s="228">
        <v>848.05</v>
      </c>
      <c r="N118" s="228">
        <v>847.1</v>
      </c>
      <c r="O118" s="228">
        <v>0.95</v>
      </c>
      <c r="P118" s="229">
        <v>1.1000000000000001E-3</v>
      </c>
      <c r="Q118" s="228">
        <v>852.3</v>
      </c>
      <c r="R118" s="228">
        <v>852.2</v>
      </c>
      <c r="S118" s="228">
        <v>0.1</v>
      </c>
      <c r="T118" s="229">
        <v>1E-4</v>
      </c>
      <c r="U118" s="228">
        <v>855.6</v>
      </c>
      <c r="V118" s="228">
        <v>855.75</v>
      </c>
      <c r="W118" s="228">
        <v>-0.15</v>
      </c>
      <c r="X118" s="229">
        <v>-2.0000000000000001E-4</v>
      </c>
      <c r="Y118" s="228">
        <v>0.65</v>
      </c>
      <c r="Z118" s="228">
        <v>2.5499999999999998</v>
      </c>
      <c r="AA118" s="228">
        <v>-1.9</v>
      </c>
      <c r="AB118" s="229">
        <v>8.0000000000000004E-4</v>
      </c>
      <c r="AC118" s="228">
        <v>0.65</v>
      </c>
      <c r="AD118" s="228">
        <v>2.5499999999999998</v>
      </c>
      <c r="AE118" s="228">
        <v>-1.9</v>
      </c>
      <c r="AF118" s="229">
        <v>8.0000000000000004E-4</v>
      </c>
      <c r="AG118" s="228">
        <v>4.9000000000000004</v>
      </c>
      <c r="AH118" s="228">
        <v>7.65</v>
      </c>
      <c r="AI118" s="228">
        <v>-2.75</v>
      </c>
      <c r="AJ118" s="229">
        <v>5.7999999999999996E-3</v>
      </c>
      <c r="AK118" s="228">
        <v>8.1999999999999993</v>
      </c>
      <c r="AL118" s="228">
        <v>11.2</v>
      </c>
      <c r="AM118" s="228">
        <v>-3</v>
      </c>
      <c r="AN118" s="229">
        <v>9.7000000000000003E-3</v>
      </c>
      <c r="AO118" s="228">
        <v>843.38</v>
      </c>
      <c r="AP118" s="228">
        <v>847.42</v>
      </c>
      <c r="AQ118" s="228">
        <v>0</v>
      </c>
      <c r="AR118" s="230">
        <v>5905900</v>
      </c>
      <c r="AS118" s="230">
        <v>1478400</v>
      </c>
      <c r="AT118" s="230">
        <v>4427500</v>
      </c>
      <c r="AU118" s="229">
        <v>2.9948000000000001</v>
      </c>
      <c r="AV118" s="230">
        <v>5236000</v>
      </c>
      <c r="AW118" s="230">
        <v>1200500</v>
      </c>
      <c r="AX118" s="230">
        <v>4035500</v>
      </c>
      <c r="AY118" s="229">
        <v>3.3614999999999999</v>
      </c>
      <c r="AZ118" s="230">
        <v>632100</v>
      </c>
      <c r="BA118" s="230">
        <v>221200</v>
      </c>
      <c r="BB118" s="230">
        <v>410900</v>
      </c>
      <c r="BC118" s="229">
        <v>1.8575999999999999</v>
      </c>
      <c r="BD118" s="230">
        <v>37800</v>
      </c>
      <c r="BE118" s="230">
        <v>56700</v>
      </c>
      <c r="BF118" s="230">
        <v>-18900</v>
      </c>
      <c r="BG118" s="229">
        <v>-0.33329999999999999</v>
      </c>
      <c r="BH118" s="230">
        <v>7809200</v>
      </c>
      <c r="BI118" s="230">
        <v>5096000</v>
      </c>
      <c r="BJ118" s="230">
        <v>2713200</v>
      </c>
      <c r="BK118" s="229">
        <v>0.53239999999999998</v>
      </c>
      <c r="BL118" s="230">
        <v>4379200</v>
      </c>
      <c r="BM118" s="230">
        <v>2377900</v>
      </c>
      <c r="BN118" s="230">
        <v>2001300</v>
      </c>
      <c r="BO118" s="229">
        <v>0.84160000000000001</v>
      </c>
      <c r="BP118" s="230">
        <v>18094300</v>
      </c>
      <c r="BQ118" s="230">
        <v>8952300</v>
      </c>
      <c r="BR118" s="230">
        <v>9142000</v>
      </c>
      <c r="BS118" s="229">
        <v>1.0212000000000001</v>
      </c>
      <c r="BT118" s="230">
        <v>4320163</v>
      </c>
      <c r="BU118" s="230">
        <v>771112</v>
      </c>
      <c r="BV118" s="230">
        <v>3549051</v>
      </c>
      <c r="BW118" s="229">
        <v>4.6025</v>
      </c>
      <c r="BX118" s="230">
        <v>12119800</v>
      </c>
      <c r="BY118" s="230">
        <v>11551400</v>
      </c>
      <c r="BZ118" s="230">
        <v>568400</v>
      </c>
      <c r="CA118" s="229">
        <v>4.9200000000000001E-2</v>
      </c>
      <c r="CB118" s="230">
        <v>10159800</v>
      </c>
      <c r="CC118" s="230">
        <v>9847600</v>
      </c>
      <c r="CD118" s="230">
        <v>312200</v>
      </c>
      <c r="CE118" s="229">
        <v>3.1699999999999999E-2</v>
      </c>
      <c r="CF118" s="230">
        <v>1726900</v>
      </c>
      <c r="CG118" s="230">
        <v>1481200</v>
      </c>
      <c r="CH118" s="230">
        <v>245700</v>
      </c>
      <c r="CI118" s="229">
        <v>0.16589999999999999</v>
      </c>
      <c r="CJ118" s="230">
        <v>233100</v>
      </c>
      <c r="CK118" s="230">
        <v>222600</v>
      </c>
      <c r="CL118" s="230">
        <v>10500</v>
      </c>
      <c r="CM118" s="229">
        <v>4.7199999999999999E-2</v>
      </c>
      <c r="CN118" s="230">
        <v>9540300</v>
      </c>
      <c r="CO118" s="230">
        <v>9514400</v>
      </c>
      <c r="CP118" s="230">
        <v>25900</v>
      </c>
      <c r="CQ118" s="229">
        <v>2.7000000000000001E-3</v>
      </c>
      <c r="CR118" s="230">
        <v>4672500</v>
      </c>
      <c r="CS118" s="230">
        <v>4528300</v>
      </c>
      <c r="CT118" s="230">
        <v>144200</v>
      </c>
      <c r="CU118" s="229">
        <v>3.1800000000000002E-2</v>
      </c>
      <c r="CV118" s="230">
        <v>26332600</v>
      </c>
      <c r="CW118" s="230">
        <v>25594100</v>
      </c>
      <c r="CX118" s="230">
        <v>738500</v>
      </c>
      <c r="CY118" s="229">
        <v>2.8899999999999999E-2</v>
      </c>
      <c r="CZ118" s="228">
        <v>18.690000000000001</v>
      </c>
      <c r="DA118" s="228">
        <v>19.329999999999998</v>
      </c>
      <c r="DB118" s="228">
        <v>-0.64</v>
      </c>
      <c r="DC118" s="228">
        <v>-0.64</v>
      </c>
      <c r="DD118" s="228">
        <v>30.46</v>
      </c>
      <c r="DE118" s="228">
        <v>30.53</v>
      </c>
      <c r="DF118" s="228">
        <v>-11.77</v>
      </c>
      <c r="DG118" s="228">
        <v>-7.0000000000000007E-2</v>
      </c>
      <c r="DH118" s="228">
        <v>19.37</v>
      </c>
      <c r="DI118" s="228">
        <v>19.989999999999998</v>
      </c>
      <c r="DJ118" s="228">
        <v>-0.62</v>
      </c>
      <c r="DK118" s="228">
        <v>-0.62</v>
      </c>
      <c r="DL118" s="228">
        <v>17.48</v>
      </c>
      <c r="DM118" s="228">
        <v>17.940000000000001</v>
      </c>
      <c r="DN118" s="228">
        <v>-0.46</v>
      </c>
      <c r="DO118" s="228">
        <v>-0.46</v>
      </c>
      <c r="DP118" s="228">
        <v>0.49</v>
      </c>
      <c r="DQ118" s="228">
        <v>0.48</v>
      </c>
      <c r="DR118" s="228">
        <v>0.01</v>
      </c>
      <c r="DS118" s="229">
        <v>2.0799999999999999E-2</v>
      </c>
      <c r="DT118" s="228">
        <v>900</v>
      </c>
      <c r="DU118" s="228">
        <v>900</v>
      </c>
      <c r="DV118" s="228">
        <v>0.56000000000000005</v>
      </c>
      <c r="DW118" s="228">
        <v>0.47</v>
      </c>
      <c r="DX118" s="228">
        <v>0.09</v>
      </c>
      <c r="DY118" s="229">
        <v>0.1915</v>
      </c>
      <c r="DZ118" s="229">
        <v>0.16170000000000001</v>
      </c>
      <c r="EA118" s="230">
        <v>1703800</v>
      </c>
      <c r="EB118" s="229">
        <v>5.0000000000000001E-3</v>
      </c>
      <c r="EC118" s="229">
        <v>0.16170000000000001</v>
      </c>
      <c r="ED118" s="228">
        <v>4.04</v>
      </c>
      <c r="EE118" s="229">
        <v>4.7999999999999996E-3</v>
      </c>
      <c r="EF118" s="230">
        <v>3012544</v>
      </c>
      <c r="EG118" s="230">
        <v>438211</v>
      </c>
      <c r="EH118" s="229">
        <v>5.8746</v>
      </c>
      <c r="EI118" s="229">
        <v>0.69730000000000003</v>
      </c>
      <c r="EJ118" s="231">
        <v>68547.63</v>
      </c>
      <c r="EK118" s="231">
        <v>37223.89</v>
      </c>
      <c r="EL118" s="231">
        <v>49837.81</v>
      </c>
      <c r="EM118" s="231">
        <v>2560</v>
      </c>
      <c r="EN118" s="231">
        <v>155609.32999999999</v>
      </c>
      <c r="EO118" s="231">
        <v>77964.27</v>
      </c>
      <c r="EP118" s="231">
        <v>77645.06</v>
      </c>
      <c r="EQ118" s="229">
        <v>0.99590000000000001</v>
      </c>
      <c r="ER118" s="231">
        <v>86415</v>
      </c>
      <c r="ES118" s="231">
        <v>40135</v>
      </c>
      <c r="ET118" s="231">
        <v>102873</v>
      </c>
      <c r="EU118" s="231">
        <v>32057152</v>
      </c>
      <c r="EV118" s="231">
        <v>229423</v>
      </c>
      <c r="EW118" s="231">
        <v>223338</v>
      </c>
      <c r="EX118" s="231">
        <v>6085</v>
      </c>
      <c r="EY118" s="229">
        <v>2.7199999999999998E-2</v>
      </c>
      <c r="EZ118" s="229">
        <v>0.82140000000000002</v>
      </c>
      <c r="FA118" s="227" t="s">
        <v>555</v>
      </c>
      <c r="FB118" s="161">
        <f t="shared" si="1"/>
        <v>1960000</v>
      </c>
    </row>
    <row r="119" spans="1:158" ht="17.25" hidden="1" thickBot="1" x14ac:dyDescent="0.3">
      <c r="A119" s="226">
        <v>46009</v>
      </c>
      <c r="B119" s="227" t="s">
        <v>206</v>
      </c>
      <c r="C119" s="227" t="s">
        <v>588</v>
      </c>
      <c r="D119" s="228">
        <v>450</v>
      </c>
      <c r="E119" s="231">
        <v>1071.3</v>
      </c>
      <c r="F119" s="231">
        <v>1064.7</v>
      </c>
      <c r="G119" s="228">
        <v>6.6</v>
      </c>
      <c r="H119" s="229">
        <v>6.1999999999999998E-3</v>
      </c>
      <c r="I119" s="231">
        <v>1069.0999999999999</v>
      </c>
      <c r="J119" s="231">
        <v>1063.8</v>
      </c>
      <c r="K119" s="228">
        <v>5.3</v>
      </c>
      <c r="L119" s="229">
        <v>5.0000000000000001E-3</v>
      </c>
      <c r="M119" s="231">
        <v>1071.3</v>
      </c>
      <c r="N119" s="231">
        <v>1064.7</v>
      </c>
      <c r="O119" s="228">
        <v>6.6</v>
      </c>
      <c r="P119" s="229">
        <v>6.1999999999999998E-3</v>
      </c>
      <c r="Q119" s="231">
        <v>1078</v>
      </c>
      <c r="R119" s="231">
        <v>1069.9000000000001</v>
      </c>
      <c r="S119" s="228">
        <v>8.1</v>
      </c>
      <c r="T119" s="229">
        <v>7.6E-3</v>
      </c>
      <c r="U119" s="231">
        <v>1087</v>
      </c>
      <c r="V119" s="231">
        <v>1080.2</v>
      </c>
      <c r="W119" s="228">
        <v>6.8</v>
      </c>
      <c r="X119" s="229">
        <v>6.3E-3</v>
      </c>
      <c r="Y119" s="228">
        <v>2.2000000000000002</v>
      </c>
      <c r="Z119" s="228">
        <v>0.9</v>
      </c>
      <c r="AA119" s="228">
        <v>1.3</v>
      </c>
      <c r="AB119" s="229">
        <v>2.0999999999999999E-3</v>
      </c>
      <c r="AC119" s="228">
        <v>2.2000000000000002</v>
      </c>
      <c r="AD119" s="228">
        <v>0.9</v>
      </c>
      <c r="AE119" s="228">
        <v>1.3</v>
      </c>
      <c r="AF119" s="229">
        <v>2.0999999999999999E-3</v>
      </c>
      <c r="AG119" s="228">
        <v>8.9</v>
      </c>
      <c r="AH119" s="228">
        <v>6.1</v>
      </c>
      <c r="AI119" s="228">
        <v>2.8</v>
      </c>
      <c r="AJ119" s="229">
        <v>8.3000000000000001E-3</v>
      </c>
      <c r="AK119" s="228">
        <v>17.899999999999999</v>
      </c>
      <c r="AL119" s="228">
        <v>16.399999999999999</v>
      </c>
      <c r="AM119" s="228">
        <v>1.5</v>
      </c>
      <c r="AN119" s="229">
        <v>1.67E-2</v>
      </c>
      <c r="AO119" s="231">
        <v>1066.46</v>
      </c>
      <c r="AP119" s="231">
        <v>1074.71</v>
      </c>
      <c r="AQ119" s="228">
        <v>0</v>
      </c>
      <c r="AR119" s="230">
        <v>1318950</v>
      </c>
      <c r="AS119" s="230">
        <v>2084850</v>
      </c>
      <c r="AT119" s="230">
        <v>-765900</v>
      </c>
      <c r="AU119" s="229">
        <v>-0.3674</v>
      </c>
      <c r="AV119" s="230">
        <v>965250</v>
      </c>
      <c r="AW119" s="230">
        <v>1404000</v>
      </c>
      <c r="AX119" s="230">
        <v>-438750</v>
      </c>
      <c r="AY119" s="229">
        <v>-0.3125</v>
      </c>
      <c r="AZ119" s="230">
        <v>351000</v>
      </c>
      <c r="BA119" s="230">
        <v>672300</v>
      </c>
      <c r="BB119" s="230">
        <v>-321300</v>
      </c>
      <c r="BC119" s="229">
        <v>-0.47789999999999999</v>
      </c>
      <c r="BD119" s="230">
        <v>2700</v>
      </c>
      <c r="BE119" s="230">
        <v>8550</v>
      </c>
      <c r="BF119" s="230">
        <v>-5850</v>
      </c>
      <c r="BG119" s="229">
        <v>-0.68420000000000003</v>
      </c>
      <c r="BH119" s="230">
        <v>4434750</v>
      </c>
      <c r="BI119" s="230">
        <v>6896700</v>
      </c>
      <c r="BJ119" s="230">
        <v>-2461950</v>
      </c>
      <c r="BK119" s="229">
        <v>-0.35699999999999998</v>
      </c>
      <c r="BL119" s="230">
        <v>1558800</v>
      </c>
      <c r="BM119" s="230">
        <v>2281500</v>
      </c>
      <c r="BN119" s="230">
        <v>-722700</v>
      </c>
      <c r="BO119" s="229">
        <v>-0.31680000000000003</v>
      </c>
      <c r="BP119" s="230">
        <v>7312500</v>
      </c>
      <c r="BQ119" s="230">
        <v>11263050</v>
      </c>
      <c r="BR119" s="230">
        <v>-3950550</v>
      </c>
      <c r="BS119" s="229">
        <v>-0.3508</v>
      </c>
      <c r="BT119" s="230">
        <v>472861</v>
      </c>
      <c r="BU119" s="230">
        <v>1035150</v>
      </c>
      <c r="BV119" s="230">
        <v>-562289</v>
      </c>
      <c r="BW119" s="229">
        <v>-0.54320000000000002</v>
      </c>
      <c r="BX119" s="230">
        <v>13113900</v>
      </c>
      <c r="BY119" s="230">
        <v>13173750</v>
      </c>
      <c r="BZ119" s="230">
        <v>-59850</v>
      </c>
      <c r="CA119" s="229">
        <v>-4.4999999999999997E-3</v>
      </c>
      <c r="CB119" s="230">
        <v>12124350</v>
      </c>
      <c r="CC119" s="230">
        <v>12316050</v>
      </c>
      <c r="CD119" s="230">
        <v>-191700</v>
      </c>
      <c r="CE119" s="229">
        <v>-1.5599999999999999E-2</v>
      </c>
      <c r="CF119" s="230">
        <v>913500</v>
      </c>
      <c r="CG119" s="230">
        <v>783450</v>
      </c>
      <c r="CH119" s="230">
        <v>130050</v>
      </c>
      <c r="CI119" s="229">
        <v>0.16600000000000001</v>
      </c>
      <c r="CJ119" s="230">
        <v>76050</v>
      </c>
      <c r="CK119" s="230">
        <v>74250</v>
      </c>
      <c r="CL119" s="230">
        <v>1800</v>
      </c>
      <c r="CM119" s="229">
        <v>2.4199999999999999E-2</v>
      </c>
      <c r="CN119" s="230">
        <v>5134950</v>
      </c>
      <c r="CO119" s="230">
        <v>5736150</v>
      </c>
      <c r="CP119" s="230">
        <v>-601200</v>
      </c>
      <c r="CQ119" s="229">
        <v>-0.1048</v>
      </c>
      <c r="CR119" s="230">
        <v>2411100</v>
      </c>
      <c r="CS119" s="230">
        <v>2313900</v>
      </c>
      <c r="CT119" s="230">
        <v>97200</v>
      </c>
      <c r="CU119" s="229">
        <v>4.2000000000000003E-2</v>
      </c>
      <c r="CV119" s="230">
        <v>20659950</v>
      </c>
      <c r="CW119" s="230">
        <v>21223800</v>
      </c>
      <c r="CX119" s="230">
        <v>-563850</v>
      </c>
      <c r="CY119" s="229">
        <v>-2.6599999999999999E-2</v>
      </c>
      <c r="CZ119" s="228">
        <v>26.63</v>
      </c>
      <c r="DA119" s="228">
        <v>28.75</v>
      </c>
      <c r="DB119" s="228">
        <v>-2.12</v>
      </c>
      <c r="DC119" s="228">
        <v>-2.12</v>
      </c>
      <c r="DD119" s="228">
        <v>43.9</v>
      </c>
      <c r="DE119" s="228">
        <v>44.01</v>
      </c>
      <c r="DF119" s="228">
        <v>-17.27</v>
      </c>
      <c r="DG119" s="228">
        <v>-0.11</v>
      </c>
      <c r="DH119" s="228">
        <v>26.87</v>
      </c>
      <c r="DI119" s="228">
        <v>29.48</v>
      </c>
      <c r="DJ119" s="228">
        <v>-2.61</v>
      </c>
      <c r="DK119" s="228">
        <v>-2.61</v>
      </c>
      <c r="DL119" s="228">
        <v>25.94</v>
      </c>
      <c r="DM119" s="228">
        <v>26.56</v>
      </c>
      <c r="DN119" s="228">
        <v>-0.62</v>
      </c>
      <c r="DO119" s="228">
        <v>-0.62</v>
      </c>
      <c r="DP119" s="228">
        <v>0.47</v>
      </c>
      <c r="DQ119" s="228">
        <v>0.4</v>
      </c>
      <c r="DR119" s="228">
        <v>7.0000000000000007E-2</v>
      </c>
      <c r="DS119" s="229">
        <v>0.17499999999999999</v>
      </c>
      <c r="DT119" s="231">
        <v>1160</v>
      </c>
      <c r="DU119" s="231">
        <v>1000</v>
      </c>
      <c r="DV119" s="228">
        <v>0.35</v>
      </c>
      <c r="DW119" s="228">
        <v>0.33</v>
      </c>
      <c r="DX119" s="228">
        <v>0.02</v>
      </c>
      <c r="DY119" s="229">
        <v>6.0600000000000001E-2</v>
      </c>
      <c r="DZ119" s="229">
        <v>7.5499999999999998E-2</v>
      </c>
      <c r="EA119" s="230">
        <v>857700</v>
      </c>
      <c r="EB119" s="229">
        <v>6.3E-3</v>
      </c>
      <c r="EC119" s="229">
        <v>7.5499999999999998E-2</v>
      </c>
      <c r="ED119" s="228">
        <v>8.25</v>
      </c>
      <c r="EE119" s="229">
        <v>7.7000000000000002E-3</v>
      </c>
      <c r="EF119" s="230">
        <v>188232</v>
      </c>
      <c r="EG119" s="230">
        <v>371646</v>
      </c>
      <c r="EH119" s="229">
        <v>-0.49349999999999999</v>
      </c>
      <c r="EI119" s="229">
        <v>0.39810000000000001</v>
      </c>
      <c r="EJ119" s="231">
        <v>50038.22</v>
      </c>
      <c r="EK119" s="231">
        <v>16466.09</v>
      </c>
      <c r="EL119" s="231">
        <v>14095.48</v>
      </c>
      <c r="EM119" s="231">
        <v>2761</v>
      </c>
      <c r="EN119" s="231">
        <v>80599.789999999994</v>
      </c>
      <c r="EO119" s="231">
        <v>125015.26</v>
      </c>
      <c r="EP119" s="231">
        <v>-44415.47</v>
      </c>
      <c r="EQ119" s="229">
        <v>-0.3553</v>
      </c>
      <c r="ER119" s="231">
        <v>59662</v>
      </c>
      <c r="ES119" s="231">
        <v>26487</v>
      </c>
      <c r="ET119" s="231">
        <v>140562</v>
      </c>
      <c r="EU119" s="231">
        <v>42060143</v>
      </c>
      <c r="EV119" s="231">
        <v>226711</v>
      </c>
      <c r="EW119" s="231">
        <v>232430</v>
      </c>
      <c r="EX119" s="231">
        <v>-5719</v>
      </c>
      <c r="EY119" s="229">
        <v>-2.46E-2</v>
      </c>
      <c r="EZ119" s="229">
        <v>0.49120000000000003</v>
      </c>
      <c r="FA119" s="227" t="s">
        <v>556</v>
      </c>
      <c r="FB119" s="161">
        <f t="shared" si="1"/>
        <v>989550</v>
      </c>
    </row>
    <row r="120" spans="1:158" ht="17.25" hidden="1" thickBot="1" x14ac:dyDescent="0.3">
      <c r="A120" s="226">
        <v>46009</v>
      </c>
      <c r="B120" s="227" t="s">
        <v>184</v>
      </c>
      <c r="C120" s="227" t="s">
        <v>249</v>
      </c>
      <c r="D120" s="228">
        <v>175</v>
      </c>
      <c r="E120" s="231">
        <v>4040.2</v>
      </c>
      <c r="F120" s="231">
        <v>4068.7</v>
      </c>
      <c r="G120" s="228">
        <v>-28.5</v>
      </c>
      <c r="H120" s="229">
        <v>-7.0000000000000001E-3</v>
      </c>
      <c r="I120" s="231">
        <v>4031.1</v>
      </c>
      <c r="J120" s="231">
        <v>4062.4</v>
      </c>
      <c r="K120" s="228">
        <v>-31.3</v>
      </c>
      <c r="L120" s="229">
        <v>-7.7000000000000002E-3</v>
      </c>
      <c r="M120" s="231">
        <v>4040.2</v>
      </c>
      <c r="N120" s="231">
        <v>4068.7</v>
      </c>
      <c r="O120" s="228">
        <v>-28.5</v>
      </c>
      <c r="P120" s="229">
        <v>-7.0000000000000001E-3</v>
      </c>
      <c r="Q120" s="231">
        <v>4066.5</v>
      </c>
      <c r="R120" s="231">
        <v>4093.7</v>
      </c>
      <c r="S120" s="228">
        <v>-27.2</v>
      </c>
      <c r="T120" s="229">
        <v>-6.6E-3</v>
      </c>
      <c r="U120" s="231">
        <v>4090.8</v>
      </c>
      <c r="V120" s="231">
        <v>4118.7</v>
      </c>
      <c r="W120" s="228">
        <v>-27.9</v>
      </c>
      <c r="X120" s="229">
        <v>-6.7999999999999996E-3</v>
      </c>
      <c r="Y120" s="228">
        <v>9.1</v>
      </c>
      <c r="Z120" s="228">
        <v>6.3</v>
      </c>
      <c r="AA120" s="228">
        <v>2.8</v>
      </c>
      <c r="AB120" s="229">
        <v>2.3E-3</v>
      </c>
      <c r="AC120" s="228">
        <v>9.1</v>
      </c>
      <c r="AD120" s="228">
        <v>6.3</v>
      </c>
      <c r="AE120" s="228">
        <v>2.8</v>
      </c>
      <c r="AF120" s="229">
        <v>2.3E-3</v>
      </c>
      <c r="AG120" s="228">
        <v>35.4</v>
      </c>
      <c r="AH120" s="228">
        <v>31.3</v>
      </c>
      <c r="AI120" s="228">
        <v>4.0999999999999996</v>
      </c>
      <c r="AJ120" s="229">
        <v>8.8000000000000005E-3</v>
      </c>
      <c r="AK120" s="228">
        <v>59.7</v>
      </c>
      <c r="AL120" s="228">
        <v>56.3</v>
      </c>
      <c r="AM120" s="228">
        <v>3.4</v>
      </c>
      <c r="AN120" s="229">
        <v>1.4800000000000001E-2</v>
      </c>
      <c r="AO120" s="231">
        <v>4047.45</v>
      </c>
      <c r="AP120" s="231">
        <v>4073.78</v>
      </c>
      <c r="AQ120" s="228">
        <v>0</v>
      </c>
      <c r="AR120" s="230">
        <v>2634100</v>
      </c>
      <c r="AS120" s="230">
        <v>1012025</v>
      </c>
      <c r="AT120" s="230">
        <v>1622075</v>
      </c>
      <c r="AU120" s="229">
        <v>1.6028</v>
      </c>
      <c r="AV120" s="230">
        <v>1656375</v>
      </c>
      <c r="AW120" s="230">
        <v>791700</v>
      </c>
      <c r="AX120" s="230">
        <v>864675</v>
      </c>
      <c r="AY120" s="229">
        <v>1.0922000000000001</v>
      </c>
      <c r="AZ120" s="230">
        <v>955500</v>
      </c>
      <c r="BA120" s="230">
        <v>213325</v>
      </c>
      <c r="BB120" s="230">
        <v>742175</v>
      </c>
      <c r="BC120" s="229">
        <v>3.4790999999999999</v>
      </c>
      <c r="BD120" s="230">
        <v>22225</v>
      </c>
      <c r="BE120" s="230">
        <v>7000</v>
      </c>
      <c r="BF120" s="230">
        <v>15225</v>
      </c>
      <c r="BG120" s="229">
        <v>2.1749999999999998</v>
      </c>
      <c r="BH120" s="230">
        <v>4178650</v>
      </c>
      <c r="BI120" s="230">
        <v>3446800</v>
      </c>
      <c r="BJ120" s="230">
        <v>731850</v>
      </c>
      <c r="BK120" s="229">
        <v>0.21229999999999999</v>
      </c>
      <c r="BL120" s="230">
        <v>2320850</v>
      </c>
      <c r="BM120" s="230">
        <v>2339575</v>
      </c>
      <c r="BN120" s="230">
        <v>-18725</v>
      </c>
      <c r="BO120" s="229">
        <v>-8.0000000000000002E-3</v>
      </c>
      <c r="BP120" s="230">
        <v>9133600</v>
      </c>
      <c r="BQ120" s="230">
        <v>6798400</v>
      </c>
      <c r="BR120" s="230">
        <v>2335200</v>
      </c>
      <c r="BS120" s="229">
        <v>0.34350000000000003</v>
      </c>
      <c r="BT120" s="230">
        <v>1238679</v>
      </c>
      <c r="BU120" s="230">
        <v>1103665</v>
      </c>
      <c r="BV120" s="230">
        <v>135014</v>
      </c>
      <c r="BW120" s="229">
        <v>0.12230000000000001</v>
      </c>
      <c r="BX120" s="230">
        <v>13849150</v>
      </c>
      <c r="BY120" s="230">
        <v>13672225</v>
      </c>
      <c r="BZ120" s="230">
        <v>176925</v>
      </c>
      <c r="CA120" s="229">
        <v>1.29E-2</v>
      </c>
      <c r="CB120" s="230">
        <v>11049150</v>
      </c>
      <c r="CC120" s="230">
        <v>11724650</v>
      </c>
      <c r="CD120" s="230">
        <v>-675500</v>
      </c>
      <c r="CE120" s="229">
        <v>-5.7599999999999998E-2</v>
      </c>
      <c r="CF120" s="230">
        <v>2710750</v>
      </c>
      <c r="CG120" s="230">
        <v>1871450</v>
      </c>
      <c r="CH120" s="230">
        <v>839300</v>
      </c>
      <c r="CI120" s="229">
        <v>0.44850000000000001</v>
      </c>
      <c r="CJ120" s="230">
        <v>89250</v>
      </c>
      <c r="CK120" s="230">
        <v>76125</v>
      </c>
      <c r="CL120" s="230">
        <v>13125</v>
      </c>
      <c r="CM120" s="229">
        <v>0.1724</v>
      </c>
      <c r="CN120" s="230">
        <v>5701500</v>
      </c>
      <c r="CO120" s="230">
        <v>5687850</v>
      </c>
      <c r="CP120" s="230">
        <v>13650</v>
      </c>
      <c r="CQ120" s="229">
        <v>2.3999999999999998E-3</v>
      </c>
      <c r="CR120" s="230">
        <v>3177650</v>
      </c>
      <c r="CS120" s="230">
        <v>3238200</v>
      </c>
      <c r="CT120" s="230">
        <v>-60550</v>
      </c>
      <c r="CU120" s="229">
        <v>-1.8700000000000001E-2</v>
      </c>
      <c r="CV120" s="230">
        <v>22728300</v>
      </c>
      <c r="CW120" s="230">
        <v>22598275</v>
      </c>
      <c r="CX120" s="230">
        <v>130025</v>
      </c>
      <c r="CY120" s="229">
        <v>5.7999999999999996E-3</v>
      </c>
      <c r="CZ120" s="228">
        <v>14.38</v>
      </c>
      <c r="DA120" s="228">
        <v>14.65</v>
      </c>
      <c r="DB120" s="228">
        <v>-0.27</v>
      </c>
      <c r="DC120" s="228">
        <v>-0.27</v>
      </c>
      <c r="DD120" s="228">
        <v>26.04</v>
      </c>
      <c r="DE120" s="228">
        <v>26.08</v>
      </c>
      <c r="DF120" s="228">
        <v>-11.66</v>
      </c>
      <c r="DG120" s="228">
        <v>-0.04</v>
      </c>
      <c r="DH120" s="228">
        <v>14.48</v>
      </c>
      <c r="DI120" s="228">
        <v>14.64</v>
      </c>
      <c r="DJ120" s="228">
        <v>-0.16</v>
      </c>
      <c r="DK120" s="228">
        <v>-0.16</v>
      </c>
      <c r="DL120" s="228">
        <v>14.2</v>
      </c>
      <c r="DM120" s="228">
        <v>14.68</v>
      </c>
      <c r="DN120" s="228">
        <v>-0.48</v>
      </c>
      <c r="DO120" s="228">
        <v>-0.48</v>
      </c>
      <c r="DP120" s="228">
        <v>0.56000000000000005</v>
      </c>
      <c r="DQ120" s="228">
        <v>0.56999999999999995</v>
      </c>
      <c r="DR120" s="228">
        <v>-0.01</v>
      </c>
      <c r="DS120" s="229">
        <v>-1.7500000000000002E-2</v>
      </c>
      <c r="DT120" s="231">
        <v>4100</v>
      </c>
      <c r="DU120" s="231">
        <v>4000</v>
      </c>
      <c r="DV120" s="228">
        <v>0.56000000000000005</v>
      </c>
      <c r="DW120" s="228">
        <v>0.68</v>
      </c>
      <c r="DX120" s="228">
        <v>-0.12</v>
      </c>
      <c r="DY120" s="229">
        <v>-0.17649999999999999</v>
      </c>
      <c r="DZ120" s="229">
        <v>0.20219999999999999</v>
      </c>
      <c r="EA120" s="230">
        <v>1947575</v>
      </c>
      <c r="EB120" s="229">
        <v>6.4999999999999997E-3</v>
      </c>
      <c r="EC120" s="229">
        <v>0.20219999999999999</v>
      </c>
      <c r="ED120" s="228">
        <v>26.33</v>
      </c>
      <c r="EE120" s="229">
        <v>6.4999999999999997E-3</v>
      </c>
      <c r="EF120" s="230">
        <v>523907</v>
      </c>
      <c r="EG120" s="230">
        <v>632372</v>
      </c>
      <c r="EH120" s="229">
        <v>-0.17150000000000001</v>
      </c>
      <c r="EI120" s="229">
        <v>0.42299999999999999</v>
      </c>
      <c r="EJ120" s="231">
        <v>172407.66</v>
      </c>
      <c r="EK120" s="231">
        <v>93956.1</v>
      </c>
      <c r="EL120" s="231">
        <v>106875.57</v>
      </c>
      <c r="EM120" s="231">
        <v>9001</v>
      </c>
      <c r="EN120" s="231">
        <v>373239.33</v>
      </c>
      <c r="EO120" s="231">
        <v>278865.05</v>
      </c>
      <c r="EP120" s="231">
        <v>94374.28</v>
      </c>
      <c r="EQ120" s="229">
        <v>0.33839999999999998</v>
      </c>
      <c r="ER120" s="231">
        <v>236492</v>
      </c>
      <c r="ES120" s="231">
        <v>125171</v>
      </c>
      <c r="ET120" s="231">
        <v>560291</v>
      </c>
      <c r="EU120" s="231">
        <v>136007303</v>
      </c>
      <c r="EV120" s="231">
        <v>921955</v>
      </c>
      <c r="EW120" s="231">
        <v>920452</v>
      </c>
      <c r="EX120" s="231">
        <v>1503</v>
      </c>
      <c r="EY120" s="229">
        <v>1.6000000000000001E-3</v>
      </c>
      <c r="EZ120" s="229">
        <v>0.1671</v>
      </c>
      <c r="FA120" s="227" t="s">
        <v>567</v>
      </c>
      <c r="FB120" s="161">
        <f t="shared" si="1"/>
        <v>2800000</v>
      </c>
    </row>
    <row r="121" spans="1:158" ht="17.25" hidden="1" thickBot="1" x14ac:dyDescent="0.3">
      <c r="A121" s="226">
        <v>46009</v>
      </c>
      <c r="B121" s="227" t="s">
        <v>175</v>
      </c>
      <c r="C121" s="227" t="s">
        <v>565</v>
      </c>
      <c r="D121" s="228">
        <v>4462</v>
      </c>
      <c r="E121" s="228">
        <v>300.8</v>
      </c>
      <c r="F121" s="228">
        <v>303.05</v>
      </c>
      <c r="G121" s="228">
        <v>-2.25</v>
      </c>
      <c r="H121" s="229">
        <v>-7.4000000000000003E-3</v>
      </c>
      <c r="I121" s="228">
        <v>299.85000000000002</v>
      </c>
      <c r="J121" s="228">
        <v>301.89999999999998</v>
      </c>
      <c r="K121" s="228">
        <v>-2.0499999999999998</v>
      </c>
      <c r="L121" s="229">
        <v>-6.7999999999999996E-3</v>
      </c>
      <c r="M121" s="228">
        <v>300.8</v>
      </c>
      <c r="N121" s="228">
        <v>303.05</v>
      </c>
      <c r="O121" s="228">
        <v>-2.25</v>
      </c>
      <c r="P121" s="229">
        <v>-7.4000000000000003E-3</v>
      </c>
      <c r="Q121" s="228">
        <v>302.25</v>
      </c>
      <c r="R121" s="228">
        <v>304.3</v>
      </c>
      <c r="S121" s="228">
        <v>-2.0499999999999998</v>
      </c>
      <c r="T121" s="229">
        <v>-6.7000000000000002E-3</v>
      </c>
      <c r="U121" s="228">
        <v>303.60000000000002</v>
      </c>
      <c r="V121" s="228">
        <v>306</v>
      </c>
      <c r="W121" s="228">
        <v>-2.4</v>
      </c>
      <c r="X121" s="229">
        <v>-7.7999999999999996E-3</v>
      </c>
      <c r="Y121" s="228">
        <v>0.95</v>
      </c>
      <c r="Z121" s="228">
        <v>1.1499999999999999</v>
      </c>
      <c r="AA121" s="228">
        <v>-0.2</v>
      </c>
      <c r="AB121" s="229">
        <v>3.2000000000000002E-3</v>
      </c>
      <c r="AC121" s="228">
        <v>0.95</v>
      </c>
      <c r="AD121" s="228">
        <v>1.1499999999999999</v>
      </c>
      <c r="AE121" s="228">
        <v>-0.2</v>
      </c>
      <c r="AF121" s="229">
        <v>3.2000000000000002E-3</v>
      </c>
      <c r="AG121" s="228">
        <v>2.4</v>
      </c>
      <c r="AH121" s="228">
        <v>2.4</v>
      </c>
      <c r="AI121" s="228">
        <v>0</v>
      </c>
      <c r="AJ121" s="229">
        <v>8.0000000000000002E-3</v>
      </c>
      <c r="AK121" s="228">
        <v>3.75</v>
      </c>
      <c r="AL121" s="228">
        <v>4.0999999999999996</v>
      </c>
      <c r="AM121" s="228">
        <v>-0.35</v>
      </c>
      <c r="AN121" s="229">
        <v>1.2500000000000001E-2</v>
      </c>
      <c r="AO121" s="228">
        <v>301.95999999999998</v>
      </c>
      <c r="AP121" s="228">
        <v>303.01</v>
      </c>
      <c r="AQ121" s="228">
        <v>0</v>
      </c>
      <c r="AR121" s="230">
        <v>13158438</v>
      </c>
      <c r="AS121" s="230">
        <v>11935850</v>
      </c>
      <c r="AT121" s="230">
        <v>1222588</v>
      </c>
      <c r="AU121" s="229">
        <v>0.1024</v>
      </c>
      <c r="AV121" s="230">
        <v>11065760</v>
      </c>
      <c r="AW121" s="230">
        <v>9682540</v>
      </c>
      <c r="AX121" s="230">
        <v>1383220</v>
      </c>
      <c r="AY121" s="229">
        <v>0.1429</v>
      </c>
      <c r="AZ121" s="230">
        <v>2003438</v>
      </c>
      <c r="BA121" s="230">
        <v>2164070</v>
      </c>
      <c r="BB121" s="230">
        <v>-160632</v>
      </c>
      <c r="BC121" s="229">
        <v>-7.4200000000000002E-2</v>
      </c>
      <c r="BD121" s="230">
        <v>89240</v>
      </c>
      <c r="BE121" s="230">
        <v>89240</v>
      </c>
      <c r="BF121" s="228">
        <v>0</v>
      </c>
      <c r="BG121" s="229">
        <v>0</v>
      </c>
      <c r="BH121" s="230">
        <v>38636458</v>
      </c>
      <c r="BI121" s="230">
        <v>36307294</v>
      </c>
      <c r="BJ121" s="230">
        <v>2329164</v>
      </c>
      <c r="BK121" s="229">
        <v>6.4199999999999993E-2</v>
      </c>
      <c r="BL121" s="230">
        <v>23519202</v>
      </c>
      <c r="BM121" s="230">
        <v>16884208</v>
      </c>
      <c r="BN121" s="230">
        <v>6634994</v>
      </c>
      <c r="BO121" s="229">
        <v>0.39300000000000002</v>
      </c>
      <c r="BP121" s="230">
        <v>75314098</v>
      </c>
      <c r="BQ121" s="230">
        <v>65127352</v>
      </c>
      <c r="BR121" s="230">
        <v>10186746</v>
      </c>
      <c r="BS121" s="229">
        <v>0.15640000000000001</v>
      </c>
      <c r="BT121" s="230">
        <v>4860728</v>
      </c>
      <c r="BU121" s="230">
        <v>4179671</v>
      </c>
      <c r="BV121" s="230">
        <v>681057</v>
      </c>
      <c r="BW121" s="229">
        <v>0.16289999999999999</v>
      </c>
      <c r="BX121" s="230">
        <v>41187852</v>
      </c>
      <c r="BY121" s="230">
        <v>40596504</v>
      </c>
      <c r="BZ121" s="230">
        <v>591348</v>
      </c>
      <c r="CA121" s="229">
        <v>1.46E-2</v>
      </c>
      <c r="CB121" s="230">
        <v>38913102</v>
      </c>
      <c r="CC121" s="230">
        <v>38337504</v>
      </c>
      <c r="CD121" s="230">
        <v>575598</v>
      </c>
      <c r="CE121" s="229">
        <v>1.4999999999999999E-2</v>
      </c>
      <c r="CF121" s="230">
        <v>2083500</v>
      </c>
      <c r="CG121" s="230">
        <v>2072250</v>
      </c>
      <c r="CH121" s="230">
        <v>11250</v>
      </c>
      <c r="CI121" s="229">
        <v>5.4000000000000003E-3</v>
      </c>
      <c r="CJ121" s="230">
        <v>191250</v>
      </c>
      <c r="CK121" s="230">
        <v>186750</v>
      </c>
      <c r="CL121" s="230">
        <v>4500</v>
      </c>
      <c r="CM121" s="229">
        <v>2.41E-2</v>
      </c>
      <c r="CN121" s="230">
        <v>37593358</v>
      </c>
      <c r="CO121" s="230">
        <v>37459088</v>
      </c>
      <c r="CP121" s="230">
        <v>134270</v>
      </c>
      <c r="CQ121" s="229">
        <v>3.5999999999999999E-3</v>
      </c>
      <c r="CR121" s="230">
        <v>23980466</v>
      </c>
      <c r="CS121" s="230">
        <v>24062614</v>
      </c>
      <c r="CT121" s="230">
        <v>-82148</v>
      </c>
      <c r="CU121" s="229">
        <v>-3.3999999999999998E-3</v>
      </c>
      <c r="CV121" s="230">
        <v>102761676</v>
      </c>
      <c r="CW121" s="230">
        <v>102118206</v>
      </c>
      <c r="CX121" s="230">
        <v>643470</v>
      </c>
      <c r="CY121" s="229">
        <v>6.3E-3</v>
      </c>
      <c r="CZ121" s="228">
        <v>26.53</v>
      </c>
      <c r="DA121" s="228">
        <v>26.78</v>
      </c>
      <c r="DB121" s="228">
        <v>-0.25</v>
      </c>
      <c r="DC121" s="228">
        <v>-0.25</v>
      </c>
      <c r="DD121" s="228">
        <v>38.92</v>
      </c>
      <c r="DE121" s="228">
        <v>39</v>
      </c>
      <c r="DF121" s="228">
        <v>-12.39</v>
      </c>
      <c r="DG121" s="228">
        <v>-0.08</v>
      </c>
      <c r="DH121" s="228">
        <v>27.07</v>
      </c>
      <c r="DI121" s="228">
        <v>26.78</v>
      </c>
      <c r="DJ121" s="228">
        <v>0.28999999999999998</v>
      </c>
      <c r="DK121" s="228">
        <v>0.28999999999999998</v>
      </c>
      <c r="DL121" s="228">
        <v>25.63</v>
      </c>
      <c r="DM121" s="228">
        <v>26.79</v>
      </c>
      <c r="DN121" s="228">
        <v>-1.1599999999999999</v>
      </c>
      <c r="DO121" s="228">
        <v>-1.1599999999999999</v>
      </c>
      <c r="DP121" s="228">
        <v>0.64</v>
      </c>
      <c r="DQ121" s="228">
        <v>0.64</v>
      </c>
      <c r="DR121" s="228">
        <v>0</v>
      </c>
      <c r="DS121" s="229">
        <v>0</v>
      </c>
      <c r="DT121" s="228">
        <v>320</v>
      </c>
      <c r="DU121" s="228">
        <v>300</v>
      </c>
      <c r="DV121" s="228">
        <v>0.61</v>
      </c>
      <c r="DW121" s="228">
        <v>0.47</v>
      </c>
      <c r="DX121" s="228">
        <v>0.14000000000000001</v>
      </c>
      <c r="DY121" s="229">
        <v>0.2979</v>
      </c>
      <c r="DZ121" s="229">
        <v>5.5199999999999999E-2</v>
      </c>
      <c r="EA121" s="230">
        <v>2259000</v>
      </c>
      <c r="EB121" s="229">
        <v>4.7999999999999996E-3</v>
      </c>
      <c r="EC121" s="229">
        <v>5.5199999999999999E-2</v>
      </c>
      <c r="ED121" s="228">
        <v>1.05</v>
      </c>
      <c r="EE121" s="229">
        <v>3.5000000000000001E-3</v>
      </c>
      <c r="EF121" s="230">
        <v>2337791</v>
      </c>
      <c r="EG121" s="230">
        <v>1945373</v>
      </c>
      <c r="EH121" s="229">
        <v>0.20169999999999999</v>
      </c>
      <c r="EI121" s="229">
        <v>0.48099999999999998</v>
      </c>
      <c r="EJ121" s="231">
        <v>117406.03</v>
      </c>
      <c r="EK121" s="231">
        <v>69528.7</v>
      </c>
      <c r="EL121" s="231">
        <v>36612.400000000001</v>
      </c>
      <c r="EM121" s="231">
        <v>2367</v>
      </c>
      <c r="EN121" s="231">
        <v>223547.13</v>
      </c>
      <c r="EO121" s="231">
        <v>194956.87</v>
      </c>
      <c r="EP121" s="231">
        <v>28590.26</v>
      </c>
      <c r="EQ121" s="229">
        <v>0.14660000000000001</v>
      </c>
      <c r="ER121" s="231">
        <v>118257</v>
      </c>
      <c r="ES121" s="231">
        <v>70259</v>
      </c>
      <c r="ET121" s="231">
        <v>123929</v>
      </c>
      <c r="EU121" s="231">
        <v>126777205</v>
      </c>
      <c r="EV121" s="231">
        <v>312445</v>
      </c>
      <c r="EW121" s="231">
        <v>311640</v>
      </c>
      <c r="EX121" s="228">
        <v>805</v>
      </c>
      <c r="EY121" s="229">
        <v>2.5999999999999999E-3</v>
      </c>
      <c r="EZ121" s="229">
        <v>0.81059999999999999</v>
      </c>
      <c r="FA121" s="227" t="s">
        <v>567</v>
      </c>
      <c r="FB121" s="161">
        <f t="shared" si="1"/>
        <v>2274750</v>
      </c>
    </row>
    <row r="122" spans="1:158" ht="17.25" hidden="1" thickBot="1" x14ac:dyDescent="0.3">
      <c r="A122" s="226">
        <v>46009</v>
      </c>
      <c r="B122" s="227" t="s">
        <v>221</v>
      </c>
      <c r="C122" s="227" t="s">
        <v>561</v>
      </c>
      <c r="D122" s="228">
        <v>150</v>
      </c>
      <c r="E122" s="231">
        <v>6271.5</v>
      </c>
      <c r="F122" s="231">
        <v>6270.5</v>
      </c>
      <c r="G122" s="228">
        <v>1</v>
      </c>
      <c r="H122" s="229">
        <v>2.0000000000000001E-4</v>
      </c>
      <c r="I122" s="231">
        <v>6245</v>
      </c>
      <c r="J122" s="231">
        <v>6252.5</v>
      </c>
      <c r="K122" s="228">
        <v>-7.5</v>
      </c>
      <c r="L122" s="229">
        <v>-1.1999999999999999E-3</v>
      </c>
      <c r="M122" s="231">
        <v>6271.5</v>
      </c>
      <c r="N122" s="231">
        <v>6270.5</v>
      </c>
      <c r="O122" s="228">
        <v>1</v>
      </c>
      <c r="P122" s="229">
        <v>2.0000000000000001E-4</v>
      </c>
      <c r="Q122" s="231">
        <v>6308</v>
      </c>
      <c r="R122" s="231">
        <v>6304</v>
      </c>
      <c r="S122" s="228">
        <v>4</v>
      </c>
      <c r="T122" s="229">
        <v>5.9999999999999995E-4</v>
      </c>
      <c r="U122" s="231">
        <v>6269</v>
      </c>
      <c r="V122" s="231">
        <v>6316.5</v>
      </c>
      <c r="W122" s="228">
        <v>-47.5</v>
      </c>
      <c r="X122" s="229">
        <v>-7.4999999999999997E-3</v>
      </c>
      <c r="Y122" s="228">
        <v>26.5</v>
      </c>
      <c r="Z122" s="228">
        <v>18</v>
      </c>
      <c r="AA122" s="228">
        <v>8.5</v>
      </c>
      <c r="AB122" s="229">
        <v>4.1999999999999997E-3</v>
      </c>
      <c r="AC122" s="228">
        <v>26.5</v>
      </c>
      <c r="AD122" s="228">
        <v>18</v>
      </c>
      <c r="AE122" s="228">
        <v>8.5</v>
      </c>
      <c r="AF122" s="229">
        <v>4.1999999999999997E-3</v>
      </c>
      <c r="AG122" s="228">
        <v>63</v>
      </c>
      <c r="AH122" s="228">
        <v>51.5</v>
      </c>
      <c r="AI122" s="228">
        <v>11.5</v>
      </c>
      <c r="AJ122" s="229">
        <v>1.01E-2</v>
      </c>
      <c r="AK122" s="228">
        <v>24</v>
      </c>
      <c r="AL122" s="228">
        <v>64</v>
      </c>
      <c r="AM122" s="228">
        <v>-40</v>
      </c>
      <c r="AN122" s="229">
        <v>3.8E-3</v>
      </c>
      <c r="AO122" s="231">
        <v>6262.48</v>
      </c>
      <c r="AP122" s="231">
        <v>6300.07</v>
      </c>
      <c r="AQ122" s="228">
        <v>0</v>
      </c>
      <c r="AR122" s="230">
        <v>523500</v>
      </c>
      <c r="AS122" s="230">
        <v>409350</v>
      </c>
      <c r="AT122" s="230">
        <v>114150</v>
      </c>
      <c r="AU122" s="229">
        <v>0.27889999999999998</v>
      </c>
      <c r="AV122" s="230">
        <v>430350</v>
      </c>
      <c r="AW122" s="230">
        <v>343500</v>
      </c>
      <c r="AX122" s="230">
        <v>86850</v>
      </c>
      <c r="AY122" s="229">
        <v>0.25280000000000002</v>
      </c>
      <c r="AZ122" s="230">
        <v>91350</v>
      </c>
      <c r="BA122" s="230">
        <v>65250</v>
      </c>
      <c r="BB122" s="230">
        <v>26100</v>
      </c>
      <c r="BC122" s="229">
        <v>0.4</v>
      </c>
      <c r="BD122" s="230">
        <v>1800</v>
      </c>
      <c r="BE122" s="228">
        <v>600</v>
      </c>
      <c r="BF122" s="230">
        <v>1200</v>
      </c>
      <c r="BG122" s="229">
        <v>2</v>
      </c>
      <c r="BH122" s="230">
        <v>2148450</v>
      </c>
      <c r="BI122" s="230">
        <v>1677000</v>
      </c>
      <c r="BJ122" s="230">
        <v>471450</v>
      </c>
      <c r="BK122" s="229">
        <v>0.28110000000000002</v>
      </c>
      <c r="BL122" s="230">
        <v>610200</v>
      </c>
      <c r="BM122" s="230">
        <v>524250</v>
      </c>
      <c r="BN122" s="230">
        <v>85950</v>
      </c>
      <c r="BO122" s="229">
        <v>0.16389999999999999</v>
      </c>
      <c r="BP122" s="230">
        <v>3282150</v>
      </c>
      <c r="BQ122" s="230">
        <v>2610600</v>
      </c>
      <c r="BR122" s="230">
        <v>671550</v>
      </c>
      <c r="BS122" s="229">
        <v>0.25719999999999998</v>
      </c>
      <c r="BT122" s="230">
        <v>335576</v>
      </c>
      <c r="BU122" s="230">
        <v>412770</v>
      </c>
      <c r="BV122" s="230">
        <v>-77194</v>
      </c>
      <c r="BW122" s="229">
        <v>-0.187</v>
      </c>
      <c r="BX122" s="230">
        <v>2401500</v>
      </c>
      <c r="BY122" s="230">
        <v>2307750</v>
      </c>
      <c r="BZ122" s="230">
        <v>93750</v>
      </c>
      <c r="CA122" s="229">
        <v>4.0599999999999997E-2</v>
      </c>
      <c r="CB122" s="230">
        <v>2157900</v>
      </c>
      <c r="CC122" s="230">
        <v>2115600</v>
      </c>
      <c r="CD122" s="230">
        <v>42300</v>
      </c>
      <c r="CE122" s="229">
        <v>0.02</v>
      </c>
      <c r="CF122" s="230">
        <v>236100</v>
      </c>
      <c r="CG122" s="230">
        <v>186000</v>
      </c>
      <c r="CH122" s="230">
        <v>50100</v>
      </c>
      <c r="CI122" s="229">
        <v>0.26939999999999997</v>
      </c>
      <c r="CJ122" s="230">
        <v>7500</v>
      </c>
      <c r="CK122" s="230">
        <v>6150</v>
      </c>
      <c r="CL122" s="230">
        <v>1350</v>
      </c>
      <c r="CM122" s="229">
        <v>0.2195</v>
      </c>
      <c r="CN122" s="230">
        <v>992550</v>
      </c>
      <c r="CO122" s="230">
        <v>923100</v>
      </c>
      <c r="CP122" s="230">
        <v>69450</v>
      </c>
      <c r="CQ122" s="229">
        <v>7.5200000000000003E-2</v>
      </c>
      <c r="CR122" s="230">
        <v>763500</v>
      </c>
      <c r="CS122" s="230">
        <v>729000</v>
      </c>
      <c r="CT122" s="230">
        <v>34500</v>
      </c>
      <c r="CU122" s="229">
        <v>4.7300000000000002E-2</v>
      </c>
      <c r="CV122" s="230">
        <v>4157550</v>
      </c>
      <c r="CW122" s="230">
        <v>3959850</v>
      </c>
      <c r="CX122" s="230">
        <v>197700</v>
      </c>
      <c r="CY122" s="229">
        <v>4.99E-2</v>
      </c>
      <c r="CZ122" s="228">
        <v>22.16</v>
      </c>
      <c r="DA122" s="228">
        <v>22.48</v>
      </c>
      <c r="DB122" s="228">
        <v>-0.32</v>
      </c>
      <c r="DC122" s="228">
        <v>-0.32</v>
      </c>
      <c r="DD122" s="228">
        <v>32.18</v>
      </c>
      <c r="DE122" s="228">
        <v>32.26</v>
      </c>
      <c r="DF122" s="228">
        <v>-10.02</v>
      </c>
      <c r="DG122" s="228">
        <v>-0.08</v>
      </c>
      <c r="DH122" s="228">
        <v>22.15</v>
      </c>
      <c r="DI122" s="228">
        <v>22.3</v>
      </c>
      <c r="DJ122" s="228">
        <v>-0.15</v>
      </c>
      <c r="DK122" s="228">
        <v>-0.15</v>
      </c>
      <c r="DL122" s="228">
        <v>22.18</v>
      </c>
      <c r="DM122" s="228">
        <v>23.06</v>
      </c>
      <c r="DN122" s="228">
        <v>-0.88</v>
      </c>
      <c r="DO122" s="228">
        <v>-0.88</v>
      </c>
      <c r="DP122" s="228">
        <v>0.77</v>
      </c>
      <c r="DQ122" s="228">
        <v>0.79</v>
      </c>
      <c r="DR122" s="228">
        <v>-0.02</v>
      </c>
      <c r="DS122" s="229">
        <v>-2.53E-2</v>
      </c>
      <c r="DT122" s="231">
        <v>6300</v>
      </c>
      <c r="DU122" s="231">
        <v>5900</v>
      </c>
      <c r="DV122" s="228">
        <v>0.28000000000000003</v>
      </c>
      <c r="DW122" s="228">
        <v>0.31</v>
      </c>
      <c r="DX122" s="228">
        <v>-0.03</v>
      </c>
      <c r="DY122" s="229">
        <v>-9.6799999999999997E-2</v>
      </c>
      <c r="DZ122" s="229">
        <v>0.1014</v>
      </c>
      <c r="EA122" s="230">
        <v>192150</v>
      </c>
      <c r="EB122" s="229">
        <v>5.7999999999999996E-3</v>
      </c>
      <c r="EC122" s="229">
        <v>0.1014</v>
      </c>
      <c r="ED122" s="228">
        <v>37.590000000000003</v>
      </c>
      <c r="EE122" s="229">
        <v>6.0000000000000001E-3</v>
      </c>
      <c r="EF122" s="230">
        <v>207523</v>
      </c>
      <c r="EG122" s="230">
        <v>246916</v>
      </c>
      <c r="EH122" s="229">
        <v>-0.1595</v>
      </c>
      <c r="EI122" s="229">
        <v>0.61839999999999995</v>
      </c>
      <c r="EJ122" s="231">
        <v>138617.44</v>
      </c>
      <c r="EK122" s="231">
        <v>37876.99</v>
      </c>
      <c r="EL122" s="231">
        <v>32818.76</v>
      </c>
      <c r="EM122" s="231">
        <v>2205</v>
      </c>
      <c r="EN122" s="231">
        <v>209313.19</v>
      </c>
      <c r="EO122" s="231">
        <v>166092.53</v>
      </c>
      <c r="EP122" s="231">
        <v>43220.66</v>
      </c>
      <c r="EQ122" s="229">
        <v>0.26019999999999999</v>
      </c>
      <c r="ER122" s="231">
        <v>63735</v>
      </c>
      <c r="ES122" s="231">
        <v>44925</v>
      </c>
      <c r="ET122" s="231">
        <v>150696</v>
      </c>
      <c r="EU122" s="231">
        <v>9315942</v>
      </c>
      <c r="EV122" s="231">
        <v>259356</v>
      </c>
      <c r="EW122" s="231">
        <v>246829</v>
      </c>
      <c r="EX122" s="231">
        <v>12527</v>
      </c>
      <c r="EY122" s="229">
        <v>5.0799999999999998E-2</v>
      </c>
      <c r="EZ122" s="229">
        <v>0.44629999999999997</v>
      </c>
      <c r="FA122" s="227" t="s">
        <v>555</v>
      </c>
      <c r="FB122" s="161">
        <f t="shared" si="1"/>
        <v>243600</v>
      </c>
    </row>
    <row r="123" spans="1:158" ht="17.25" hidden="1" thickBot="1" x14ac:dyDescent="0.3">
      <c r="A123" s="226">
        <v>46009</v>
      </c>
      <c r="B123" s="227" t="s">
        <v>170</v>
      </c>
      <c r="C123" s="227" t="s">
        <v>250</v>
      </c>
      <c r="D123" s="228">
        <v>425</v>
      </c>
      <c r="E123" s="231">
        <v>2119.3000000000002</v>
      </c>
      <c r="F123" s="231">
        <v>2114</v>
      </c>
      <c r="G123" s="228">
        <v>5.3</v>
      </c>
      <c r="H123" s="229">
        <v>2.5000000000000001E-3</v>
      </c>
      <c r="I123" s="231">
        <v>2119.1</v>
      </c>
      <c r="J123" s="231">
        <v>2113.1</v>
      </c>
      <c r="K123" s="228">
        <v>6</v>
      </c>
      <c r="L123" s="229">
        <v>2.8E-3</v>
      </c>
      <c r="M123" s="231">
        <v>2119.3000000000002</v>
      </c>
      <c r="N123" s="231">
        <v>2114</v>
      </c>
      <c r="O123" s="228">
        <v>5.3</v>
      </c>
      <c r="P123" s="229">
        <v>2.5000000000000001E-3</v>
      </c>
      <c r="Q123" s="231">
        <v>2133.4</v>
      </c>
      <c r="R123" s="231">
        <v>2126</v>
      </c>
      <c r="S123" s="228">
        <v>7.4</v>
      </c>
      <c r="T123" s="229">
        <v>3.5000000000000001E-3</v>
      </c>
      <c r="U123" s="231">
        <v>2145.8000000000002</v>
      </c>
      <c r="V123" s="231">
        <v>2139.1999999999998</v>
      </c>
      <c r="W123" s="228">
        <v>6.6</v>
      </c>
      <c r="X123" s="229">
        <v>3.0999999999999999E-3</v>
      </c>
      <c r="Y123" s="228">
        <v>0.2</v>
      </c>
      <c r="Z123" s="228">
        <v>0.9</v>
      </c>
      <c r="AA123" s="228">
        <v>-0.7</v>
      </c>
      <c r="AB123" s="229">
        <v>1E-4</v>
      </c>
      <c r="AC123" s="228">
        <v>0.2</v>
      </c>
      <c r="AD123" s="228">
        <v>0.9</v>
      </c>
      <c r="AE123" s="228">
        <v>-0.7</v>
      </c>
      <c r="AF123" s="229">
        <v>1E-4</v>
      </c>
      <c r="AG123" s="228">
        <v>14.3</v>
      </c>
      <c r="AH123" s="228">
        <v>12.9</v>
      </c>
      <c r="AI123" s="228">
        <v>1.4</v>
      </c>
      <c r="AJ123" s="229">
        <v>6.7000000000000002E-3</v>
      </c>
      <c r="AK123" s="228">
        <v>26.7</v>
      </c>
      <c r="AL123" s="228">
        <v>26.1</v>
      </c>
      <c r="AM123" s="228">
        <v>0.6</v>
      </c>
      <c r="AN123" s="229">
        <v>1.26E-2</v>
      </c>
      <c r="AO123" s="231">
        <v>2116.39</v>
      </c>
      <c r="AP123" s="231">
        <v>2129.9499999999998</v>
      </c>
      <c r="AQ123" s="228">
        <v>0</v>
      </c>
      <c r="AR123" s="230">
        <v>1125400</v>
      </c>
      <c r="AS123" s="230">
        <v>1348525</v>
      </c>
      <c r="AT123" s="230">
        <v>-223125</v>
      </c>
      <c r="AU123" s="229">
        <v>-0.16550000000000001</v>
      </c>
      <c r="AV123" s="230">
        <v>941800</v>
      </c>
      <c r="AW123" s="230">
        <v>1195100</v>
      </c>
      <c r="AX123" s="230">
        <v>-253300</v>
      </c>
      <c r="AY123" s="229">
        <v>-0.21190000000000001</v>
      </c>
      <c r="AZ123" s="230">
        <v>177225</v>
      </c>
      <c r="BA123" s="230">
        <v>147050</v>
      </c>
      <c r="BB123" s="230">
        <v>30175</v>
      </c>
      <c r="BC123" s="229">
        <v>0.20519999999999999</v>
      </c>
      <c r="BD123" s="230">
        <v>6375</v>
      </c>
      <c r="BE123" s="230">
        <v>6375</v>
      </c>
      <c r="BF123" s="228">
        <v>0</v>
      </c>
      <c r="BG123" s="229">
        <v>0</v>
      </c>
      <c r="BH123" s="230">
        <v>3970350</v>
      </c>
      <c r="BI123" s="230">
        <v>6031175</v>
      </c>
      <c r="BJ123" s="230">
        <v>-2060825</v>
      </c>
      <c r="BK123" s="229">
        <v>-0.3417</v>
      </c>
      <c r="BL123" s="230">
        <v>1611600</v>
      </c>
      <c r="BM123" s="230">
        <v>1833875</v>
      </c>
      <c r="BN123" s="230">
        <v>-222275</v>
      </c>
      <c r="BO123" s="229">
        <v>-0.1212</v>
      </c>
      <c r="BP123" s="230">
        <v>6707350</v>
      </c>
      <c r="BQ123" s="230">
        <v>9213575</v>
      </c>
      <c r="BR123" s="230">
        <v>-2506225</v>
      </c>
      <c r="BS123" s="229">
        <v>-0.27200000000000002</v>
      </c>
      <c r="BT123" s="230">
        <v>529058</v>
      </c>
      <c r="BU123" s="230">
        <v>800211</v>
      </c>
      <c r="BV123" s="230">
        <v>-271153</v>
      </c>
      <c r="BW123" s="229">
        <v>-0.33889999999999998</v>
      </c>
      <c r="BX123" s="230">
        <v>7176550</v>
      </c>
      <c r="BY123" s="230">
        <v>7223300</v>
      </c>
      <c r="BZ123" s="230">
        <v>-46750</v>
      </c>
      <c r="CA123" s="229">
        <v>-6.4999999999999997E-3</v>
      </c>
      <c r="CB123" s="230">
        <v>6764725</v>
      </c>
      <c r="CC123" s="230">
        <v>6906250</v>
      </c>
      <c r="CD123" s="230">
        <v>-141525</v>
      </c>
      <c r="CE123" s="229">
        <v>-2.0500000000000001E-2</v>
      </c>
      <c r="CF123" s="230">
        <v>388875</v>
      </c>
      <c r="CG123" s="230">
        <v>295800</v>
      </c>
      <c r="CH123" s="230">
        <v>93075</v>
      </c>
      <c r="CI123" s="229">
        <v>0.31469999999999998</v>
      </c>
      <c r="CJ123" s="230">
        <v>22950</v>
      </c>
      <c r="CK123" s="230">
        <v>21250</v>
      </c>
      <c r="CL123" s="230">
        <v>1700</v>
      </c>
      <c r="CM123" s="229">
        <v>0.08</v>
      </c>
      <c r="CN123" s="230">
        <v>2922300</v>
      </c>
      <c r="CO123" s="230">
        <v>3006450</v>
      </c>
      <c r="CP123" s="230">
        <v>-84150</v>
      </c>
      <c r="CQ123" s="229">
        <v>-2.8000000000000001E-2</v>
      </c>
      <c r="CR123" s="230">
        <v>2332825</v>
      </c>
      <c r="CS123" s="230">
        <v>2293725</v>
      </c>
      <c r="CT123" s="230">
        <v>39100</v>
      </c>
      <c r="CU123" s="229">
        <v>1.7000000000000001E-2</v>
      </c>
      <c r="CV123" s="230">
        <v>12431675</v>
      </c>
      <c r="CW123" s="230">
        <v>12523475</v>
      </c>
      <c r="CX123" s="230">
        <v>-91800</v>
      </c>
      <c r="CY123" s="229">
        <v>-7.3000000000000001E-3</v>
      </c>
      <c r="CZ123" s="228">
        <v>18.62</v>
      </c>
      <c r="DA123" s="228">
        <v>19.68</v>
      </c>
      <c r="DB123" s="228">
        <v>-1.06</v>
      </c>
      <c r="DC123" s="228">
        <v>-1.06</v>
      </c>
      <c r="DD123" s="228">
        <v>30.27</v>
      </c>
      <c r="DE123" s="228">
        <v>30.35</v>
      </c>
      <c r="DF123" s="228">
        <v>-11.65</v>
      </c>
      <c r="DG123" s="228">
        <v>-0.08</v>
      </c>
      <c r="DH123" s="228">
        <v>18.12</v>
      </c>
      <c r="DI123" s="228">
        <v>19.489999999999998</v>
      </c>
      <c r="DJ123" s="228">
        <v>-1.37</v>
      </c>
      <c r="DK123" s="228">
        <v>-1.37</v>
      </c>
      <c r="DL123" s="228">
        <v>19.84</v>
      </c>
      <c r="DM123" s="228">
        <v>20.3</v>
      </c>
      <c r="DN123" s="228">
        <v>-0.46</v>
      </c>
      <c r="DO123" s="228">
        <v>-0.46</v>
      </c>
      <c r="DP123" s="228">
        <v>0.8</v>
      </c>
      <c r="DQ123" s="228">
        <v>0.76</v>
      </c>
      <c r="DR123" s="228">
        <v>0.04</v>
      </c>
      <c r="DS123" s="229">
        <v>5.2600000000000001E-2</v>
      </c>
      <c r="DT123" s="231">
        <v>2200</v>
      </c>
      <c r="DU123" s="231">
        <v>2000</v>
      </c>
      <c r="DV123" s="228">
        <v>0.41</v>
      </c>
      <c r="DW123" s="228">
        <v>0.3</v>
      </c>
      <c r="DX123" s="228">
        <v>0.11</v>
      </c>
      <c r="DY123" s="229">
        <v>0.36670000000000003</v>
      </c>
      <c r="DZ123" s="229">
        <v>5.74E-2</v>
      </c>
      <c r="EA123" s="230">
        <v>317050</v>
      </c>
      <c r="EB123" s="229">
        <v>6.7000000000000002E-3</v>
      </c>
      <c r="EC123" s="229">
        <v>5.74E-2</v>
      </c>
      <c r="ED123" s="228">
        <v>13.56</v>
      </c>
      <c r="EE123" s="229">
        <v>6.4000000000000003E-3</v>
      </c>
      <c r="EF123" s="230">
        <v>318869</v>
      </c>
      <c r="EG123" s="230">
        <v>444101</v>
      </c>
      <c r="EH123" s="229">
        <v>-0.28199999999999997</v>
      </c>
      <c r="EI123" s="229">
        <v>0.60270000000000001</v>
      </c>
      <c r="EJ123" s="231">
        <v>85868.07</v>
      </c>
      <c r="EK123" s="231">
        <v>33705.839999999997</v>
      </c>
      <c r="EL123" s="231">
        <v>23843.31</v>
      </c>
      <c r="EM123" s="231">
        <v>2359</v>
      </c>
      <c r="EN123" s="231">
        <v>143417.22</v>
      </c>
      <c r="EO123" s="231">
        <v>197348.88</v>
      </c>
      <c r="EP123" s="231">
        <v>-53931.66</v>
      </c>
      <c r="EQ123" s="229">
        <v>-0.27329999999999999</v>
      </c>
      <c r="ER123" s="231">
        <v>63062</v>
      </c>
      <c r="ES123" s="231">
        <v>46888</v>
      </c>
      <c r="ET123" s="231">
        <v>152154</v>
      </c>
      <c r="EU123" s="231">
        <v>35341043</v>
      </c>
      <c r="EV123" s="231">
        <v>262104</v>
      </c>
      <c r="EW123" s="231">
        <v>263591</v>
      </c>
      <c r="EX123" s="231">
        <v>-1487</v>
      </c>
      <c r="EY123" s="229">
        <v>-5.5999999999999999E-3</v>
      </c>
      <c r="EZ123" s="229">
        <v>0.3518</v>
      </c>
      <c r="FA123" s="227" t="s">
        <v>556</v>
      </c>
      <c r="FB123" s="161">
        <f t="shared" si="1"/>
        <v>411825</v>
      </c>
    </row>
    <row r="124" spans="1:158" ht="17.25" hidden="1" thickBot="1" x14ac:dyDescent="0.3">
      <c r="A124" s="226">
        <v>46009</v>
      </c>
      <c r="B124" s="227" t="s">
        <v>162</v>
      </c>
      <c r="C124" s="227" t="s">
        <v>251</v>
      </c>
      <c r="D124" s="228">
        <v>200</v>
      </c>
      <c r="E124" s="231">
        <v>3593.1</v>
      </c>
      <c r="F124" s="231">
        <v>3617.9</v>
      </c>
      <c r="G124" s="228">
        <v>-24.8</v>
      </c>
      <c r="H124" s="229">
        <v>-6.8999999999999999E-3</v>
      </c>
      <c r="I124" s="231">
        <v>3586.6</v>
      </c>
      <c r="J124" s="231">
        <v>3612.8</v>
      </c>
      <c r="K124" s="228">
        <v>-26.2</v>
      </c>
      <c r="L124" s="229">
        <v>-7.3000000000000001E-3</v>
      </c>
      <c r="M124" s="231">
        <v>3593.1</v>
      </c>
      <c r="N124" s="231">
        <v>3617.9</v>
      </c>
      <c r="O124" s="228">
        <v>-24.8</v>
      </c>
      <c r="P124" s="229">
        <v>-6.8999999999999999E-3</v>
      </c>
      <c r="Q124" s="231">
        <v>3616.3</v>
      </c>
      <c r="R124" s="231">
        <v>3640.1</v>
      </c>
      <c r="S124" s="228">
        <v>-23.8</v>
      </c>
      <c r="T124" s="229">
        <v>-6.4999999999999997E-3</v>
      </c>
      <c r="U124" s="231">
        <v>3634.7</v>
      </c>
      <c r="V124" s="231">
        <v>3660.5</v>
      </c>
      <c r="W124" s="228">
        <v>-25.8</v>
      </c>
      <c r="X124" s="229">
        <v>-7.0000000000000001E-3</v>
      </c>
      <c r="Y124" s="228">
        <v>6.5</v>
      </c>
      <c r="Z124" s="228">
        <v>5.0999999999999996</v>
      </c>
      <c r="AA124" s="228">
        <v>1.4</v>
      </c>
      <c r="AB124" s="229">
        <v>1.8E-3</v>
      </c>
      <c r="AC124" s="228">
        <v>6.5</v>
      </c>
      <c r="AD124" s="228">
        <v>5.0999999999999996</v>
      </c>
      <c r="AE124" s="228">
        <v>1.4</v>
      </c>
      <c r="AF124" s="229">
        <v>1.8E-3</v>
      </c>
      <c r="AG124" s="228">
        <v>29.7</v>
      </c>
      <c r="AH124" s="228">
        <v>27.3</v>
      </c>
      <c r="AI124" s="228">
        <v>2.4</v>
      </c>
      <c r="AJ124" s="229">
        <v>8.3000000000000001E-3</v>
      </c>
      <c r="AK124" s="228">
        <v>48.1</v>
      </c>
      <c r="AL124" s="228">
        <v>47.7</v>
      </c>
      <c r="AM124" s="228">
        <v>0.4</v>
      </c>
      <c r="AN124" s="229">
        <v>1.34E-2</v>
      </c>
      <c r="AO124" s="231">
        <v>3575.42</v>
      </c>
      <c r="AP124" s="231">
        <v>3601.01</v>
      </c>
      <c r="AQ124" s="228">
        <v>0</v>
      </c>
      <c r="AR124" s="230">
        <v>3614000</v>
      </c>
      <c r="AS124" s="230">
        <v>1500000</v>
      </c>
      <c r="AT124" s="230">
        <v>2114000</v>
      </c>
      <c r="AU124" s="229">
        <v>1.4093</v>
      </c>
      <c r="AV124" s="230">
        <v>2543400</v>
      </c>
      <c r="AW124" s="230">
        <v>1102400</v>
      </c>
      <c r="AX124" s="230">
        <v>1441000</v>
      </c>
      <c r="AY124" s="229">
        <v>1.3070999999999999</v>
      </c>
      <c r="AZ124" s="230">
        <v>1033800</v>
      </c>
      <c r="BA124" s="230">
        <v>386600</v>
      </c>
      <c r="BB124" s="230">
        <v>647200</v>
      </c>
      <c r="BC124" s="229">
        <v>1.6740999999999999</v>
      </c>
      <c r="BD124" s="230">
        <v>36800</v>
      </c>
      <c r="BE124" s="230">
        <v>11000</v>
      </c>
      <c r="BF124" s="230">
        <v>25800</v>
      </c>
      <c r="BG124" s="229">
        <v>2.3454999999999999</v>
      </c>
      <c r="BH124" s="230">
        <v>8533000</v>
      </c>
      <c r="BI124" s="230">
        <v>4651800</v>
      </c>
      <c r="BJ124" s="230">
        <v>3881200</v>
      </c>
      <c r="BK124" s="229">
        <v>0.83430000000000004</v>
      </c>
      <c r="BL124" s="230">
        <v>5945600</v>
      </c>
      <c r="BM124" s="230">
        <v>2381400</v>
      </c>
      <c r="BN124" s="230">
        <v>3564200</v>
      </c>
      <c r="BO124" s="229">
        <v>1.4966999999999999</v>
      </c>
      <c r="BP124" s="230">
        <v>18092600</v>
      </c>
      <c r="BQ124" s="230">
        <v>8533200</v>
      </c>
      <c r="BR124" s="230">
        <v>9559400</v>
      </c>
      <c r="BS124" s="229">
        <v>1.1203000000000001</v>
      </c>
      <c r="BT124" s="230">
        <v>3192522</v>
      </c>
      <c r="BU124" s="230">
        <v>1243735</v>
      </c>
      <c r="BV124" s="230">
        <v>1948787</v>
      </c>
      <c r="BW124" s="229">
        <v>1.5669</v>
      </c>
      <c r="BX124" s="230">
        <v>18601400</v>
      </c>
      <c r="BY124" s="230">
        <v>18454000</v>
      </c>
      <c r="BZ124" s="230">
        <v>147400</v>
      </c>
      <c r="CA124" s="229">
        <v>8.0000000000000002E-3</v>
      </c>
      <c r="CB124" s="230">
        <v>15906800</v>
      </c>
      <c r="CC124" s="230">
        <v>16608400</v>
      </c>
      <c r="CD124" s="230">
        <v>-701600</v>
      </c>
      <c r="CE124" s="229">
        <v>-4.2200000000000001E-2</v>
      </c>
      <c r="CF124" s="230">
        <v>2559400</v>
      </c>
      <c r="CG124" s="230">
        <v>1718400</v>
      </c>
      <c r="CH124" s="230">
        <v>841000</v>
      </c>
      <c r="CI124" s="229">
        <v>0.4894</v>
      </c>
      <c r="CJ124" s="230">
        <v>135200</v>
      </c>
      <c r="CK124" s="230">
        <v>127200</v>
      </c>
      <c r="CL124" s="230">
        <v>8000</v>
      </c>
      <c r="CM124" s="229">
        <v>6.2899999999999998E-2</v>
      </c>
      <c r="CN124" s="230">
        <v>6836600</v>
      </c>
      <c r="CO124" s="230">
        <v>6686600</v>
      </c>
      <c r="CP124" s="230">
        <v>150000</v>
      </c>
      <c r="CQ124" s="229">
        <v>2.24E-2</v>
      </c>
      <c r="CR124" s="230">
        <v>3686800</v>
      </c>
      <c r="CS124" s="230">
        <v>3577800</v>
      </c>
      <c r="CT124" s="230">
        <v>109000</v>
      </c>
      <c r="CU124" s="229">
        <v>3.0499999999999999E-2</v>
      </c>
      <c r="CV124" s="230">
        <v>29124800</v>
      </c>
      <c r="CW124" s="230">
        <v>28718400</v>
      </c>
      <c r="CX124" s="230">
        <v>406400</v>
      </c>
      <c r="CY124" s="229">
        <v>1.4200000000000001E-2</v>
      </c>
      <c r="CZ124" s="228">
        <v>20.57</v>
      </c>
      <c r="DA124" s="228">
        <v>21.27</v>
      </c>
      <c r="DB124" s="228">
        <v>-0.7</v>
      </c>
      <c r="DC124" s="228">
        <v>-0.7</v>
      </c>
      <c r="DD124" s="228">
        <v>32.11</v>
      </c>
      <c r="DE124" s="228">
        <v>32.18</v>
      </c>
      <c r="DF124" s="228">
        <v>-11.54</v>
      </c>
      <c r="DG124" s="228">
        <v>-7.0000000000000007E-2</v>
      </c>
      <c r="DH124" s="228">
        <v>20.85</v>
      </c>
      <c r="DI124" s="228">
        <v>21.65</v>
      </c>
      <c r="DJ124" s="228">
        <v>-0.8</v>
      </c>
      <c r="DK124" s="228">
        <v>-0.8</v>
      </c>
      <c r="DL124" s="228">
        <v>20.16</v>
      </c>
      <c r="DM124" s="228">
        <v>20.52</v>
      </c>
      <c r="DN124" s="228">
        <v>-0.36</v>
      </c>
      <c r="DO124" s="228">
        <v>-0.36</v>
      </c>
      <c r="DP124" s="228">
        <v>0.54</v>
      </c>
      <c r="DQ124" s="228">
        <v>0.54</v>
      </c>
      <c r="DR124" s="228">
        <v>0</v>
      </c>
      <c r="DS124" s="229">
        <v>0</v>
      </c>
      <c r="DT124" s="231">
        <v>3800</v>
      </c>
      <c r="DU124" s="231">
        <v>3600</v>
      </c>
      <c r="DV124" s="228">
        <v>0.7</v>
      </c>
      <c r="DW124" s="228">
        <v>0.51</v>
      </c>
      <c r="DX124" s="228">
        <v>0.19</v>
      </c>
      <c r="DY124" s="229">
        <v>0.3725</v>
      </c>
      <c r="DZ124" s="229">
        <v>0.1449</v>
      </c>
      <c r="EA124" s="230">
        <v>1845600</v>
      </c>
      <c r="EB124" s="229">
        <v>6.4999999999999997E-3</v>
      </c>
      <c r="EC124" s="229">
        <v>0.1449</v>
      </c>
      <c r="ED124" s="228">
        <v>25.59</v>
      </c>
      <c r="EE124" s="229">
        <v>7.1999999999999998E-3</v>
      </c>
      <c r="EF124" s="230">
        <v>1995803</v>
      </c>
      <c r="EG124" s="230">
        <v>803308</v>
      </c>
      <c r="EH124" s="229">
        <v>1.4844999999999999</v>
      </c>
      <c r="EI124" s="229">
        <v>0.62509999999999999</v>
      </c>
      <c r="EJ124" s="231">
        <v>317288.84000000003</v>
      </c>
      <c r="EK124" s="231">
        <v>211389.72</v>
      </c>
      <c r="EL124" s="231">
        <v>129494.82</v>
      </c>
      <c r="EM124" s="231">
        <v>7079</v>
      </c>
      <c r="EN124" s="231">
        <v>658173.38</v>
      </c>
      <c r="EO124" s="231">
        <v>314621.84000000003</v>
      </c>
      <c r="EP124" s="231">
        <v>343551.54</v>
      </c>
      <c r="EQ124" s="229">
        <v>1.0920000000000001</v>
      </c>
      <c r="ER124" s="231">
        <v>258926</v>
      </c>
      <c r="ES124" s="231">
        <v>131524</v>
      </c>
      <c r="ET124" s="231">
        <v>669017</v>
      </c>
      <c r="EU124" s="231">
        <v>100261459</v>
      </c>
      <c r="EV124" s="231">
        <v>1059466</v>
      </c>
      <c r="EW124" s="231">
        <v>1049743</v>
      </c>
      <c r="EX124" s="231">
        <v>9723</v>
      </c>
      <c r="EY124" s="229">
        <v>9.2999999999999992E-3</v>
      </c>
      <c r="EZ124" s="229">
        <v>0.29049999999999998</v>
      </c>
      <c r="FA124" s="227" t="s">
        <v>567</v>
      </c>
      <c r="FB124" s="161">
        <f t="shared" si="1"/>
        <v>2694600</v>
      </c>
    </row>
    <row r="125" spans="1:158" ht="17.25" hidden="1" thickBot="1" x14ac:dyDescent="0.3">
      <c r="A125" s="226">
        <v>46009</v>
      </c>
      <c r="B125" s="227" t="s">
        <v>175</v>
      </c>
      <c r="C125" s="227" t="s">
        <v>253</v>
      </c>
      <c r="D125" s="228">
        <v>3000</v>
      </c>
      <c r="E125" s="228">
        <v>287.39999999999998</v>
      </c>
      <c r="F125" s="228">
        <v>286.5</v>
      </c>
      <c r="G125" s="228">
        <v>0.9</v>
      </c>
      <c r="H125" s="229">
        <v>3.0999999999999999E-3</v>
      </c>
      <c r="I125" s="228">
        <v>287.05</v>
      </c>
      <c r="J125" s="228">
        <v>286.25</v>
      </c>
      <c r="K125" s="228">
        <v>0.8</v>
      </c>
      <c r="L125" s="229">
        <v>2.8E-3</v>
      </c>
      <c r="M125" s="228">
        <v>287.39999999999998</v>
      </c>
      <c r="N125" s="228">
        <v>286.5</v>
      </c>
      <c r="O125" s="228">
        <v>0.9</v>
      </c>
      <c r="P125" s="229">
        <v>3.0999999999999999E-3</v>
      </c>
      <c r="Q125" s="228">
        <v>289.14999999999998</v>
      </c>
      <c r="R125" s="228">
        <v>288.39999999999998</v>
      </c>
      <c r="S125" s="228">
        <v>0.75</v>
      </c>
      <c r="T125" s="229">
        <v>2.5999999999999999E-3</v>
      </c>
      <c r="U125" s="228">
        <v>289.89999999999998</v>
      </c>
      <c r="V125" s="228">
        <v>288.10000000000002</v>
      </c>
      <c r="W125" s="228">
        <v>1.8</v>
      </c>
      <c r="X125" s="229">
        <v>6.1999999999999998E-3</v>
      </c>
      <c r="Y125" s="228">
        <v>0.35</v>
      </c>
      <c r="Z125" s="228">
        <v>0.25</v>
      </c>
      <c r="AA125" s="228">
        <v>0.1</v>
      </c>
      <c r="AB125" s="229">
        <v>1.1999999999999999E-3</v>
      </c>
      <c r="AC125" s="228">
        <v>0.35</v>
      </c>
      <c r="AD125" s="228">
        <v>0.25</v>
      </c>
      <c r="AE125" s="228">
        <v>0.1</v>
      </c>
      <c r="AF125" s="229">
        <v>1.1999999999999999E-3</v>
      </c>
      <c r="AG125" s="228">
        <v>2.1</v>
      </c>
      <c r="AH125" s="228">
        <v>2.15</v>
      </c>
      <c r="AI125" s="228">
        <v>-0.05</v>
      </c>
      <c r="AJ125" s="229">
        <v>7.3000000000000001E-3</v>
      </c>
      <c r="AK125" s="228">
        <v>2.85</v>
      </c>
      <c r="AL125" s="228">
        <v>1.85</v>
      </c>
      <c r="AM125" s="228">
        <v>1</v>
      </c>
      <c r="AN125" s="229">
        <v>9.9000000000000008E-3</v>
      </c>
      <c r="AO125" s="228">
        <v>288.77999999999997</v>
      </c>
      <c r="AP125" s="228">
        <v>290.54000000000002</v>
      </c>
      <c r="AQ125" s="228">
        <v>0</v>
      </c>
      <c r="AR125" s="230">
        <v>11160000</v>
      </c>
      <c r="AS125" s="230">
        <v>7677000</v>
      </c>
      <c r="AT125" s="230">
        <v>3483000</v>
      </c>
      <c r="AU125" s="229">
        <v>0.45369999999999999</v>
      </c>
      <c r="AV125" s="230">
        <v>9750000</v>
      </c>
      <c r="AW125" s="230">
        <v>6270000</v>
      </c>
      <c r="AX125" s="230">
        <v>3480000</v>
      </c>
      <c r="AY125" s="229">
        <v>0.55500000000000005</v>
      </c>
      <c r="AZ125" s="230">
        <v>1320000</v>
      </c>
      <c r="BA125" s="230">
        <v>1344000</v>
      </c>
      <c r="BB125" s="230">
        <v>-24000</v>
      </c>
      <c r="BC125" s="229">
        <v>-1.7899999999999999E-2</v>
      </c>
      <c r="BD125" s="230">
        <v>90000</v>
      </c>
      <c r="BE125" s="230">
        <v>63000</v>
      </c>
      <c r="BF125" s="230">
        <v>27000</v>
      </c>
      <c r="BG125" s="229">
        <v>0.42859999999999998</v>
      </c>
      <c r="BH125" s="230">
        <v>38595000</v>
      </c>
      <c r="BI125" s="230">
        <v>13557000</v>
      </c>
      <c r="BJ125" s="230">
        <v>25038000</v>
      </c>
      <c r="BK125" s="229">
        <v>1.8469</v>
      </c>
      <c r="BL125" s="230">
        <v>13383000</v>
      </c>
      <c r="BM125" s="230">
        <v>5391000</v>
      </c>
      <c r="BN125" s="230">
        <v>7992000</v>
      </c>
      <c r="BO125" s="229">
        <v>1.4824999999999999</v>
      </c>
      <c r="BP125" s="230">
        <v>63138000</v>
      </c>
      <c r="BQ125" s="230">
        <v>26625000</v>
      </c>
      <c r="BR125" s="230">
        <v>36513000</v>
      </c>
      <c r="BS125" s="229">
        <v>1.3714</v>
      </c>
      <c r="BT125" s="230">
        <v>4497357</v>
      </c>
      <c r="BU125" s="230">
        <v>4516672</v>
      </c>
      <c r="BV125" s="230">
        <v>-19315</v>
      </c>
      <c r="BW125" s="229">
        <v>-4.3E-3</v>
      </c>
      <c r="BX125" s="230">
        <v>39015000</v>
      </c>
      <c r="BY125" s="230">
        <v>39552000</v>
      </c>
      <c r="BZ125" s="230">
        <v>-537000</v>
      </c>
      <c r="CA125" s="229">
        <v>-1.3599999999999999E-2</v>
      </c>
      <c r="CB125" s="230">
        <v>36918000</v>
      </c>
      <c r="CC125" s="230">
        <v>37662000</v>
      </c>
      <c r="CD125" s="230">
        <v>-744000</v>
      </c>
      <c r="CE125" s="229">
        <v>-1.9800000000000002E-2</v>
      </c>
      <c r="CF125" s="230">
        <v>1899000</v>
      </c>
      <c r="CG125" s="230">
        <v>1710000</v>
      </c>
      <c r="CH125" s="230">
        <v>189000</v>
      </c>
      <c r="CI125" s="229">
        <v>0.1105</v>
      </c>
      <c r="CJ125" s="230">
        <v>198000</v>
      </c>
      <c r="CK125" s="230">
        <v>180000</v>
      </c>
      <c r="CL125" s="230">
        <v>18000</v>
      </c>
      <c r="CM125" s="229">
        <v>0.1</v>
      </c>
      <c r="CN125" s="230">
        <v>20064000</v>
      </c>
      <c r="CO125" s="230">
        <v>17715000</v>
      </c>
      <c r="CP125" s="230">
        <v>2349000</v>
      </c>
      <c r="CQ125" s="229">
        <v>0.1326</v>
      </c>
      <c r="CR125" s="230">
        <v>11757000</v>
      </c>
      <c r="CS125" s="230">
        <v>11745000</v>
      </c>
      <c r="CT125" s="230">
        <v>12000</v>
      </c>
      <c r="CU125" s="229">
        <v>1E-3</v>
      </c>
      <c r="CV125" s="230">
        <v>70836000</v>
      </c>
      <c r="CW125" s="230">
        <v>69012000</v>
      </c>
      <c r="CX125" s="230">
        <v>1824000</v>
      </c>
      <c r="CY125" s="229">
        <v>2.64E-2</v>
      </c>
      <c r="CZ125" s="228">
        <v>24.99</v>
      </c>
      <c r="DA125" s="228">
        <v>24.57</v>
      </c>
      <c r="DB125" s="228">
        <v>0.42</v>
      </c>
      <c r="DC125" s="228">
        <v>0.42</v>
      </c>
      <c r="DD125" s="228">
        <v>40.54</v>
      </c>
      <c r="DE125" s="228">
        <v>40.64</v>
      </c>
      <c r="DF125" s="228">
        <v>-15.55</v>
      </c>
      <c r="DG125" s="228">
        <v>-0.1</v>
      </c>
      <c r="DH125" s="228">
        <v>25</v>
      </c>
      <c r="DI125" s="228">
        <v>24.12</v>
      </c>
      <c r="DJ125" s="228">
        <v>0.88</v>
      </c>
      <c r="DK125" s="228">
        <v>0.88</v>
      </c>
      <c r="DL125" s="228">
        <v>24.97</v>
      </c>
      <c r="DM125" s="228">
        <v>25.71</v>
      </c>
      <c r="DN125" s="228">
        <v>-0.74</v>
      </c>
      <c r="DO125" s="228">
        <v>-0.74</v>
      </c>
      <c r="DP125" s="228">
        <v>0.59</v>
      </c>
      <c r="DQ125" s="228">
        <v>0.66</v>
      </c>
      <c r="DR125" s="228">
        <v>-7.0000000000000007E-2</v>
      </c>
      <c r="DS125" s="229">
        <v>-0.1061</v>
      </c>
      <c r="DT125" s="228">
        <v>300</v>
      </c>
      <c r="DU125" s="228">
        <v>270</v>
      </c>
      <c r="DV125" s="228">
        <v>0.35</v>
      </c>
      <c r="DW125" s="228">
        <v>0.4</v>
      </c>
      <c r="DX125" s="228">
        <v>-0.05</v>
      </c>
      <c r="DY125" s="229">
        <v>-0.125</v>
      </c>
      <c r="DZ125" s="229">
        <v>5.3699999999999998E-2</v>
      </c>
      <c r="EA125" s="230">
        <v>1890000</v>
      </c>
      <c r="EB125" s="229">
        <v>6.1000000000000004E-3</v>
      </c>
      <c r="EC125" s="229">
        <v>5.3699999999999998E-2</v>
      </c>
      <c r="ED125" s="228">
        <v>1.76</v>
      </c>
      <c r="EE125" s="229">
        <v>6.1000000000000004E-3</v>
      </c>
      <c r="EF125" s="230">
        <v>2455503</v>
      </c>
      <c r="EG125" s="230">
        <v>3049921</v>
      </c>
      <c r="EH125" s="229">
        <v>-0.19489999999999999</v>
      </c>
      <c r="EI125" s="229">
        <v>0.54600000000000004</v>
      </c>
      <c r="EJ125" s="231">
        <v>115142.27</v>
      </c>
      <c r="EK125" s="231">
        <v>37810.93</v>
      </c>
      <c r="EL125" s="231">
        <v>32252.65</v>
      </c>
      <c r="EM125" s="231">
        <v>1971</v>
      </c>
      <c r="EN125" s="231">
        <v>185205.85</v>
      </c>
      <c r="EO125" s="231">
        <v>77123.289999999994</v>
      </c>
      <c r="EP125" s="231">
        <v>108082.56</v>
      </c>
      <c r="EQ125" s="229">
        <v>1.4014</v>
      </c>
      <c r="ER125" s="231">
        <v>59447</v>
      </c>
      <c r="ES125" s="231">
        <v>31779</v>
      </c>
      <c r="ET125" s="231">
        <v>112167</v>
      </c>
      <c r="EU125" s="231">
        <v>82205057</v>
      </c>
      <c r="EV125" s="231">
        <v>203394</v>
      </c>
      <c r="EW125" s="231">
        <v>197208</v>
      </c>
      <c r="EX125" s="231">
        <v>6186</v>
      </c>
      <c r="EY125" s="229">
        <v>3.1399999999999997E-2</v>
      </c>
      <c r="EZ125" s="229">
        <v>0.86170000000000002</v>
      </c>
      <c r="FA125" s="227" t="s">
        <v>556</v>
      </c>
      <c r="FB125" s="161">
        <f t="shared" si="1"/>
        <v>2097000</v>
      </c>
    </row>
    <row r="126" spans="1:158" ht="17.25" hidden="1" thickBot="1" x14ac:dyDescent="0.3">
      <c r="A126" s="226">
        <v>46009</v>
      </c>
      <c r="B126" s="227" t="s">
        <v>170</v>
      </c>
      <c r="C126" s="227" t="s">
        <v>673</v>
      </c>
      <c r="D126" s="228">
        <v>225</v>
      </c>
      <c r="E126" s="231">
        <v>2147.6999999999998</v>
      </c>
      <c r="F126" s="231">
        <v>2117.6</v>
      </c>
      <c r="G126" s="228">
        <v>30.1</v>
      </c>
      <c r="H126" s="229">
        <v>1.4200000000000001E-2</v>
      </c>
      <c r="I126" s="231">
        <v>2142</v>
      </c>
      <c r="J126" s="231">
        <v>2111.1999999999998</v>
      </c>
      <c r="K126" s="228">
        <v>30.8</v>
      </c>
      <c r="L126" s="229">
        <v>1.46E-2</v>
      </c>
      <c r="M126" s="231">
        <v>2147.6999999999998</v>
      </c>
      <c r="N126" s="231">
        <v>2117.6</v>
      </c>
      <c r="O126" s="228">
        <v>30.1</v>
      </c>
      <c r="P126" s="229">
        <v>1.4200000000000001E-2</v>
      </c>
      <c r="Q126" s="231">
        <v>2160.1999999999998</v>
      </c>
      <c r="R126" s="231">
        <v>2130.8000000000002</v>
      </c>
      <c r="S126" s="228">
        <v>29.4</v>
      </c>
      <c r="T126" s="229">
        <v>1.38E-2</v>
      </c>
      <c r="U126" s="231">
        <v>2170.8000000000002</v>
      </c>
      <c r="V126" s="231">
        <v>2144.9</v>
      </c>
      <c r="W126" s="228">
        <v>25.9</v>
      </c>
      <c r="X126" s="229">
        <v>1.21E-2</v>
      </c>
      <c r="Y126" s="228">
        <v>5.7</v>
      </c>
      <c r="Z126" s="228">
        <v>6.4</v>
      </c>
      <c r="AA126" s="228">
        <v>-0.7</v>
      </c>
      <c r="AB126" s="229">
        <v>2.7000000000000001E-3</v>
      </c>
      <c r="AC126" s="228">
        <v>5.7</v>
      </c>
      <c r="AD126" s="228">
        <v>6.4</v>
      </c>
      <c r="AE126" s="228">
        <v>-0.7</v>
      </c>
      <c r="AF126" s="229">
        <v>2.7000000000000001E-3</v>
      </c>
      <c r="AG126" s="228">
        <v>18.2</v>
      </c>
      <c r="AH126" s="228">
        <v>19.600000000000001</v>
      </c>
      <c r="AI126" s="228">
        <v>-1.4</v>
      </c>
      <c r="AJ126" s="229">
        <v>8.5000000000000006E-3</v>
      </c>
      <c r="AK126" s="228">
        <v>28.8</v>
      </c>
      <c r="AL126" s="228">
        <v>33.700000000000003</v>
      </c>
      <c r="AM126" s="228">
        <v>-4.9000000000000004</v>
      </c>
      <c r="AN126" s="229">
        <v>1.34E-2</v>
      </c>
      <c r="AO126" s="231">
        <v>2131.83</v>
      </c>
      <c r="AP126" s="231">
        <v>2146.81</v>
      </c>
      <c r="AQ126" s="228">
        <v>0</v>
      </c>
      <c r="AR126" s="230">
        <v>423450</v>
      </c>
      <c r="AS126" s="230">
        <v>281475</v>
      </c>
      <c r="AT126" s="230">
        <v>141975</v>
      </c>
      <c r="AU126" s="229">
        <v>0.50439999999999996</v>
      </c>
      <c r="AV126" s="230">
        <v>321975</v>
      </c>
      <c r="AW126" s="230">
        <v>222075</v>
      </c>
      <c r="AX126" s="230">
        <v>99900</v>
      </c>
      <c r="AY126" s="229">
        <v>0.44979999999999998</v>
      </c>
      <c r="AZ126" s="230">
        <v>98325</v>
      </c>
      <c r="BA126" s="230">
        <v>55800</v>
      </c>
      <c r="BB126" s="230">
        <v>42525</v>
      </c>
      <c r="BC126" s="229">
        <v>0.7621</v>
      </c>
      <c r="BD126" s="230">
        <v>3150</v>
      </c>
      <c r="BE126" s="230">
        <v>3600</v>
      </c>
      <c r="BF126" s="228">
        <v>-450</v>
      </c>
      <c r="BG126" s="229">
        <v>-0.125</v>
      </c>
      <c r="BH126" s="230">
        <v>1305675</v>
      </c>
      <c r="BI126" s="230">
        <v>1000125</v>
      </c>
      <c r="BJ126" s="230">
        <v>305550</v>
      </c>
      <c r="BK126" s="229">
        <v>0.30549999999999999</v>
      </c>
      <c r="BL126" s="230">
        <v>445500</v>
      </c>
      <c r="BM126" s="230">
        <v>482850</v>
      </c>
      <c r="BN126" s="230">
        <v>-37350</v>
      </c>
      <c r="BO126" s="229">
        <v>-7.7399999999999997E-2</v>
      </c>
      <c r="BP126" s="230">
        <v>2174625</v>
      </c>
      <c r="BQ126" s="230">
        <v>1764450</v>
      </c>
      <c r="BR126" s="230">
        <v>410175</v>
      </c>
      <c r="BS126" s="229">
        <v>0.23250000000000001</v>
      </c>
      <c r="BT126" s="230">
        <v>426707</v>
      </c>
      <c r="BU126" s="230">
        <v>750631</v>
      </c>
      <c r="BV126" s="230">
        <v>-323924</v>
      </c>
      <c r="BW126" s="229">
        <v>-0.43149999999999999</v>
      </c>
      <c r="BX126" s="230">
        <v>2664900</v>
      </c>
      <c r="BY126" s="230">
        <v>2661975</v>
      </c>
      <c r="BZ126" s="230">
        <v>2925</v>
      </c>
      <c r="CA126" s="229">
        <v>1.1000000000000001E-3</v>
      </c>
      <c r="CB126" s="230">
        <v>2408625</v>
      </c>
      <c r="CC126" s="230">
        <v>2453175</v>
      </c>
      <c r="CD126" s="230">
        <v>-44550</v>
      </c>
      <c r="CE126" s="229">
        <v>-1.8200000000000001E-2</v>
      </c>
      <c r="CF126" s="230">
        <v>238950</v>
      </c>
      <c r="CG126" s="230">
        <v>191250</v>
      </c>
      <c r="CH126" s="230">
        <v>47700</v>
      </c>
      <c r="CI126" s="229">
        <v>0.24940000000000001</v>
      </c>
      <c r="CJ126" s="230">
        <v>17325</v>
      </c>
      <c r="CK126" s="230">
        <v>17550</v>
      </c>
      <c r="CL126" s="228">
        <v>-225</v>
      </c>
      <c r="CM126" s="229">
        <v>-1.2800000000000001E-2</v>
      </c>
      <c r="CN126" s="230">
        <v>1050525</v>
      </c>
      <c r="CO126" s="230">
        <v>1179000</v>
      </c>
      <c r="CP126" s="230">
        <v>-128475</v>
      </c>
      <c r="CQ126" s="229">
        <v>-0.109</v>
      </c>
      <c r="CR126" s="230">
        <v>559125</v>
      </c>
      <c r="CS126" s="230">
        <v>568125</v>
      </c>
      <c r="CT126" s="230">
        <v>-9000</v>
      </c>
      <c r="CU126" s="229">
        <v>-1.5800000000000002E-2</v>
      </c>
      <c r="CV126" s="230">
        <v>4274550</v>
      </c>
      <c r="CW126" s="230">
        <v>4409100</v>
      </c>
      <c r="CX126" s="230">
        <v>-134550</v>
      </c>
      <c r="CY126" s="229">
        <v>-3.0499999999999999E-2</v>
      </c>
      <c r="CZ126" s="228">
        <v>21.87</v>
      </c>
      <c r="DA126" s="228">
        <v>22.16</v>
      </c>
      <c r="DB126" s="228">
        <v>-0.28999999999999998</v>
      </c>
      <c r="DC126" s="228">
        <v>-0.28999999999999998</v>
      </c>
      <c r="DD126" s="228">
        <v>32.35</v>
      </c>
      <c r="DE126" s="228">
        <v>32.380000000000003</v>
      </c>
      <c r="DF126" s="228">
        <v>-10.48</v>
      </c>
      <c r="DG126" s="228">
        <v>-0.03</v>
      </c>
      <c r="DH126" s="228">
        <v>22.13</v>
      </c>
      <c r="DI126" s="228">
        <v>23.08</v>
      </c>
      <c r="DJ126" s="228">
        <v>-0.95</v>
      </c>
      <c r="DK126" s="228">
        <v>-0.95</v>
      </c>
      <c r="DL126" s="228">
        <v>21.11</v>
      </c>
      <c r="DM126" s="228">
        <v>20.239999999999998</v>
      </c>
      <c r="DN126" s="228">
        <v>0.87</v>
      </c>
      <c r="DO126" s="228">
        <v>0.87</v>
      </c>
      <c r="DP126" s="228">
        <v>0.53</v>
      </c>
      <c r="DQ126" s="228">
        <v>0.48</v>
      </c>
      <c r="DR126" s="228">
        <v>0.05</v>
      </c>
      <c r="DS126" s="229">
        <v>0.1042</v>
      </c>
      <c r="DT126" s="231">
        <v>2250</v>
      </c>
      <c r="DU126" s="231">
        <v>2150</v>
      </c>
      <c r="DV126" s="228">
        <v>0.34</v>
      </c>
      <c r="DW126" s="228">
        <v>0.48</v>
      </c>
      <c r="DX126" s="228">
        <v>-0.14000000000000001</v>
      </c>
      <c r="DY126" s="229">
        <v>-0.29170000000000001</v>
      </c>
      <c r="DZ126" s="229">
        <v>9.6199999999999994E-2</v>
      </c>
      <c r="EA126" s="230">
        <v>208800</v>
      </c>
      <c r="EB126" s="229">
        <v>5.7999999999999996E-3</v>
      </c>
      <c r="EC126" s="229">
        <v>9.6199999999999994E-2</v>
      </c>
      <c r="ED126" s="228">
        <v>14.98</v>
      </c>
      <c r="EE126" s="229">
        <v>7.0000000000000001E-3</v>
      </c>
      <c r="EF126" s="230">
        <v>273112</v>
      </c>
      <c r="EG126" s="230">
        <v>598071</v>
      </c>
      <c r="EH126" s="229">
        <v>-0.54330000000000001</v>
      </c>
      <c r="EI126" s="229">
        <v>0.64</v>
      </c>
      <c r="EJ126" s="231">
        <v>29319.97</v>
      </c>
      <c r="EK126" s="231">
        <v>9233.25</v>
      </c>
      <c r="EL126" s="231">
        <v>9042.73</v>
      </c>
      <c r="EM126" s="231">
        <v>1769</v>
      </c>
      <c r="EN126" s="231">
        <v>47595.95</v>
      </c>
      <c r="EO126" s="231">
        <v>38378.019999999997</v>
      </c>
      <c r="EP126" s="231">
        <v>9217.93</v>
      </c>
      <c r="EQ126" s="229">
        <v>0.2402</v>
      </c>
      <c r="ER126" s="231">
        <v>23980</v>
      </c>
      <c r="ES126" s="231">
        <v>12041</v>
      </c>
      <c r="ET126" s="231">
        <v>57268</v>
      </c>
      <c r="EU126" s="231">
        <v>16915220</v>
      </c>
      <c r="EV126" s="231">
        <v>93289</v>
      </c>
      <c r="EW126" s="231">
        <v>95591</v>
      </c>
      <c r="EX126" s="231">
        <v>-2302</v>
      </c>
      <c r="EY126" s="229">
        <v>-2.41E-2</v>
      </c>
      <c r="EZ126" s="229">
        <v>0.25269999999999998</v>
      </c>
      <c r="FA126" s="227" t="s">
        <v>555</v>
      </c>
      <c r="FB126" s="161">
        <f t="shared" si="1"/>
        <v>256275</v>
      </c>
    </row>
    <row r="127" spans="1:158" ht="17.25" hidden="1" thickBot="1" x14ac:dyDescent="0.3">
      <c r="A127" s="226">
        <v>46009</v>
      </c>
      <c r="B127" s="227" t="s">
        <v>168</v>
      </c>
      <c r="C127" s="227" t="s">
        <v>254</v>
      </c>
      <c r="D127" s="228">
        <v>1200</v>
      </c>
      <c r="E127" s="228">
        <v>742.95</v>
      </c>
      <c r="F127" s="228">
        <v>739</v>
      </c>
      <c r="G127" s="228">
        <v>3.95</v>
      </c>
      <c r="H127" s="229">
        <v>5.3E-3</v>
      </c>
      <c r="I127" s="228">
        <v>742.45</v>
      </c>
      <c r="J127" s="228">
        <v>738.15</v>
      </c>
      <c r="K127" s="228">
        <v>4.3</v>
      </c>
      <c r="L127" s="229">
        <v>5.7999999999999996E-3</v>
      </c>
      <c r="M127" s="228">
        <v>742.95</v>
      </c>
      <c r="N127" s="228">
        <v>739</v>
      </c>
      <c r="O127" s="228">
        <v>3.95</v>
      </c>
      <c r="P127" s="229">
        <v>5.3E-3</v>
      </c>
      <c r="Q127" s="228">
        <v>747.75</v>
      </c>
      <c r="R127" s="228">
        <v>743.65</v>
      </c>
      <c r="S127" s="228">
        <v>4.0999999999999996</v>
      </c>
      <c r="T127" s="229">
        <v>5.4999999999999997E-3</v>
      </c>
      <c r="U127" s="228">
        <v>746.65</v>
      </c>
      <c r="V127" s="228">
        <v>744.2</v>
      </c>
      <c r="W127" s="228">
        <v>2.4500000000000002</v>
      </c>
      <c r="X127" s="229">
        <v>3.3E-3</v>
      </c>
      <c r="Y127" s="228">
        <v>0.5</v>
      </c>
      <c r="Z127" s="228">
        <v>0.85</v>
      </c>
      <c r="AA127" s="228">
        <v>-0.35</v>
      </c>
      <c r="AB127" s="229">
        <v>6.9999999999999999E-4</v>
      </c>
      <c r="AC127" s="228">
        <v>0.5</v>
      </c>
      <c r="AD127" s="228">
        <v>0.85</v>
      </c>
      <c r="AE127" s="228">
        <v>-0.35</v>
      </c>
      <c r="AF127" s="229">
        <v>6.9999999999999999E-4</v>
      </c>
      <c r="AG127" s="228">
        <v>5.3</v>
      </c>
      <c r="AH127" s="228">
        <v>5.5</v>
      </c>
      <c r="AI127" s="228">
        <v>-0.2</v>
      </c>
      <c r="AJ127" s="229">
        <v>7.1000000000000004E-3</v>
      </c>
      <c r="AK127" s="228">
        <v>4.2</v>
      </c>
      <c r="AL127" s="228">
        <v>6.05</v>
      </c>
      <c r="AM127" s="228">
        <v>-1.85</v>
      </c>
      <c r="AN127" s="229">
        <v>5.7000000000000002E-3</v>
      </c>
      <c r="AO127" s="228">
        <v>740.39</v>
      </c>
      <c r="AP127" s="228">
        <v>745.07</v>
      </c>
      <c r="AQ127" s="228">
        <v>0</v>
      </c>
      <c r="AR127" s="230">
        <v>1797600</v>
      </c>
      <c r="AS127" s="230">
        <v>1098000</v>
      </c>
      <c r="AT127" s="230">
        <v>699600</v>
      </c>
      <c r="AU127" s="229">
        <v>0.63719999999999999</v>
      </c>
      <c r="AV127" s="230">
        <v>1628400</v>
      </c>
      <c r="AW127" s="230">
        <v>1058400</v>
      </c>
      <c r="AX127" s="230">
        <v>570000</v>
      </c>
      <c r="AY127" s="229">
        <v>0.53849999999999998</v>
      </c>
      <c r="AZ127" s="230">
        <v>162000</v>
      </c>
      <c r="BA127" s="230">
        <v>38400</v>
      </c>
      <c r="BB127" s="230">
        <v>123600</v>
      </c>
      <c r="BC127" s="229">
        <v>3.2187999999999999</v>
      </c>
      <c r="BD127" s="230">
        <v>7200</v>
      </c>
      <c r="BE127" s="230">
        <v>1200</v>
      </c>
      <c r="BF127" s="230">
        <v>6000</v>
      </c>
      <c r="BG127" s="229">
        <v>5</v>
      </c>
      <c r="BH127" s="230">
        <v>4720800</v>
      </c>
      <c r="BI127" s="230">
        <v>4837200</v>
      </c>
      <c r="BJ127" s="230">
        <v>-116400</v>
      </c>
      <c r="BK127" s="229">
        <v>-2.41E-2</v>
      </c>
      <c r="BL127" s="230">
        <v>1915200</v>
      </c>
      <c r="BM127" s="230">
        <v>1484400</v>
      </c>
      <c r="BN127" s="230">
        <v>430800</v>
      </c>
      <c r="BO127" s="229">
        <v>0.29020000000000001</v>
      </c>
      <c r="BP127" s="230">
        <v>8433600</v>
      </c>
      <c r="BQ127" s="230">
        <v>7419600</v>
      </c>
      <c r="BR127" s="230">
        <v>1014000</v>
      </c>
      <c r="BS127" s="229">
        <v>0.13669999999999999</v>
      </c>
      <c r="BT127" s="230">
        <v>1090243</v>
      </c>
      <c r="BU127" s="230">
        <v>1102795</v>
      </c>
      <c r="BV127" s="230">
        <v>-12552</v>
      </c>
      <c r="BW127" s="229">
        <v>-1.14E-2</v>
      </c>
      <c r="BX127" s="230">
        <v>33601200</v>
      </c>
      <c r="BY127" s="230">
        <v>33944400</v>
      </c>
      <c r="BZ127" s="230">
        <v>-343200</v>
      </c>
      <c r="CA127" s="229">
        <v>-1.01E-2</v>
      </c>
      <c r="CB127" s="230">
        <v>33318000</v>
      </c>
      <c r="CC127" s="230">
        <v>33698400</v>
      </c>
      <c r="CD127" s="230">
        <v>-380400</v>
      </c>
      <c r="CE127" s="229">
        <v>-1.1299999999999999E-2</v>
      </c>
      <c r="CF127" s="230">
        <v>254400</v>
      </c>
      <c r="CG127" s="230">
        <v>219600</v>
      </c>
      <c r="CH127" s="230">
        <v>34800</v>
      </c>
      <c r="CI127" s="229">
        <v>0.1585</v>
      </c>
      <c r="CJ127" s="230">
        <v>28800</v>
      </c>
      <c r="CK127" s="230">
        <v>26400</v>
      </c>
      <c r="CL127" s="230">
        <v>2400</v>
      </c>
      <c r="CM127" s="229">
        <v>9.0899999999999995E-2</v>
      </c>
      <c r="CN127" s="230">
        <v>6104400</v>
      </c>
      <c r="CO127" s="230">
        <v>6520800</v>
      </c>
      <c r="CP127" s="230">
        <v>-416400</v>
      </c>
      <c r="CQ127" s="229">
        <v>-6.3899999999999998E-2</v>
      </c>
      <c r="CR127" s="230">
        <v>3951600</v>
      </c>
      <c r="CS127" s="230">
        <v>3950400</v>
      </c>
      <c r="CT127" s="230">
        <v>1200</v>
      </c>
      <c r="CU127" s="229">
        <v>2.9999999999999997E-4</v>
      </c>
      <c r="CV127" s="230">
        <v>43657200</v>
      </c>
      <c r="CW127" s="230">
        <v>44415600</v>
      </c>
      <c r="CX127" s="230">
        <v>-758400</v>
      </c>
      <c r="CY127" s="229">
        <v>-1.7100000000000001E-2</v>
      </c>
      <c r="CZ127" s="228">
        <v>17.329999999999998</v>
      </c>
      <c r="DA127" s="228">
        <v>18.41</v>
      </c>
      <c r="DB127" s="228">
        <v>-1.08</v>
      </c>
      <c r="DC127" s="228">
        <v>-1.08</v>
      </c>
      <c r="DD127" s="228">
        <v>24.75</v>
      </c>
      <c r="DE127" s="228">
        <v>24.8</v>
      </c>
      <c r="DF127" s="228">
        <v>-7.42</v>
      </c>
      <c r="DG127" s="228">
        <v>-0.05</v>
      </c>
      <c r="DH127" s="228">
        <v>17.16</v>
      </c>
      <c r="DI127" s="228">
        <v>18.46</v>
      </c>
      <c r="DJ127" s="228">
        <v>-1.3</v>
      </c>
      <c r="DK127" s="228">
        <v>-1.3</v>
      </c>
      <c r="DL127" s="228">
        <v>17.73</v>
      </c>
      <c r="DM127" s="228">
        <v>18.260000000000002</v>
      </c>
      <c r="DN127" s="228">
        <v>-0.53</v>
      </c>
      <c r="DO127" s="228">
        <v>-0.53</v>
      </c>
      <c r="DP127" s="228">
        <v>0.65</v>
      </c>
      <c r="DQ127" s="228">
        <v>0.61</v>
      </c>
      <c r="DR127" s="228">
        <v>0.04</v>
      </c>
      <c r="DS127" s="229">
        <v>6.5600000000000006E-2</v>
      </c>
      <c r="DT127" s="228">
        <v>750</v>
      </c>
      <c r="DU127" s="228">
        <v>690</v>
      </c>
      <c r="DV127" s="228">
        <v>0.41</v>
      </c>
      <c r="DW127" s="228">
        <v>0.31</v>
      </c>
      <c r="DX127" s="228">
        <v>0.1</v>
      </c>
      <c r="DY127" s="229">
        <v>0.3226</v>
      </c>
      <c r="DZ127" s="229">
        <v>8.3999999999999995E-3</v>
      </c>
      <c r="EA127" s="230">
        <v>246000</v>
      </c>
      <c r="EB127" s="229">
        <v>6.4999999999999997E-3</v>
      </c>
      <c r="EC127" s="229">
        <v>8.3999999999999995E-3</v>
      </c>
      <c r="ED127" s="228">
        <v>4.68</v>
      </c>
      <c r="EE127" s="229">
        <v>6.3E-3</v>
      </c>
      <c r="EF127" s="230">
        <v>698808</v>
      </c>
      <c r="EG127" s="230">
        <v>796222</v>
      </c>
      <c r="EH127" s="229">
        <v>-0.12230000000000001</v>
      </c>
      <c r="EI127" s="229">
        <v>0.64100000000000001</v>
      </c>
      <c r="EJ127" s="231">
        <v>35895.1</v>
      </c>
      <c r="EK127" s="231">
        <v>13974.87</v>
      </c>
      <c r="EL127" s="231">
        <v>13317.2</v>
      </c>
      <c r="EM127" s="231">
        <v>1679</v>
      </c>
      <c r="EN127" s="231">
        <v>63187.17</v>
      </c>
      <c r="EO127" s="231">
        <v>55655.77</v>
      </c>
      <c r="EP127" s="231">
        <v>7531.4</v>
      </c>
      <c r="EQ127" s="229">
        <v>0.1353</v>
      </c>
      <c r="ER127" s="231">
        <v>46819</v>
      </c>
      <c r="ES127" s="231">
        <v>27731</v>
      </c>
      <c r="ET127" s="231">
        <v>249653</v>
      </c>
      <c r="EU127" s="231">
        <v>79408529</v>
      </c>
      <c r="EV127" s="231">
        <v>324204</v>
      </c>
      <c r="EW127" s="231">
        <v>328528</v>
      </c>
      <c r="EX127" s="231">
        <v>-4324</v>
      </c>
      <c r="EY127" s="229">
        <v>-1.32E-2</v>
      </c>
      <c r="EZ127" s="229">
        <v>0.54979999999999996</v>
      </c>
      <c r="FA127" s="227" t="s">
        <v>556</v>
      </c>
      <c r="FB127" s="161">
        <f t="shared" si="1"/>
        <v>283200</v>
      </c>
    </row>
    <row r="128" spans="1:158" ht="17.25" hidden="1" thickBot="1" x14ac:dyDescent="0.3">
      <c r="A128" s="226">
        <v>46009</v>
      </c>
      <c r="B128" s="227" t="s">
        <v>162</v>
      </c>
      <c r="C128" s="227" t="s">
        <v>255</v>
      </c>
      <c r="D128" s="228">
        <v>50</v>
      </c>
      <c r="E128" s="231">
        <v>16367</v>
      </c>
      <c r="F128" s="231">
        <v>16409</v>
      </c>
      <c r="G128" s="228">
        <v>-42</v>
      </c>
      <c r="H128" s="229">
        <v>-2.5999999999999999E-3</v>
      </c>
      <c r="I128" s="231">
        <v>16329</v>
      </c>
      <c r="J128" s="231">
        <v>16398</v>
      </c>
      <c r="K128" s="228">
        <v>-69</v>
      </c>
      <c r="L128" s="229">
        <v>-4.1999999999999997E-3</v>
      </c>
      <c r="M128" s="231">
        <v>16367</v>
      </c>
      <c r="N128" s="231">
        <v>16409</v>
      </c>
      <c r="O128" s="228">
        <v>-42</v>
      </c>
      <c r="P128" s="229">
        <v>-2.5999999999999999E-3</v>
      </c>
      <c r="Q128" s="231">
        <v>16474</v>
      </c>
      <c r="R128" s="231">
        <v>16516</v>
      </c>
      <c r="S128" s="228">
        <v>-42</v>
      </c>
      <c r="T128" s="229">
        <v>-2.5000000000000001E-3</v>
      </c>
      <c r="U128" s="231">
        <v>16555</v>
      </c>
      <c r="V128" s="231">
        <v>16600</v>
      </c>
      <c r="W128" s="228">
        <v>-45</v>
      </c>
      <c r="X128" s="229">
        <v>-2.7000000000000001E-3</v>
      </c>
      <c r="Y128" s="228">
        <v>38</v>
      </c>
      <c r="Z128" s="228">
        <v>11</v>
      </c>
      <c r="AA128" s="228">
        <v>27</v>
      </c>
      <c r="AB128" s="229">
        <v>2.3E-3</v>
      </c>
      <c r="AC128" s="228">
        <v>38</v>
      </c>
      <c r="AD128" s="228">
        <v>11</v>
      </c>
      <c r="AE128" s="228">
        <v>27</v>
      </c>
      <c r="AF128" s="229">
        <v>2.3E-3</v>
      </c>
      <c r="AG128" s="228">
        <v>145</v>
      </c>
      <c r="AH128" s="228">
        <v>118</v>
      </c>
      <c r="AI128" s="228">
        <v>27</v>
      </c>
      <c r="AJ128" s="229">
        <v>8.8999999999999999E-3</v>
      </c>
      <c r="AK128" s="228">
        <v>226</v>
      </c>
      <c r="AL128" s="228">
        <v>202</v>
      </c>
      <c r="AM128" s="228">
        <v>24</v>
      </c>
      <c r="AN128" s="229">
        <v>1.38E-2</v>
      </c>
      <c r="AO128" s="231">
        <v>16337.69</v>
      </c>
      <c r="AP128" s="231">
        <v>16453.27</v>
      </c>
      <c r="AQ128" s="228">
        <v>0</v>
      </c>
      <c r="AR128" s="230">
        <v>393050</v>
      </c>
      <c r="AS128" s="230">
        <v>261150</v>
      </c>
      <c r="AT128" s="230">
        <v>131900</v>
      </c>
      <c r="AU128" s="229">
        <v>0.50509999999999999</v>
      </c>
      <c r="AV128" s="230">
        <v>303250</v>
      </c>
      <c r="AW128" s="230">
        <v>211450</v>
      </c>
      <c r="AX128" s="230">
        <v>91800</v>
      </c>
      <c r="AY128" s="229">
        <v>0.43409999999999999</v>
      </c>
      <c r="AZ128" s="230">
        <v>86500</v>
      </c>
      <c r="BA128" s="230">
        <v>48300</v>
      </c>
      <c r="BB128" s="230">
        <v>38200</v>
      </c>
      <c r="BC128" s="229">
        <v>0.79090000000000005</v>
      </c>
      <c r="BD128" s="230">
        <v>3300</v>
      </c>
      <c r="BE128" s="230">
        <v>1400</v>
      </c>
      <c r="BF128" s="230">
        <v>1900</v>
      </c>
      <c r="BG128" s="229">
        <v>1.3571</v>
      </c>
      <c r="BH128" s="230">
        <v>2508450</v>
      </c>
      <c r="BI128" s="230">
        <v>1964900</v>
      </c>
      <c r="BJ128" s="230">
        <v>543550</v>
      </c>
      <c r="BK128" s="229">
        <v>0.27660000000000001</v>
      </c>
      <c r="BL128" s="230">
        <v>2749600</v>
      </c>
      <c r="BM128" s="230">
        <v>1517750</v>
      </c>
      <c r="BN128" s="230">
        <v>1231850</v>
      </c>
      <c r="BO128" s="229">
        <v>0.81159999999999999</v>
      </c>
      <c r="BP128" s="230">
        <v>5651100</v>
      </c>
      <c r="BQ128" s="230">
        <v>3743800</v>
      </c>
      <c r="BR128" s="230">
        <v>1907300</v>
      </c>
      <c r="BS128" s="229">
        <v>0.50949999999999995</v>
      </c>
      <c r="BT128" s="230">
        <v>221867</v>
      </c>
      <c r="BU128" s="230">
        <v>260520</v>
      </c>
      <c r="BV128" s="230">
        <v>-38653</v>
      </c>
      <c r="BW128" s="229">
        <v>-0.1484</v>
      </c>
      <c r="BX128" s="230">
        <v>2870600</v>
      </c>
      <c r="BY128" s="230">
        <v>2854250</v>
      </c>
      <c r="BZ128" s="230">
        <v>16350</v>
      </c>
      <c r="CA128" s="229">
        <v>5.7000000000000002E-3</v>
      </c>
      <c r="CB128" s="230">
        <v>2569100</v>
      </c>
      <c r="CC128" s="230">
        <v>2613950</v>
      </c>
      <c r="CD128" s="230">
        <v>-44850</v>
      </c>
      <c r="CE128" s="229">
        <v>-1.72E-2</v>
      </c>
      <c r="CF128" s="230">
        <v>287800</v>
      </c>
      <c r="CG128" s="230">
        <v>226550</v>
      </c>
      <c r="CH128" s="230">
        <v>61250</v>
      </c>
      <c r="CI128" s="229">
        <v>0.27039999999999997</v>
      </c>
      <c r="CJ128" s="230">
        <v>13700</v>
      </c>
      <c r="CK128" s="230">
        <v>13750</v>
      </c>
      <c r="CL128" s="228">
        <v>-50</v>
      </c>
      <c r="CM128" s="229">
        <v>-3.5999999999999999E-3</v>
      </c>
      <c r="CN128" s="230">
        <v>1599950</v>
      </c>
      <c r="CO128" s="230">
        <v>1614100</v>
      </c>
      <c r="CP128" s="230">
        <v>-14150</v>
      </c>
      <c r="CQ128" s="229">
        <v>-8.8000000000000005E-3</v>
      </c>
      <c r="CR128" s="230">
        <v>1476950</v>
      </c>
      <c r="CS128" s="230">
        <v>1533750</v>
      </c>
      <c r="CT128" s="230">
        <v>-56800</v>
      </c>
      <c r="CU128" s="229">
        <v>-3.6999999999999998E-2</v>
      </c>
      <c r="CV128" s="230">
        <v>5947500</v>
      </c>
      <c r="CW128" s="230">
        <v>6002100</v>
      </c>
      <c r="CX128" s="230">
        <v>-54600</v>
      </c>
      <c r="CY128" s="229">
        <v>-9.1000000000000004E-3</v>
      </c>
      <c r="CZ128" s="228">
        <v>15.64</v>
      </c>
      <c r="DA128" s="228">
        <v>15.73</v>
      </c>
      <c r="DB128" s="228">
        <v>-0.09</v>
      </c>
      <c r="DC128" s="228">
        <v>-0.09</v>
      </c>
      <c r="DD128" s="228">
        <v>24.55</v>
      </c>
      <c r="DE128" s="228">
        <v>24.6</v>
      </c>
      <c r="DF128" s="228">
        <v>-8.91</v>
      </c>
      <c r="DG128" s="228">
        <v>-0.05</v>
      </c>
      <c r="DH128" s="228">
        <v>15.05</v>
      </c>
      <c r="DI128" s="228">
        <v>15.24</v>
      </c>
      <c r="DJ128" s="228">
        <v>-0.19</v>
      </c>
      <c r="DK128" s="228">
        <v>-0.19</v>
      </c>
      <c r="DL128" s="228">
        <v>16.170000000000002</v>
      </c>
      <c r="DM128" s="228">
        <v>16.350000000000001</v>
      </c>
      <c r="DN128" s="228">
        <v>-0.18</v>
      </c>
      <c r="DO128" s="228">
        <v>-0.18</v>
      </c>
      <c r="DP128" s="228">
        <v>0.92</v>
      </c>
      <c r="DQ128" s="228">
        <v>0.95</v>
      </c>
      <c r="DR128" s="228">
        <v>-0.03</v>
      </c>
      <c r="DS128" s="229">
        <v>-3.1600000000000003E-2</v>
      </c>
      <c r="DT128" s="231">
        <v>16500</v>
      </c>
      <c r="DU128" s="231">
        <v>16000</v>
      </c>
      <c r="DV128" s="228">
        <v>1.1000000000000001</v>
      </c>
      <c r="DW128" s="228">
        <v>0.77</v>
      </c>
      <c r="DX128" s="228">
        <v>0.33</v>
      </c>
      <c r="DY128" s="229">
        <v>0.42859999999999998</v>
      </c>
      <c r="DZ128" s="229">
        <v>0.105</v>
      </c>
      <c r="EA128" s="230">
        <v>240300</v>
      </c>
      <c r="EB128" s="229">
        <v>6.4999999999999997E-3</v>
      </c>
      <c r="EC128" s="229">
        <v>0.105</v>
      </c>
      <c r="ED128" s="228">
        <v>115.58</v>
      </c>
      <c r="EE128" s="229">
        <v>7.1000000000000004E-3</v>
      </c>
      <c r="EF128" s="230">
        <v>136706</v>
      </c>
      <c r="EG128" s="230">
        <v>192505</v>
      </c>
      <c r="EH128" s="229">
        <v>-0.28989999999999999</v>
      </c>
      <c r="EI128" s="229">
        <v>0.61619999999999997</v>
      </c>
      <c r="EJ128" s="231">
        <v>419260.13</v>
      </c>
      <c r="EK128" s="231">
        <v>443570.05</v>
      </c>
      <c r="EL128" s="231">
        <v>64321.35</v>
      </c>
      <c r="EM128" s="231">
        <v>7897</v>
      </c>
      <c r="EN128" s="231">
        <v>927151.53</v>
      </c>
      <c r="EO128" s="231">
        <v>618208.05000000005</v>
      </c>
      <c r="EP128" s="231">
        <v>308943.48</v>
      </c>
      <c r="EQ128" s="229">
        <v>0.49969999999999998</v>
      </c>
      <c r="ER128" s="231">
        <v>267215</v>
      </c>
      <c r="ES128" s="231">
        <v>231656</v>
      </c>
      <c r="ET128" s="231">
        <v>470165</v>
      </c>
      <c r="EU128" s="231">
        <v>16752897</v>
      </c>
      <c r="EV128" s="231">
        <v>969036</v>
      </c>
      <c r="EW128" s="231">
        <v>979121</v>
      </c>
      <c r="EX128" s="231">
        <v>-10085</v>
      </c>
      <c r="EY128" s="229">
        <v>-1.03E-2</v>
      </c>
      <c r="EZ128" s="229">
        <v>0.35499999999999998</v>
      </c>
      <c r="FA128" s="227" t="s">
        <v>567</v>
      </c>
      <c r="FB128" s="161">
        <f t="shared" si="1"/>
        <v>301500</v>
      </c>
    </row>
    <row r="129" spans="1:158" ht="17.25" hidden="1" thickBot="1" x14ac:dyDescent="0.3">
      <c r="A129" s="226">
        <v>46009</v>
      </c>
      <c r="B129" s="227" t="s">
        <v>170</v>
      </c>
      <c r="C129" s="227" t="s">
        <v>603</v>
      </c>
      <c r="D129" s="228">
        <v>525</v>
      </c>
      <c r="E129" s="231">
        <v>1052</v>
      </c>
      <c r="F129" s="231">
        <v>1033.8</v>
      </c>
      <c r="G129" s="228">
        <v>18.2</v>
      </c>
      <c r="H129" s="229">
        <v>1.7600000000000001E-2</v>
      </c>
      <c r="I129" s="231">
        <v>1048.5</v>
      </c>
      <c r="J129" s="231">
        <v>1031.0999999999999</v>
      </c>
      <c r="K129" s="228">
        <v>17.399999999999999</v>
      </c>
      <c r="L129" s="229">
        <v>1.6899999999999998E-2</v>
      </c>
      <c r="M129" s="231">
        <v>1052</v>
      </c>
      <c r="N129" s="231">
        <v>1033.8</v>
      </c>
      <c r="O129" s="228">
        <v>18.2</v>
      </c>
      <c r="P129" s="229">
        <v>1.7600000000000001E-2</v>
      </c>
      <c r="Q129" s="231">
        <v>1058.3</v>
      </c>
      <c r="R129" s="231">
        <v>1041.2</v>
      </c>
      <c r="S129" s="228">
        <v>17.100000000000001</v>
      </c>
      <c r="T129" s="229">
        <v>1.6400000000000001E-2</v>
      </c>
      <c r="U129" s="231">
        <v>1064</v>
      </c>
      <c r="V129" s="231">
        <v>1046.7</v>
      </c>
      <c r="W129" s="228">
        <v>17.3</v>
      </c>
      <c r="X129" s="229">
        <v>1.6500000000000001E-2</v>
      </c>
      <c r="Y129" s="228">
        <v>3.5</v>
      </c>
      <c r="Z129" s="228">
        <v>2.7</v>
      </c>
      <c r="AA129" s="228">
        <v>0.8</v>
      </c>
      <c r="AB129" s="229">
        <v>3.3E-3</v>
      </c>
      <c r="AC129" s="228">
        <v>3.5</v>
      </c>
      <c r="AD129" s="228">
        <v>2.7</v>
      </c>
      <c r="AE129" s="228">
        <v>0.8</v>
      </c>
      <c r="AF129" s="229">
        <v>3.3E-3</v>
      </c>
      <c r="AG129" s="228">
        <v>9.8000000000000007</v>
      </c>
      <c r="AH129" s="228">
        <v>10.1</v>
      </c>
      <c r="AI129" s="228">
        <v>-0.3</v>
      </c>
      <c r="AJ129" s="229">
        <v>9.2999999999999992E-3</v>
      </c>
      <c r="AK129" s="228">
        <v>15.5</v>
      </c>
      <c r="AL129" s="228">
        <v>15.6</v>
      </c>
      <c r="AM129" s="228">
        <v>-0.1</v>
      </c>
      <c r="AN129" s="229">
        <v>1.4800000000000001E-2</v>
      </c>
      <c r="AO129" s="231">
        <v>1048.8</v>
      </c>
      <c r="AP129" s="231">
        <v>1057.68</v>
      </c>
      <c r="AQ129" s="228">
        <v>0</v>
      </c>
      <c r="AR129" s="230">
        <v>4613175</v>
      </c>
      <c r="AS129" s="230">
        <v>3700200</v>
      </c>
      <c r="AT129" s="230">
        <v>912975</v>
      </c>
      <c r="AU129" s="229">
        <v>0.2467</v>
      </c>
      <c r="AV129" s="230">
        <v>3271275</v>
      </c>
      <c r="AW129" s="230">
        <v>3224025</v>
      </c>
      <c r="AX129" s="230">
        <v>47250</v>
      </c>
      <c r="AY129" s="229">
        <v>1.47E-2</v>
      </c>
      <c r="AZ129" s="230">
        <v>1288350</v>
      </c>
      <c r="BA129" s="230">
        <v>440475</v>
      </c>
      <c r="BB129" s="230">
        <v>847875</v>
      </c>
      <c r="BC129" s="229">
        <v>1.9249000000000001</v>
      </c>
      <c r="BD129" s="230">
        <v>53550</v>
      </c>
      <c r="BE129" s="230">
        <v>35700</v>
      </c>
      <c r="BF129" s="230">
        <v>17850</v>
      </c>
      <c r="BG129" s="229">
        <v>0.5</v>
      </c>
      <c r="BH129" s="230">
        <v>14187600</v>
      </c>
      <c r="BI129" s="230">
        <v>14431200</v>
      </c>
      <c r="BJ129" s="230">
        <v>-243600</v>
      </c>
      <c r="BK129" s="229">
        <v>-1.6899999999999998E-2</v>
      </c>
      <c r="BL129" s="230">
        <v>5495700</v>
      </c>
      <c r="BM129" s="230">
        <v>18929925</v>
      </c>
      <c r="BN129" s="230">
        <v>-13434225</v>
      </c>
      <c r="BO129" s="229">
        <v>-0.7097</v>
      </c>
      <c r="BP129" s="230">
        <v>24296475</v>
      </c>
      <c r="BQ129" s="230">
        <v>37061325</v>
      </c>
      <c r="BR129" s="230">
        <v>-12764850</v>
      </c>
      <c r="BS129" s="229">
        <v>-0.34439999999999998</v>
      </c>
      <c r="BT129" s="230">
        <v>5253680</v>
      </c>
      <c r="BU129" s="230">
        <v>4349516</v>
      </c>
      <c r="BV129" s="230">
        <v>904164</v>
      </c>
      <c r="BW129" s="229">
        <v>0.2079</v>
      </c>
      <c r="BX129" s="230">
        <v>20565300</v>
      </c>
      <c r="BY129" s="230">
        <v>19722675</v>
      </c>
      <c r="BZ129" s="230">
        <v>842625</v>
      </c>
      <c r="CA129" s="229">
        <v>4.2700000000000002E-2</v>
      </c>
      <c r="CB129" s="230">
        <v>18665325</v>
      </c>
      <c r="CC129" s="230">
        <v>18618600</v>
      </c>
      <c r="CD129" s="230">
        <v>46725</v>
      </c>
      <c r="CE129" s="229">
        <v>2.5000000000000001E-3</v>
      </c>
      <c r="CF129" s="230">
        <v>1723575</v>
      </c>
      <c r="CG129" s="230">
        <v>941850</v>
      </c>
      <c r="CH129" s="230">
        <v>781725</v>
      </c>
      <c r="CI129" s="229">
        <v>0.83</v>
      </c>
      <c r="CJ129" s="230">
        <v>176400</v>
      </c>
      <c r="CK129" s="230">
        <v>162225</v>
      </c>
      <c r="CL129" s="230">
        <v>14175</v>
      </c>
      <c r="CM129" s="229">
        <v>8.7400000000000005E-2</v>
      </c>
      <c r="CN129" s="230">
        <v>6305775</v>
      </c>
      <c r="CO129" s="230">
        <v>7305375</v>
      </c>
      <c r="CP129" s="230">
        <v>-999600</v>
      </c>
      <c r="CQ129" s="229">
        <v>-0.1368</v>
      </c>
      <c r="CR129" s="230">
        <v>3628800</v>
      </c>
      <c r="CS129" s="230">
        <v>3847200</v>
      </c>
      <c r="CT129" s="230">
        <v>-218400</v>
      </c>
      <c r="CU129" s="229">
        <v>-5.6800000000000003E-2</v>
      </c>
      <c r="CV129" s="230">
        <v>30499875</v>
      </c>
      <c r="CW129" s="230">
        <v>30875250</v>
      </c>
      <c r="CX129" s="230">
        <v>-375375</v>
      </c>
      <c r="CY129" s="229">
        <v>-1.2200000000000001E-2</v>
      </c>
      <c r="CZ129" s="228">
        <v>25.33</v>
      </c>
      <c r="DA129" s="228">
        <v>27.79</v>
      </c>
      <c r="DB129" s="228">
        <v>-2.46</v>
      </c>
      <c r="DC129" s="228">
        <v>-2.46</v>
      </c>
      <c r="DD129" s="228">
        <v>39.28</v>
      </c>
      <c r="DE129" s="228">
        <v>39.32</v>
      </c>
      <c r="DF129" s="228">
        <v>-13.95</v>
      </c>
      <c r="DG129" s="228">
        <v>-0.04</v>
      </c>
      <c r="DH129" s="228">
        <v>25.24</v>
      </c>
      <c r="DI129" s="228">
        <v>28.93</v>
      </c>
      <c r="DJ129" s="228">
        <v>-3.69</v>
      </c>
      <c r="DK129" s="228">
        <v>-3.69</v>
      </c>
      <c r="DL129" s="228">
        <v>25.57</v>
      </c>
      <c r="DM129" s="228">
        <v>26.93</v>
      </c>
      <c r="DN129" s="228">
        <v>-1.36</v>
      </c>
      <c r="DO129" s="228">
        <v>-1.36</v>
      </c>
      <c r="DP129" s="228">
        <v>0.57999999999999996</v>
      </c>
      <c r="DQ129" s="228">
        <v>0.53</v>
      </c>
      <c r="DR129" s="228">
        <v>0.05</v>
      </c>
      <c r="DS129" s="229">
        <v>9.4299999999999995E-2</v>
      </c>
      <c r="DT129" s="231">
        <v>1100</v>
      </c>
      <c r="DU129" s="231">
        <v>1160</v>
      </c>
      <c r="DV129" s="228">
        <v>0.39</v>
      </c>
      <c r="DW129" s="228">
        <v>1.31</v>
      </c>
      <c r="DX129" s="228">
        <v>-0.92</v>
      </c>
      <c r="DY129" s="229">
        <v>-0.70230000000000004</v>
      </c>
      <c r="DZ129" s="229">
        <v>9.2399999999999996E-2</v>
      </c>
      <c r="EA129" s="230">
        <v>1104075</v>
      </c>
      <c r="EB129" s="229">
        <v>6.0000000000000001E-3</v>
      </c>
      <c r="EC129" s="229">
        <v>9.2399999999999996E-2</v>
      </c>
      <c r="ED129" s="228">
        <v>8.8800000000000008</v>
      </c>
      <c r="EE129" s="229">
        <v>8.5000000000000006E-3</v>
      </c>
      <c r="EF129" s="230">
        <v>3580781</v>
      </c>
      <c r="EG129" s="230">
        <v>2657537</v>
      </c>
      <c r="EH129" s="229">
        <v>0.34739999999999999</v>
      </c>
      <c r="EI129" s="229">
        <v>0.68159999999999998</v>
      </c>
      <c r="EJ129" s="231">
        <v>155142.76</v>
      </c>
      <c r="EK129" s="231">
        <v>56674.79</v>
      </c>
      <c r="EL129" s="231">
        <v>48502.92</v>
      </c>
      <c r="EM129" s="231">
        <v>3633</v>
      </c>
      <c r="EN129" s="231">
        <v>260320.47</v>
      </c>
      <c r="EO129" s="231">
        <v>394148.3</v>
      </c>
      <c r="EP129" s="231">
        <v>-133827.82999999999</v>
      </c>
      <c r="EQ129" s="229">
        <v>-0.33950000000000002</v>
      </c>
      <c r="ER129" s="231">
        <v>72155</v>
      </c>
      <c r="ES129" s="231">
        <v>38860</v>
      </c>
      <c r="ET129" s="231">
        <v>216477</v>
      </c>
      <c r="EU129" s="231">
        <v>97211768</v>
      </c>
      <c r="EV129" s="231">
        <v>327492</v>
      </c>
      <c r="EW129" s="231">
        <v>328002</v>
      </c>
      <c r="EX129" s="228">
        <v>-510</v>
      </c>
      <c r="EY129" s="229">
        <v>-1.6000000000000001E-3</v>
      </c>
      <c r="EZ129" s="229">
        <v>0.31369999999999998</v>
      </c>
      <c r="FA129" s="227" t="s">
        <v>555</v>
      </c>
      <c r="FB129" s="161">
        <f t="shared" si="1"/>
        <v>1899975</v>
      </c>
    </row>
    <row r="130" spans="1:158" ht="17.25" hidden="1" thickBot="1" x14ac:dyDescent="0.3">
      <c r="A130" s="226">
        <v>46009</v>
      </c>
      <c r="B130" s="227" t="s">
        <v>215</v>
      </c>
      <c r="C130" s="227" t="s">
        <v>674</v>
      </c>
      <c r="D130" s="228">
        <v>175</v>
      </c>
      <c r="E130" s="231">
        <v>2366.4</v>
      </c>
      <c r="F130" s="231">
        <v>2362.6</v>
      </c>
      <c r="G130" s="228">
        <v>3.8</v>
      </c>
      <c r="H130" s="229">
        <v>1.6000000000000001E-3</v>
      </c>
      <c r="I130" s="231">
        <v>2358</v>
      </c>
      <c r="J130" s="231">
        <v>2356.6</v>
      </c>
      <c r="K130" s="228">
        <v>1.4</v>
      </c>
      <c r="L130" s="229">
        <v>5.9999999999999995E-4</v>
      </c>
      <c r="M130" s="231">
        <v>2366.4</v>
      </c>
      <c r="N130" s="231">
        <v>2362.6</v>
      </c>
      <c r="O130" s="228">
        <v>3.8</v>
      </c>
      <c r="P130" s="229">
        <v>1.6000000000000001E-3</v>
      </c>
      <c r="Q130" s="231">
        <v>2379.4</v>
      </c>
      <c r="R130" s="231">
        <v>2376.9</v>
      </c>
      <c r="S130" s="228">
        <v>2.5</v>
      </c>
      <c r="T130" s="229">
        <v>1.1000000000000001E-3</v>
      </c>
      <c r="U130" s="231">
        <v>2394.3000000000002</v>
      </c>
      <c r="V130" s="231">
        <v>2388.8000000000002</v>
      </c>
      <c r="W130" s="228">
        <v>5.5</v>
      </c>
      <c r="X130" s="229">
        <v>2.3E-3</v>
      </c>
      <c r="Y130" s="228">
        <v>8.4</v>
      </c>
      <c r="Z130" s="228">
        <v>6</v>
      </c>
      <c r="AA130" s="228">
        <v>2.4</v>
      </c>
      <c r="AB130" s="229">
        <v>3.5999999999999999E-3</v>
      </c>
      <c r="AC130" s="228">
        <v>8.4</v>
      </c>
      <c r="AD130" s="228">
        <v>6</v>
      </c>
      <c r="AE130" s="228">
        <v>2.4</v>
      </c>
      <c r="AF130" s="229">
        <v>3.5999999999999999E-3</v>
      </c>
      <c r="AG130" s="228">
        <v>21.4</v>
      </c>
      <c r="AH130" s="228">
        <v>20.3</v>
      </c>
      <c r="AI130" s="228">
        <v>1.1000000000000001</v>
      </c>
      <c r="AJ130" s="229">
        <v>9.1000000000000004E-3</v>
      </c>
      <c r="AK130" s="228">
        <v>36.299999999999997</v>
      </c>
      <c r="AL130" s="228">
        <v>32.200000000000003</v>
      </c>
      <c r="AM130" s="228">
        <v>4.0999999999999996</v>
      </c>
      <c r="AN130" s="229">
        <v>1.54E-2</v>
      </c>
      <c r="AO130" s="231">
        <v>2358.9499999999998</v>
      </c>
      <c r="AP130" s="231">
        <v>2369.46</v>
      </c>
      <c r="AQ130" s="228">
        <v>0</v>
      </c>
      <c r="AR130" s="230">
        <v>641725</v>
      </c>
      <c r="AS130" s="230">
        <v>746725</v>
      </c>
      <c r="AT130" s="230">
        <v>-105000</v>
      </c>
      <c r="AU130" s="229">
        <v>-0.1406</v>
      </c>
      <c r="AV130" s="230">
        <v>506800</v>
      </c>
      <c r="AW130" s="230">
        <v>564200</v>
      </c>
      <c r="AX130" s="230">
        <v>-57400</v>
      </c>
      <c r="AY130" s="229">
        <v>-0.1017</v>
      </c>
      <c r="AZ130" s="230">
        <v>119175</v>
      </c>
      <c r="BA130" s="230">
        <v>148925</v>
      </c>
      <c r="BB130" s="230">
        <v>-29750</v>
      </c>
      <c r="BC130" s="229">
        <v>-0.19980000000000001</v>
      </c>
      <c r="BD130" s="230">
        <v>15750</v>
      </c>
      <c r="BE130" s="230">
        <v>33600</v>
      </c>
      <c r="BF130" s="230">
        <v>-17850</v>
      </c>
      <c r="BG130" s="229">
        <v>-0.53129999999999999</v>
      </c>
      <c r="BH130" s="230">
        <v>3295950</v>
      </c>
      <c r="BI130" s="230">
        <v>3565800</v>
      </c>
      <c r="BJ130" s="230">
        <v>-269850</v>
      </c>
      <c r="BK130" s="229">
        <v>-7.5700000000000003E-2</v>
      </c>
      <c r="BL130" s="230">
        <v>1548750</v>
      </c>
      <c r="BM130" s="230">
        <v>2150050</v>
      </c>
      <c r="BN130" s="230">
        <v>-601300</v>
      </c>
      <c r="BO130" s="229">
        <v>-0.2797</v>
      </c>
      <c r="BP130" s="230">
        <v>5486425</v>
      </c>
      <c r="BQ130" s="230">
        <v>6462575</v>
      </c>
      <c r="BR130" s="230">
        <v>-976150</v>
      </c>
      <c r="BS130" s="229">
        <v>-0.151</v>
      </c>
      <c r="BT130" s="230">
        <v>803276</v>
      </c>
      <c r="BU130" s="230">
        <v>697328</v>
      </c>
      <c r="BV130" s="230">
        <v>105948</v>
      </c>
      <c r="BW130" s="229">
        <v>0.15190000000000001</v>
      </c>
      <c r="BX130" s="230">
        <v>4562200</v>
      </c>
      <c r="BY130" s="230">
        <v>4584550</v>
      </c>
      <c r="BZ130" s="230">
        <v>-22350</v>
      </c>
      <c r="CA130" s="229">
        <v>-4.8999999999999998E-3</v>
      </c>
      <c r="CB130" s="230">
        <v>4047400</v>
      </c>
      <c r="CC130" s="230">
        <v>4084150</v>
      </c>
      <c r="CD130" s="230">
        <v>-36750</v>
      </c>
      <c r="CE130" s="229">
        <v>-8.9999999999999993E-3</v>
      </c>
      <c r="CF130" s="230">
        <v>460200</v>
      </c>
      <c r="CG130" s="230">
        <v>456000</v>
      </c>
      <c r="CH130" s="230">
        <v>4200</v>
      </c>
      <c r="CI130" s="229">
        <v>9.1999999999999998E-3</v>
      </c>
      <c r="CJ130" s="230">
        <v>54600</v>
      </c>
      <c r="CK130" s="230">
        <v>44400</v>
      </c>
      <c r="CL130" s="230">
        <v>10200</v>
      </c>
      <c r="CM130" s="229">
        <v>0.22969999999999999</v>
      </c>
      <c r="CN130" s="230">
        <v>4116200</v>
      </c>
      <c r="CO130" s="230">
        <v>4206900</v>
      </c>
      <c r="CP130" s="230">
        <v>-90700</v>
      </c>
      <c r="CQ130" s="229">
        <v>-2.1600000000000001E-2</v>
      </c>
      <c r="CR130" s="230">
        <v>1840750</v>
      </c>
      <c r="CS130" s="230">
        <v>1788600</v>
      </c>
      <c r="CT130" s="230">
        <v>52150</v>
      </c>
      <c r="CU130" s="229">
        <v>2.92E-2</v>
      </c>
      <c r="CV130" s="230">
        <v>10519150</v>
      </c>
      <c r="CW130" s="230">
        <v>10580050</v>
      </c>
      <c r="CX130" s="230">
        <v>-60900</v>
      </c>
      <c r="CY130" s="229">
        <v>-5.7999999999999996E-3</v>
      </c>
      <c r="CZ130" s="228">
        <v>30.11</v>
      </c>
      <c r="DA130" s="228">
        <v>30.87</v>
      </c>
      <c r="DB130" s="228">
        <v>-0.76</v>
      </c>
      <c r="DC130" s="228">
        <v>-0.76</v>
      </c>
      <c r="DD130" s="228">
        <v>55.26</v>
      </c>
      <c r="DE130" s="228">
        <v>55.4</v>
      </c>
      <c r="DF130" s="228">
        <v>-25.15</v>
      </c>
      <c r="DG130" s="228">
        <v>-0.14000000000000001</v>
      </c>
      <c r="DH130" s="228">
        <v>31.13</v>
      </c>
      <c r="DI130" s="228">
        <v>32.49</v>
      </c>
      <c r="DJ130" s="228">
        <v>-1.36</v>
      </c>
      <c r="DK130" s="228">
        <v>-1.36</v>
      </c>
      <c r="DL130" s="228">
        <v>27.93</v>
      </c>
      <c r="DM130" s="228">
        <v>28.17</v>
      </c>
      <c r="DN130" s="228">
        <v>-0.24</v>
      </c>
      <c r="DO130" s="228">
        <v>-0.24</v>
      </c>
      <c r="DP130" s="228">
        <v>0.45</v>
      </c>
      <c r="DQ130" s="228">
        <v>0.43</v>
      </c>
      <c r="DR130" s="228">
        <v>0.02</v>
      </c>
      <c r="DS130" s="229">
        <v>4.65E-2</v>
      </c>
      <c r="DT130" s="231">
        <v>2700</v>
      </c>
      <c r="DU130" s="231">
        <v>2800</v>
      </c>
      <c r="DV130" s="228">
        <v>0.47</v>
      </c>
      <c r="DW130" s="228">
        <v>0.6</v>
      </c>
      <c r="DX130" s="228">
        <v>-0.13</v>
      </c>
      <c r="DY130" s="229">
        <v>-0.2167</v>
      </c>
      <c r="DZ130" s="229">
        <v>0.1128</v>
      </c>
      <c r="EA130" s="230">
        <v>500400</v>
      </c>
      <c r="EB130" s="229">
        <v>5.4999999999999997E-3</v>
      </c>
      <c r="EC130" s="229">
        <v>0.1128</v>
      </c>
      <c r="ED130" s="228">
        <v>10.51</v>
      </c>
      <c r="EE130" s="229">
        <v>4.4999999999999997E-3</v>
      </c>
      <c r="EF130" s="230">
        <v>177348</v>
      </c>
      <c r="EG130" s="230">
        <v>209676</v>
      </c>
      <c r="EH130" s="229">
        <v>-0.1542</v>
      </c>
      <c r="EI130" s="229">
        <v>0.2208</v>
      </c>
      <c r="EJ130" s="231">
        <v>83913.4</v>
      </c>
      <c r="EK130" s="231">
        <v>37123.51</v>
      </c>
      <c r="EL130" s="231">
        <v>15612.04</v>
      </c>
      <c r="EM130" s="231">
        <v>3725</v>
      </c>
      <c r="EN130" s="231">
        <v>136648.95000000001</v>
      </c>
      <c r="EO130" s="231">
        <v>162249.72</v>
      </c>
      <c r="EP130" s="231">
        <v>-25600.77</v>
      </c>
      <c r="EQ130" s="229">
        <v>-0.1578</v>
      </c>
      <c r="ER130" s="231">
        <v>110082</v>
      </c>
      <c r="ES130" s="231">
        <v>46615</v>
      </c>
      <c r="ET130" s="231">
        <v>108035</v>
      </c>
      <c r="EU130" s="231">
        <v>11364224</v>
      </c>
      <c r="EV130" s="231">
        <v>264732</v>
      </c>
      <c r="EW130" s="231">
        <v>266823</v>
      </c>
      <c r="EX130" s="231">
        <v>-2091</v>
      </c>
      <c r="EY130" s="229">
        <v>-7.7999999999999996E-3</v>
      </c>
      <c r="EZ130" s="229">
        <v>0.92559999999999998</v>
      </c>
      <c r="FA130" s="227" t="s">
        <v>556</v>
      </c>
      <c r="FB130" s="161">
        <f t="shared" si="1"/>
        <v>514800</v>
      </c>
    </row>
    <row r="131" spans="1:158" ht="17.25" hidden="1" thickBot="1" x14ac:dyDescent="0.3">
      <c r="A131" s="226">
        <v>46009</v>
      </c>
      <c r="B131" s="227" t="s">
        <v>175</v>
      </c>
      <c r="C131" s="227" t="s">
        <v>517</v>
      </c>
      <c r="D131" s="228">
        <v>125</v>
      </c>
      <c r="E131" s="231">
        <v>10194</v>
      </c>
      <c r="F131" s="231">
        <v>10066</v>
      </c>
      <c r="G131" s="228">
        <v>128</v>
      </c>
      <c r="H131" s="229">
        <v>1.2699999999999999E-2</v>
      </c>
      <c r="I131" s="231">
        <v>10172</v>
      </c>
      <c r="J131" s="231">
        <v>10025</v>
      </c>
      <c r="K131" s="228">
        <v>147</v>
      </c>
      <c r="L131" s="229">
        <v>1.47E-2</v>
      </c>
      <c r="M131" s="231">
        <v>10194</v>
      </c>
      <c r="N131" s="231">
        <v>10066</v>
      </c>
      <c r="O131" s="228">
        <v>128</v>
      </c>
      <c r="P131" s="229">
        <v>1.2699999999999999E-2</v>
      </c>
      <c r="Q131" s="231">
        <v>10254</v>
      </c>
      <c r="R131" s="231">
        <v>10120</v>
      </c>
      <c r="S131" s="228">
        <v>134</v>
      </c>
      <c r="T131" s="229">
        <v>1.32E-2</v>
      </c>
      <c r="U131" s="231">
        <v>10321</v>
      </c>
      <c r="V131" s="231">
        <v>10188</v>
      </c>
      <c r="W131" s="228">
        <v>133</v>
      </c>
      <c r="X131" s="229">
        <v>1.3100000000000001E-2</v>
      </c>
      <c r="Y131" s="228">
        <v>22</v>
      </c>
      <c r="Z131" s="228">
        <v>41</v>
      </c>
      <c r="AA131" s="228">
        <v>-19</v>
      </c>
      <c r="AB131" s="229">
        <v>2.2000000000000001E-3</v>
      </c>
      <c r="AC131" s="228">
        <v>22</v>
      </c>
      <c r="AD131" s="228">
        <v>41</v>
      </c>
      <c r="AE131" s="228">
        <v>-19</v>
      </c>
      <c r="AF131" s="229">
        <v>2.2000000000000001E-3</v>
      </c>
      <c r="AG131" s="228">
        <v>82</v>
      </c>
      <c r="AH131" s="228">
        <v>95</v>
      </c>
      <c r="AI131" s="228">
        <v>-13</v>
      </c>
      <c r="AJ131" s="229">
        <v>8.0999999999999996E-3</v>
      </c>
      <c r="AK131" s="228">
        <v>149</v>
      </c>
      <c r="AL131" s="228">
        <v>163</v>
      </c>
      <c r="AM131" s="228">
        <v>-14</v>
      </c>
      <c r="AN131" s="229">
        <v>1.46E-2</v>
      </c>
      <c r="AO131" s="231">
        <v>10147.959999999999</v>
      </c>
      <c r="AP131" s="231">
        <v>10207.18</v>
      </c>
      <c r="AQ131" s="228">
        <v>0</v>
      </c>
      <c r="AR131" s="230">
        <v>939125</v>
      </c>
      <c r="AS131" s="230">
        <v>562000</v>
      </c>
      <c r="AT131" s="230">
        <v>377125</v>
      </c>
      <c r="AU131" s="229">
        <v>0.67100000000000004</v>
      </c>
      <c r="AV131" s="230">
        <v>789375</v>
      </c>
      <c r="AW131" s="230">
        <v>472250</v>
      </c>
      <c r="AX131" s="230">
        <v>317125</v>
      </c>
      <c r="AY131" s="229">
        <v>0.67149999999999999</v>
      </c>
      <c r="AZ131" s="230">
        <v>139750</v>
      </c>
      <c r="BA131" s="230">
        <v>86625</v>
      </c>
      <c r="BB131" s="230">
        <v>53125</v>
      </c>
      <c r="BC131" s="229">
        <v>0.61329999999999996</v>
      </c>
      <c r="BD131" s="230">
        <v>10000</v>
      </c>
      <c r="BE131" s="230">
        <v>3125</v>
      </c>
      <c r="BF131" s="230">
        <v>6875</v>
      </c>
      <c r="BG131" s="229">
        <v>2.2000000000000002</v>
      </c>
      <c r="BH131" s="230">
        <v>5942875</v>
      </c>
      <c r="BI131" s="230">
        <v>3499750</v>
      </c>
      <c r="BJ131" s="230">
        <v>2443125</v>
      </c>
      <c r="BK131" s="229">
        <v>0.69810000000000005</v>
      </c>
      <c r="BL131" s="230">
        <v>3952875</v>
      </c>
      <c r="BM131" s="230">
        <v>2283250</v>
      </c>
      <c r="BN131" s="230">
        <v>1669625</v>
      </c>
      <c r="BO131" s="229">
        <v>0.73119999999999996</v>
      </c>
      <c r="BP131" s="230">
        <v>10834875</v>
      </c>
      <c r="BQ131" s="230">
        <v>6345000</v>
      </c>
      <c r="BR131" s="230">
        <v>4489875</v>
      </c>
      <c r="BS131" s="229">
        <v>0.70760000000000001</v>
      </c>
      <c r="BT131" s="230">
        <v>392173</v>
      </c>
      <c r="BU131" s="230">
        <v>294649</v>
      </c>
      <c r="BV131" s="230">
        <v>97524</v>
      </c>
      <c r="BW131" s="229">
        <v>0.33100000000000002</v>
      </c>
      <c r="BX131" s="230">
        <v>2899875</v>
      </c>
      <c r="BY131" s="230">
        <v>2888750</v>
      </c>
      <c r="BZ131" s="230">
        <v>11125</v>
      </c>
      <c r="CA131" s="229">
        <v>3.8999999999999998E-3</v>
      </c>
      <c r="CB131" s="230">
        <v>2567750</v>
      </c>
      <c r="CC131" s="230">
        <v>2568750</v>
      </c>
      <c r="CD131" s="230">
        <v>-1000</v>
      </c>
      <c r="CE131" s="229">
        <v>-4.0000000000000002E-4</v>
      </c>
      <c r="CF131" s="230">
        <v>286250</v>
      </c>
      <c r="CG131" s="230">
        <v>275125</v>
      </c>
      <c r="CH131" s="230">
        <v>11125</v>
      </c>
      <c r="CI131" s="229">
        <v>4.0399999999999998E-2</v>
      </c>
      <c r="CJ131" s="230">
        <v>45875</v>
      </c>
      <c r="CK131" s="230">
        <v>44875</v>
      </c>
      <c r="CL131" s="230">
        <v>1000</v>
      </c>
      <c r="CM131" s="229">
        <v>2.23E-2</v>
      </c>
      <c r="CN131" s="230">
        <v>2907625</v>
      </c>
      <c r="CO131" s="230">
        <v>3142000</v>
      </c>
      <c r="CP131" s="230">
        <v>-234375</v>
      </c>
      <c r="CQ131" s="229">
        <v>-7.46E-2</v>
      </c>
      <c r="CR131" s="230">
        <v>1949000</v>
      </c>
      <c r="CS131" s="230">
        <v>1995750</v>
      </c>
      <c r="CT131" s="230">
        <v>-46750</v>
      </c>
      <c r="CU131" s="229">
        <v>-2.3400000000000001E-2</v>
      </c>
      <c r="CV131" s="230">
        <v>7756500</v>
      </c>
      <c r="CW131" s="230">
        <v>8026500</v>
      </c>
      <c r="CX131" s="230">
        <v>-270000</v>
      </c>
      <c r="CY131" s="229">
        <v>-3.3599999999999998E-2</v>
      </c>
      <c r="CZ131" s="228">
        <v>28.62</v>
      </c>
      <c r="DA131" s="228">
        <v>30.89</v>
      </c>
      <c r="DB131" s="228">
        <v>-2.27</v>
      </c>
      <c r="DC131" s="228">
        <v>-2.27</v>
      </c>
      <c r="DD131" s="228">
        <v>45.16</v>
      </c>
      <c r="DE131" s="228">
        <v>45.24</v>
      </c>
      <c r="DF131" s="228">
        <v>-16.54</v>
      </c>
      <c r="DG131" s="228">
        <v>-0.08</v>
      </c>
      <c r="DH131" s="228">
        <v>28.34</v>
      </c>
      <c r="DI131" s="228">
        <v>31.11</v>
      </c>
      <c r="DJ131" s="228">
        <v>-2.77</v>
      </c>
      <c r="DK131" s="228">
        <v>-2.77</v>
      </c>
      <c r="DL131" s="228">
        <v>29.05</v>
      </c>
      <c r="DM131" s="228">
        <v>30.54</v>
      </c>
      <c r="DN131" s="228">
        <v>-1.49</v>
      </c>
      <c r="DO131" s="228">
        <v>-1.49</v>
      </c>
      <c r="DP131" s="228">
        <v>0.67</v>
      </c>
      <c r="DQ131" s="228">
        <v>0.64</v>
      </c>
      <c r="DR131" s="228">
        <v>0.03</v>
      </c>
      <c r="DS131" s="229">
        <v>4.6899999999999997E-2</v>
      </c>
      <c r="DT131" s="231">
        <v>11000</v>
      </c>
      <c r="DU131" s="231">
        <v>10000</v>
      </c>
      <c r="DV131" s="228">
        <v>0.67</v>
      </c>
      <c r="DW131" s="228">
        <v>0.65</v>
      </c>
      <c r="DX131" s="228">
        <v>0.02</v>
      </c>
      <c r="DY131" s="229">
        <v>3.0800000000000001E-2</v>
      </c>
      <c r="DZ131" s="229">
        <v>0.1145</v>
      </c>
      <c r="EA131" s="230">
        <v>320000</v>
      </c>
      <c r="EB131" s="229">
        <v>5.8999999999999999E-3</v>
      </c>
      <c r="EC131" s="229">
        <v>0.1145</v>
      </c>
      <c r="ED131" s="228">
        <v>59.22</v>
      </c>
      <c r="EE131" s="229">
        <v>5.7999999999999996E-3</v>
      </c>
      <c r="EF131" s="230">
        <v>113527</v>
      </c>
      <c r="EG131" s="230">
        <v>102061</v>
      </c>
      <c r="EH131" s="229">
        <v>0.1123</v>
      </c>
      <c r="EI131" s="229">
        <v>0.28949999999999998</v>
      </c>
      <c r="EJ131" s="231">
        <v>628292.96</v>
      </c>
      <c r="EK131" s="231">
        <v>391132.67</v>
      </c>
      <c r="EL131" s="231">
        <v>95396.33</v>
      </c>
      <c r="EM131" s="231">
        <v>6677</v>
      </c>
      <c r="EN131" s="231">
        <v>1114821.96</v>
      </c>
      <c r="EO131" s="231">
        <v>655630</v>
      </c>
      <c r="EP131" s="231">
        <v>459191.96</v>
      </c>
      <c r="EQ131" s="229">
        <v>0.70040000000000002</v>
      </c>
      <c r="ER131" s="231">
        <v>306159</v>
      </c>
      <c r="ES131" s="231">
        <v>188222</v>
      </c>
      <c r="ET131" s="231">
        <v>295843</v>
      </c>
      <c r="EU131" s="231">
        <v>7635422</v>
      </c>
      <c r="EV131" s="231">
        <v>790224</v>
      </c>
      <c r="EW131" s="231">
        <v>813896</v>
      </c>
      <c r="EX131" s="231">
        <v>-23672</v>
      </c>
      <c r="EY131" s="229">
        <v>-2.9100000000000001E-2</v>
      </c>
      <c r="EZ131" s="229">
        <v>1.0159</v>
      </c>
      <c r="FA131" s="227" t="s">
        <v>555</v>
      </c>
      <c r="FB131" s="161">
        <f t="shared" ref="FB131:FB138" si="2">BX131-CB131</f>
        <v>332125</v>
      </c>
    </row>
    <row r="132" spans="1:158" ht="17.25" hidden="1" thickBot="1" x14ac:dyDescent="0.3">
      <c r="A132" s="226">
        <v>46009</v>
      </c>
      <c r="B132" s="227" t="s">
        <v>175</v>
      </c>
      <c r="C132" s="227" t="s">
        <v>257</v>
      </c>
      <c r="D132" s="228">
        <v>400</v>
      </c>
      <c r="E132" s="231">
        <v>1688.8</v>
      </c>
      <c r="F132" s="231">
        <v>1668.5</v>
      </c>
      <c r="G132" s="228">
        <v>20.3</v>
      </c>
      <c r="H132" s="229">
        <v>1.2200000000000001E-2</v>
      </c>
      <c r="I132" s="231">
        <v>1686.6</v>
      </c>
      <c r="J132" s="231">
        <v>1663.9</v>
      </c>
      <c r="K132" s="228">
        <v>22.7</v>
      </c>
      <c r="L132" s="229">
        <v>1.3599999999999999E-2</v>
      </c>
      <c r="M132" s="231">
        <v>1688.8</v>
      </c>
      <c r="N132" s="231">
        <v>1668.5</v>
      </c>
      <c r="O132" s="228">
        <v>20.3</v>
      </c>
      <c r="P132" s="229">
        <v>1.2200000000000001E-2</v>
      </c>
      <c r="Q132" s="231">
        <v>1699.3</v>
      </c>
      <c r="R132" s="231">
        <v>1677.5</v>
      </c>
      <c r="S132" s="228">
        <v>21.8</v>
      </c>
      <c r="T132" s="229">
        <v>1.2999999999999999E-2</v>
      </c>
      <c r="U132" s="231">
        <v>1704.1</v>
      </c>
      <c r="V132" s="231">
        <v>1684.6</v>
      </c>
      <c r="W132" s="228">
        <v>19.5</v>
      </c>
      <c r="X132" s="229">
        <v>1.1599999999999999E-2</v>
      </c>
      <c r="Y132" s="228">
        <v>2.2000000000000002</v>
      </c>
      <c r="Z132" s="228">
        <v>4.5999999999999996</v>
      </c>
      <c r="AA132" s="228">
        <v>-2.4</v>
      </c>
      <c r="AB132" s="229">
        <v>1.2999999999999999E-3</v>
      </c>
      <c r="AC132" s="228">
        <v>2.2000000000000002</v>
      </c>
      <c r="AD132" s="228">
        <v>4.5999999999999996</v>
      </c>
      <c r="AE132" s="228">
        <v>-2.4</v>
      </c>
      <c r="AF132" s="229">
        <v>1.2999999999999999E-3</v>
      </c>
      <c r="AG132" s="228">
        <v>12.7</v>
      </c>
      <c r="AH132" s="228">
        <v>13.6</v>
      </c>
      <c r="AI132" s="228">
        <v>-0.9</v>
      </c>
      <c r="AJ132" s="229">
        <v>7.4999999999999997E-3</v>
      </c>
      <c r="AK132" s="228">
        <v>17.5</v>
      </c>
      <c r="AL132" s="228">
        <v>20.7</v>
      </c>
      <c r="AM132" s="228">
        <v>-3.2</v>
      </c>
      <c r="AN132" s="229">
        <v>1.04E-2</v>
      </c>
      <c r="AO132" s="231">
        <v>1682.3</v>
      </c>
      <c r="AP132" s="231">
        <v>1697.33</v>
      </c>
      <c r="AQ132" s="228">
        <v>0</v>
      </c>
      <c r="AR132" s="230">
        <v>642800</v>
      </c>
      <c r="AS132" s="230">
        <v>806400</v>
      </c>
      <c r="AT132" s="230">
        <v>-163600</v>
      </c>
      <c r="AU132" s="229">
        <v>-0.2029</v>
      </c>
      <c r="AV132" s="230">
        <v>552800</v>
      </c>
      <c r="AW132" s="230">
        <v>696000</v>
      </c>
      <c r="AX132" s="230">
        <v>-143200</v>
      </c>
      <c r="AY132" s="229">
        <v>-0.20569999999999999</v>
      </c>
      <c r="AZ132" s="230">
        <v>86800</v>
      </c>
      <c r="BA132" s="230">
        <v>109200</v>
      </c>
      <c r="BB132" s="230">
        <v>-22400</v>
      </c>
      <c r="BC132" s="229">
        <v>-0.2051</v>
      </c>
      <c r="BD132" s="230">
        <v>3200</v>
      </c>
      <c r="BE132" s="230">
        <v>1200</v>
      </c>
      <c r="BF132" s="230">
        <v>2000</v>
      </c>
      <c r="BG132" s="229">
        <v>1.6667000000000001</v>
      </c>
      <c r="BH132" s="230">
        <v>1525200</v>
      </c>
      <c r="BI132" s="230">
        <v>1825600</v>
      </c>
      <c r="BJ132" s="230">
        <v>-300400</v>
      </c>
      <c r="BK132" s="229">
        <v>-0.16450000000000001</v>
      </c>
      <c r="BL132" s="230">
        <v>765600</v>
      </c>
      <c r="BM132" s="230">
        <v>1117600</v>
      </c>
      <c r="BN132" s="230">
        <v>-352000</v>
      </c>
      <c r="BO132" s="229">
        <v>-0.315</v>
      </c>
      <c r="BP132" s="230">
        <v>2933600</v>
      </c>
      <c r="BQ132" s="230">
        <v>3749600</v>
      </c>
      <c r="BR132" s="230">
        <v>-816000</v>
      </c>
      <c r="BS132" s="229">
        <v>-0.21759999999999999</v>
      </c>
      <c r="BT132" s="230">
        <v>247610</v>
      </c>
      <c r="BU132" s="230">
        <v>351871</v>
      </c>
      <c r="BV132" s="230">
        <v>-104261</v>
      </c>
      <c r="BW132" s="229">
        <v>-0.29630000000000001</v>
      </c>
      <c r="BX132" s="230">
        <v>7978400</v>
      </c>
      <c r="BY132" s="230">
        <v>7950000</v>
      </c>
      <c r="BZ132" s="230">
        <v>28400</v>
      </c>
      <c r="CA132" s="229">
        <v>3.5999999999999999E-3</v>
      </c>
      <c r="CB132" s="230">
        <v>7775200</v>
      </c>
      <c r="CC132" s="230">
        <v>7800800</v>
      </c>
      <c r="CD132" s="230">
        <v>-25600</v>
      </c>
      <c r="CE132" s="229">
        <v>-3.3E-3</v>
      </c>
      <c r="CF132" s="230">
        <v>194000</v>
      </c>
      <c r="CG132" s="230">
        <v>141600</v>
      </c>
      <c r="CH132" s="230">
        <v>52400</v>
      </c>
      <c r="CI132" s="229">
        <v>0.37009999999999998</v>
      </c>
      <c r="CJ132" s="230">
        <v>9200</v>
      </c>
      <c r="CK132" s="230">
        <v>7600</v>
      </c>
      <c r="CL132" s="230">
        <v>1600</v>
      </c>
      <c r="CM132" s="229">
        <v>0.21049999999999999</v>
      </c>
      <c r="CN132" s="230">
        <v>1829200</v>
      </c>
      <c r="CO132" s="230">
        <v>1864800</v>
      </c>
      <c r="CP132" s="230">
        <v>-35600</v>
      </c>
      <c r="CQ132" s="229">
        <v>-1.9099999999999999E-2</v>
      </c>
      <c r="CR132" s="230">
        <v>1010800</v>
      </c>
      <c r="CS132" s="230">
        <v>994000</v>
      </c>
      <c r="CT132" s="230">
        <v>16800</v>
      </c>
      <c r="CU132" s="229">
        <v>1.6899999999999998E-2</v>
      </c>
      <c r="CV132" s="230">
        <v>10818400</v>
      </c>
      <c r="CW132" s="230">
        <v>10808800</v>
      </c>
      <c r="CX132" s="230">
        <v>9600</v>
      </c>
      <c r="CY132" s="229">
        <v>8.9999999999999998E-4</v>
      </c>
      <c r="CZ132" s="228">
        <v>22.27</v>
      </c>
      <c r="DA132" s="228">
        <v>22.84</v>
      </c>
      <c r="DB132" s="228">
        <v>-0.56999999999999995</v>
      </c>
      <c r="DC132" s="228">
        <v>-0.56999999999999995</v>
      </c>
      <c r="DD132" s="228">
        <v>29.94</v>
      </c>
      <c r="DE132" s="228">
        <v>29.97</v>
      </c>
      <c r="DF132" s="228">
        <v>-7.67</v>
      </c>
      <c r="DG132" s="228">
        <v>-0.03</v>
      </c>
      <c r="DH132" s="228">
        <v>22.47</v>
      </c>
      <c r="DI132" s="228">
        <v>23.23</v>
      </c>
      <c r="DJ132" s="228">
        <v>-0.76</v>
      </c>
      <c r="DK132" s="228">
        <v>-0.76</v>
      </c>
      <c r="DL132" s="228">
        <v>21.87</v>
      </c>
      <c r="DM132" s="228">
        <v>22.21</v>
      </c>
      <c r="DN132" s="228">
        <v>-0.34</v>
      </c>
      <c r="DO132" s="228">
        <v>-0.34</v>
      </c>
      <c r="DP132" s="228">
        <v>0.55000000000000004</v>
      </c>
      <c r="DQ132" s="228">
        <v>0.53</v>
      </c>
      <c r="DR132" s="228">
        <v>0.02</v>
      </c>
      <c r="DS132" s="229">
        <v>3.7699999999999997E-2</v>
      </c>
      <c r="DT132" s="231">
        <v>1740</v>
      </c>
      <c r="DU132" s="231">
        <v>1660</v>
      </c>
      <c r="DV132" s="228">
        <v>0.5</v>
      </c>
      <c r="DW132" s="228">
        <v>0.61</v>
      </c>
      <c r="DX132" s="228">
        <v>-0.11</v>
      </c>
      <c r="DY132" s="229">
        <v>-0.18029999999999999</v>
      </c>
      <c r="DZ132" s="229">
        <v>2.5499999999999998E-2</v>
      </c>
      <c r="EA132" s="230">
        <v>149200</v>
      </c>
      <c r="EB132" s="229">
        <v>6.1999999999999998E-3</v>
      </c>
      <c r="EC132" s="229">
        <v>2.5499999999999998E-2</v>
      </c>
      <c r="ED132" s="228">
        <v>15.03</v>
      </c>
      <c r="EE132" s="229">
        <v>8.8999999999999999E-3</v>
      </c>
      <c r="EF132" s="230">
        <v>130163</v>
      </c>
      <c r="EG132" s="230">
        <v>182734</v>
      </c>
      <c r="EH132" s="229">
        <v>-0.28770000000000001</v>
      </c>
      <c r="EI132" s="229">
        <v>0.52569999999999995</v>
      </c>
      <c r="EJ132" s="231">
        <v>26648.92</v>
      </c>
      <c r="EK132" s="231">
        <v>12746.6</v>
      </c>
      <c r="EL132" s="231">
        <v>10827.44</v>
      </c>
      <c r="EM132" s="231">
        <v>1847</v>
      </c>
      <c r="EN132" s="231">
        <v>50222.96</v>
      </c>
      <c r="EO132" s="231">
        <v>63845.46</v>
      </c>
      <c r="EP132" s="231">
        <v>-13622.5</v>
      </c>
      <c r="EQ132" s="229">
        <v>-0.21340000000000001</v>
      </c>
      <c r="ER132" s="231">
        <v>32355</v>
      </c>
      <c r="ES132" s="231">
        <v>16450</v>
      </c>
      <c r="ET132" s="231">
        <v>134761</v>
      </c>
      <c r="EU132" s="231">
        <v>34712157</v>
      </c>
      <c r="EV132" s="231">
        <v>183566</v>
      </c>
      <c r="EW132" s="231">
        <v>181725</v>
      </c>
      <c r="EX132" s="231">
        <v>1841</v>
      </c>
      <c r="EY132" s="229">
        <v>1.01E-2</v>
      </c>
      <c r="EZ132" s="229">
        <v>0.31169999999999998</v>
      </c>
      <c r="FA132" s="227" t="s">
        <v>555</v>
      </c>
      <c r="FB132" s="161">
        <f t="shared" si="2"/>
        <v>203200</v>
      </c>
    </row>
    <row r="133" spans="1:158" ht="17.25" hidden="1" thickBot="1" x14ac:dyDescent="0.3">
      <c r="A133" s="226">
        <v>46009</v>
      </c>
      <c r="B133" s="227" t="s">
        <v>181</v>
      </c>
      <c r="C133" s="227" t="s">
        <v>563</v>
      </c>
      <c r="D133" s="228">
        <v>140</v>
      </c>
      <c r="E133" s="231">
        <v>13777.4</v>
      </c>
      <c r="F133" s="231">
        <v>13686.05</v>
      </c>
      <c r="G133" s="228">
        <v>91.35</v>
      </c>
      <c r="H133" s="229">
        <v>6.7000000000000002E-3</v>
      </c>
      <c r="I133" s="231">
        <v>13745.15</v>
      </c>
      <c r="J133" s="231">
        <v>13652.3</v>
      </c>
      <c r="K133" s="228">
        <v>92.85</v>
      </c>
      <c r="L133" s="229">
        <v>6.7999999999999996E-3</v>
      </c>
      <c r="M133" s="231">
        <v>13777.4</v>
      </c>
      <c r="N133" s="231">
        <v>13686.05</v>
      </c>
      <c r="O133" s="228">
        <v>91.35</v>
      </c>
      <c r="P133" s="229">
        <v>6.7000000000000002E-3</v>
      </c>
      <c r="Q133" s="231">
        <v>13850.35</v>
      </c>
      <c r="R133" s="231">
        <v>13768.15</v>
      </c>
      <c r="S133" s="228">
        <v>82.2</v>
      </c>
      <c r="T133" s="229">
        <v>6.0000000000000001E-3</v>
      </c>
      <c r="U133" s="231">
        <v>13915.45</v>
      </c>
      <c r="V133" s="231">
        <v>13838.35</v>
      </c>
      <c r="W133" s="228">
        <v>77.099999999999994</v>
      </c>
      <c r="X133" s="229">
        <v>5.5999999999999999E-3</v>
      </c>
      <c r="Y133" s="228">
        <v>32.25</v>
      </c>
      <c r="Z133" s="228">
        <v>33.75</v>
      </c>
      <c r="AA133" s="228">
        <v>-1.5</v>
      </c>
      <c r="AB133" s="229">
        <v>2.3E-3</v>
      </c>
      <c r="AC133" s="228">
        <v>32.25</v>
      </c>
      <c r="AD133" s="228">
        <v>33.75</v>
      </c>
      <c r="AE133" s="228">
        <v>-1.5</v>
      </c>
      <c r="AF133" s="229">
        <v>2.3E-3</v>
      </c>
      <c r="AG133" s="228">
        <v>105.2</v>
      </c>
      <c r="AH133" s="228">
        <v>115.85</v>
      </c>
      <c r="AI133" s="228">
        <v>-10.65</v>
      </c>
      <c r="AJ133" s="229">
        <v>7.7000000000000002E-3</v>
      </c>
      <c r="AK133" s="228">
        <v>170.3</v>
      </c>
      <c r="AL133" s="228">
        <v>186.05</v>
      </c>
      <c r="AM133" s="228">
        <v>-15.75</v>
      </c>
      <c r="AN133" s="229">
        <v>1.24E-2</v>
      </c>
      <c r="AO133" s="231">
        <v>13727.22</v>
      </c>
      <c r="AP133" s="231">
        <v>13806.24</v>
      </c>
      <c r="AQ133" s="228">
        <v>0</v>
      </c>
      <c r="AR133" s="230">
        <v>727720</v>
      </c>
      <c r="AS133" s="230">
        <v>428540</v>
      </c>
      <c r="AT133" s="230">
        <v>299180</v>
      </c>
      <c r="AU133" s="229">
        <v>0.69810000000000005</v>
      </c>
      <c r="AV133" s="230">
        <v>615160</v>
      </c>
      <c r="AW133" s="230">
        <v>384020</v>
      </c>
      <c r="AX133" s="230">
        <v>231140</v>
      </c>
      <c r="AY133" s="229">
        <v>0.60189999999999999</v>
      </c>
      <c r="AZ133" s="230">
        <v>109200</v>
      </c>
      <c r="BA133" s="230">
        <v>40880</v>
      </c>
      <c r="BB133" s="230">
        <v>68320</v>
      </c>
      <c r="BC133" s="229">
        <v>1.6712</v>
      </c>
      <c r="BD133" s="230">
        <v>3360</v>
      </c>
      <c r="BE133" s="230">
        <v>3640</v>
      </c>
      <c r="BF133" s="228">
        <v>-280</v>
      </c>
      <c r="BG133" s="229">
        <v>-7.6899999999999996E-2</v>
      </c>
      <c r="BH133" s="230">
        <v>28035980</v>
      </c>
      <c r="BI133" s="230">
        <v>24776360</v>
      </c>
      <c r="BJ133" s="230">
        <v>3259620</v>
      </c>
      <c r="BK133" s="229">
        <v>0.13159999999999999</v>
      </c>
      <c r="BL133" s="230">
        <v>25204760</v>
      </c>
      <c r="BM133" s="230">
        <v>18474400</v>
      </c>
      <c r="BN133" s="230">
        <v>6730360</v>
      </c>
      <c r="BO133" s="229">
        <v>0.36430000000000001</v>
      </c>
      <c r="BP133" s="230">
        <v>53968460</v>
      </c>
      <c r="BQ133" s="230">
        <v>43679300</v>
      </c>
      <c r="BR133" s="230">
        <v>10289160</v>
      </c>
      <c r="BS133" s="229">
        <v>0.2356</v>
      </c>
      <c r="BT133" s="228">
        <v>0</v>
      </c>
      <c r="BU133" s="228">
        <v>0</v>
      </c>
      <c r="BV133" s="228">
        <v>0</v>
      </c>
      <c r="BW133" s="229">
        <v>0</v>
      </c>
      <c r="BX133" s="230">
        <v>2510880</v>
      </c>
      <c r="BY133" s="230">
        <v>2546640</v>
      </c>
      <c r="BZ133" s="230">
        <v>-35760</v>
      </c>
      <c r="CA133" s="229">
        <v>-1.4E-2</v>
      </c>
      <c r="CB133" s="230">
        <v>2358720</v>
      </c>
      <c r="CC133" s="230">
        <v>2409960</v>
      </c>
      <c r="CD133" s="230">
        <v>-51240</v>
      </c>
      <c r="CE133" s="229">
        <v>-2.1299999999999999E-2</v>
      </c>
      <c r="CF133" s="230">
        <v>137160</v>
      </c>
      <c r="CG133" s="230">
        <v>121680</v>
      </c>
      <c r="CH133" s="230">
        <v>15480</v>
      </c>
      <c r="CI133" s="229">
        <v>0.12720000000000001</v>
      </c>
      <c r="CJ133" s="230">
        <v>15000</v>
      </c>
      <c r="CK133" s="230">
        <v>15000</v>
      </c>
      <c r="CL133" s="228">
        <v>0</v>
      </c>
      <c r="CM133" s="229">
        <v>0</v>
      </c>
      <c r="CN133" s="230">
        <v>10325440</v>
      </c>
      <c r="CO133" s="230">
        <v>10689220</v>
      </c>
      <c r="CP133" s="230">
        <v>-363780</v>
      </c>
      <c r="CQ133" s="229">
        <v>-3.4000000000000002E-2</v>
      </c>
      <c r="CR133" s="230">
        <v>9573220</v>
      </c>
      <c r="CS133" s="230">
        <v>9196300</v>
      </c>
      <c r="CT133" s="230">
        <v>376920</v>
      </c>
      <c r="CU133" s="229">
        <v>4.1000000000000002E-2</v>
      </c>
      <c r="CV133" s="230">
        <v>22409540</v>
      </c>
      <c r="CW133" s="230">
        <v>22432160</v>
      </c>
      <c r="CX133" s="230">
        <v>-22620</v>
      </c>
      <c r="CY133" s="229">
        <v>-1E-3</v>
      </c>
      <c r="CZ133" s="228">
        <v>14.75</v>
      </c>
      <c r="DA133" s="228">
        <v>15.39</v>
      </c>
      <c r="DB133" s="228">
        <v>-0.64</v>
      </c>
      <c r="DC133" s="228">
        <v>-0.64</v>
      </c>
      <c r="DD133" s="228">
        <v>21.8</v>
      </c>
      <c r="DE133" s="228">
        <v>21.83</v>
      </c>
      <c r="DF133" s="228">
        <v>-7.05</v>
      </c>
      <c r="DG133" s="228">
        <v>-0.03</v>
      </c>
      <c r="DH133" s="228">
        <v>14.12</v>
      </c>
      <c r="DI133" s="228">
        <v>15.23</v>
      </c>
      <c r="DJ133" s="228">
        <v>-1.1100000000000001</v>
      </c>
      <c r="DK133" s="228">
        <v>-1.1100000000000001</v>
      </c>
      <c r="DL133" s="228">
        <v>15.46</v>
      </c>
      <c r="DM133" s="228">
        <v>15.59</v>
      </c>
      <c r="DN133" s="228">
        <v>-0.13</v>
      </c>
      <c r="DO133" s="228">
        <v>-0.13</v>
      </c>
      <c r="DP133" s="228">
        <v>0.93</v>
      </c>
      <c r="DQ133" s="228">
        <v>0.86</v>
      </c>
      <c r="DR133" s="228">
        <v>7.0000000000000007E-2</v>
      </c>
      <c r="DS133" s="229">
        <v>8.14E-2</v>
      </c>
      <c r="DT133" s="231">
        <v>14000</v>
      </c>
      <c r="DU133" s="231">
        <v>13000</v>
      </c>
      <c r="DV133" s="228">
        <v>0.9</v>
      </c>
      <c r="DW133" s="228">
        <v>0.75</v>
      </c>
      <c r="DX133" s="228">
        <v>0.15</v>
      </c>
      <c r="DY133" s="229">
        <v>0.2</v>
      </c>
      <c r="DZ133" s="229">
        <v>6.0600000000000001E-2</v>
      </c>
      <c r="EA133" s="230">
        <v>136680</v>
      </c>
      <c r="EB133" s="229">
        <v>5.3E-3</v>
      </c>
      <c r="EC133" s="229">
        <v>6.0600000000000001E-2</v>
      </c>
      <c r="ED133" s="228">
        <v>79.02</v>
      </c>
      <c r="EE133" s="229">
        <v>5.7999999999999996E-3</v>
      </c>
      <c r="EF133" s="228">
        <v>0</v>
      </c>
      <c r="EG133" s="228">
        <v>0</v>
      </c>
      <c r="EH133" s="229">
        <v>0</v>
      </c>
      <c r="EI133" s="229">
        <v>0</v>
      </c>
      <c r="EJ133" s="231">
        <v>3933886.39</v>
      </c>
      <c r="EK133" s="231">
        <v>3413794.12</v>
      </c>
      <c r="EL133" s="231">
        <v>97766.23</v>
      </c>
      <c r="EM133" s="228">
        <v>0</v>
      </c>
      <c r="EN133" s="231">
        <v>7445446.7400000002</v>
      </c>
      <c r="EO133" s="231">
        <v>6067951.7199999997</v>
      </c>
      <c r="EP133" s="231">
        <v>1377495.02</v>
      </c>
      <c r="EQ133" s="229">
        <v>0.22700000000000001</v>
      </c>
      <c r="ER133" s="231">
        <v>1469482</v>
      </c>
      <c r="ES133" s="231">
        <v>1277798</v>
      </c>
      <c r="ET133" s="231">
        <v>346055</v>
      </c>
      <c r="EU133" s="228">
        <v>0</v>
      </c>
      <c r="EV133" s="231">
        <v>3093335</v>
      </c>
      <c r="EW133" s="231">
        <v>3098343</v>
      </c>
      <c r="EX133" s="231">
        <v>-5008</v>
      </c>
      <c r="EY133" s="229">
        <v>-1.6000000000000001E-3</v>
      </c>
      <c r="EZ133" s="229">
        <v>0</v>
      </c>
      <c r="FA133" s="227" t="s">
        <v>556</v>
      </c>
      <c r="FB133" s="161">
        <f t="shared" si="2"/>
        <v>152160</v>
      </c>
    </row>
    <row r="134" spans="1:158" ht="17.25" hidden="1" thickBot="1" x14ac:dyDescent="0.3">
      <c r="A134" s="226">
        <v>46009</v>
      </c>
      <c r="B134" s="227" t="s">
        <v>162</v>
      </c>
      <c r="C134" s="227" t="s">
        <v>559</v>
      </c>
      <c r="D134" s="228">
        <v>6150</v>
      </c>
      <c r="E134" s="228">
        <v>117.39</v>
      </c>
      <c r="F134" s="228">
        <v>119.73</v>
      </c>
      <c r="G134" s="228">
        <v>-2.34</v>
      </c>
      <c r="H134" s="229">
        <v>-1.95E-2</v>
      </c>
      <c r="I134" s="228">
        <v>117.15</v>
      </c>
      <c r="J134" s="228">
        <v>119.56</v>
      </c>
      <c r="K134" s="228">
        <v>-2.41</v>
      </c>
      <c r="L134" s="229">
        <v>-2.0199999999999999E-2</v>
      </c>
      <c r="M134" s="228">
        <v>117.39</v>
      </c>
      <c r="N134" s="228">
        <v>119.73</v>
      </c>
      <c r="O134" s="228">
        <v>-2.34</v>
      </c>
      <c r="P134" s="229">
        <v>-1.95E-2</v>
      </c>
      <c r="Q134" s="228">
        <v>118.16</v>
      </c>
      <c r="R134" s="228">
        <v>120.37</v>
      </c>
      <c r="S134" s="228">
        <v>-2.21</v>
      </c>
      <c r="T134" s="229">
        <v>-1.84E-2</v>
      </c>
      <c r="U134" s="228">
        <v>118.66</v>
      </c>
      <c r="V134" s="228">
        <v>121.14</v>
      </c>
      <c r="W134" s="228">
        <v>-2.48</v>
      </c>
      <c r="X134" s="229">
        <v>-2.0500000000000001E-2</v>
      </c>
      <c r="Y134" s="228">
        <v>0.24</v>
      </c>
      <c r="Z134" s="228">
        <v>0.17</v>
      </c>
      <c r="AA134" s="228">
        <v>7.0000000000000007E-2</v>
      </c>
      <c r="AB134" s="229">
        <v>2E-3</v>
      </c>
      <c r="AC134" s="228">
        <v>0.24</v>
      </c>
      <c r="AD134" s="228">
        <v>0.17</v>
      </c>
      <c r="AE134" s="228">
        <v>7.0000000000000007E-2</v>
      </c>
      <c r="AF134" s="229">
        <v>2E-3</v>
      </c>
      <c r="AG134" s="228">
        <v>1.01</v>
      </c>
      <c r="AH134" s="228">
        <v>0.81</v>
      </c>
      <c r="AI134" s="228">
        <v>0.2</v>
      </c>
      <c r="AJ134" s="229">
        <v>8.6E-3</v>
      </c>
      <c r="AK134" s="228">
        <v>1.51</v>
      </c>
      <c r="AL134" s="228">
        <v>1.58</v>
      </c>
      <c r="AM134" s="228">
        <v>-7.0000000000000007E-2</v>
      </c>
      <c r="AN134" s="229">
        <v>1.29E-2</v>
      </c>
      <c r="AO134" s="228">
        <v>117.38</v>
      </c>
      <c r="AP134" s="228">
        <v>117.93</v>
      </c>
      <c r="AQ134" s="228">
        <v>0</v>
      </c>
      <c r="AR134" s="230">
        <v>29138700</v>
      </c>
      <c r="AS134" s="230">
        <v>15233550</v>
      </c>
      <c r="AT134" s="230">
        <v>13905150</v>
      </c>
      <c r="AU134" s="229">
        <v>0.91279999999999994</v>
      </c>
      <c r="AV134" s="230">
        <v>22355250</v>
      </c>
      <c r="AW134" s="230">
        <v>12404550</v>
      </c>
      <c r="AX134" s="230">
        <v>9950700</v>
      </c>
      <c r="AY134" s="229">
        <v>0.80220000000000002</v>
      </c>
      <c r="AZ134" s="230">
        <v>6291450</v>
      </c>
      <c r="BA134" s="230">
        <v>2675250</v>
      </c>
      <c r="BB134" s="230">
        <v>3616200</v>
      </c>
      <c r="BC134" s="229">
        <v>1.3516999999999999</v>
      </c>
      <c r="BD134" s="230">
        <v>492000</v>
      </c>
      <c r="BE134" s="230">
        <v>153750</v>
      </c>
      <c r="BF134" s="230">
        <v>338250</v>
      </c>
      <c r="BG134" s="229">
        <v>2.2000000000000002</v>
      </c>
      <c r="BH134" s="230">
        <v>69667200</v>
      </c>
      <c r="BI134" s="230">
        <v>38259150</v>
      </c>
      <c r="BJ134" s="230">
        <v>31408050</v>
      </c>
      <c r="BK134" s="229">
        <v>0.82089999999999996</v>
      </c>
      <c r="BL134" s="230">
        <v>56432400</v>
      </c>
      <c r="BM134" s="230">
        <v>17767350</v>
      </c>
      <c r="BN134" s="230">
        <v>38665050</v>
      </c>
      <c r="BO134" s="229">
        <v>2.1762000000000001</v>
      </c>
      <c r="BP134" s="230">
        <v>155238300</v>
      </c>
      <c r="BQ134" s="230">
        <v>71260050</v>
      </c>
      <c r="BR134" s="230">
        <v>83978250</v>
      </c>
      <c r="BS134" s="229">
        <v>1.1785000000000001</v>
      </c>
      <c r="BT134" s="230">
        <v>15280003</v>
      </c>
      <c r="BU134" s="230">
        <v>7357971</v>
      </c>
      <c r="BV134" s="230">
        <v>7922032</v>
      </c>
      <c r="BW134" s="229">
        <v>1.0767</v>
      </c>
      <c r="BX134" s="230">
        <v>191332650</v>
      </c>
      <c r="BY134" s="230">
        <v>190194900</v>
      </c>
      <c r="BZ134" s="230">
        <v>1137750</v>
      </c>
      <c r="CA134" s="229">
        <v>6.0000000000000001E-3</v>
      </c>
      <c r="CB134" s="230">
        <v>181683300</v>
      </c>
      <c r="CC134" s="230">
        <v>182722650</v>
      </c>
      <c r="CD134" s="230">
        <v>-1039350</v>
      </c>
      <c r="CE134" s="229">
        <v>-5.7000000000000002E-3</v>
      </c>
      <c r="CF134" s="230">
        <v>7810500</v>
      </c>
      <c r="CG134" s="230">
        <v>5639550</v>
      </c>
      <c r="CH134" s="230">
        <v>2170950</v>
      </c>
      <c r="CI134" s="229">
        <v>0.38500000000000001</v>
      </c>
      <c r="CJ134" s="230">
        <v>1838850</v>
      </c>
      <c r="CK134" s="230">
        <v>1832700</v>
      </c>
      <c r="CL134" s="230">
        <v>6150</v>
      </c>
      <c r="CM134" s="229">
        <v>3.3999999999999998E-3</v>
      </c>
      <c r="CN134" s="230">
        <v>59365950</v>
      </c>
      <c r="CO134" s="230">
        <v>61057200</v>
      </c>
      <c r="CP134" s="230">
        <v>-1691250</v>
      </c>
      <c r="CQ134" s="229">
        <v>-2.7699999999999999E-2</v>
      </c>
      <c r="CR134" s="230">
        <v>40571550</v>
      </c>
      <c r="CS134" s="230">
        <v>47939250</v>
      </c>
      <c r="CT134" s="230">
        <v>-7367700</v>
      </c>
      <c r="CU134" s="229">
        <v>-0.1537</v>
      </c>
      <c r="CV134" s="230">
        <v>291270150</v>
      </c>
      <c r="CW134" s="230">
        <v>299191350</v>
      </c>
      <c r="CX134" s="230">
        <v>-7921200</v>
      </c>
      <c r="CY134" s="229">
        <v>-2.6499999999999999E-2</v>
      </c>
      <c r="CZ134" s="228">
        <v>25.99</v>
      </c>
      <c r="DA134" s="228">
        <v>26.75</v>
      </c>
      <c r="DB134" s="228">
        <v>-0.76</v>
      </c>
      <c r="DC134" s="228">
        <v>-0.76</v>
      </c>
      <c r="DD134" s="228">
        <v>39.01</v>
      </c>
      <c r="DE134" s="228">
        <v>39.020000000000003</v>
      </c>
      <c r="DF134" s="228">
        <v>-13.02</v>
      </c>
      <c r="DG134" s="228">
        <v>-0.01</v>
      </c>
      <c r="DH134" s="228">
        <v>26.02</v>
      </c>
      <c r="DI134" s="228">
        <v>26.63</v>
      </c>
      <c r="DJ134" s="228">
        <v>-0.61</v>
      </c>
      <c r="DK134" s="228">
        <v>-0.61</v>
      </c>
      <c r="DL134" s="228">
        <v>25.94</v>
      </c>
      <c r="DM134" s="228">
        <v>27.01</v>
      </c>
      <c r="DN134" s="228">
        <v>-1.07</v>
      </c>
      <c r="DO134" s="228">
        <v>-1.07</v>
      </c>
      <c r="DP134" s="228">
        <v>0.68</v>
      </c>
      <c r="DQ134" s="228">
        <v>0.79</v>
      </c>
      <c r="DR134" s="228">
        <v>-0.11</v>
      </c>
      <c r="DS134" s="229">
        <v>-0.13919999999999999</v>
      </c>
      <c r="DT134" s="228">
        <v>120</v>
      </c>
      <c r="DU134" s="228">
        <v>110</v>
      </c>
      <c r="DV134" s="228">
        <v>0.81</v>
      </c>
      <c r="DW134" s="228">
        <v>0.46</v>
      </c>
      <c r="DX134" s="228">
        <v>0.35</v>
      </c>
      <c r="DY134" s="229">
        <v>0.76090000000000002</v>
      </c>
      <c r="DZ134" s="229">
        <v>5.04E-2</v>
      </c>
      <c r="EA134" s="230">
        <v>7472250</v>
      </c>
      <c r="EB134" s="229">
        <v>6.6E-3</v>
      </c>
      <c r="EC134" s="229">
        <v>5.04E-2</v>
      </c>
      <c r="ED134" s="228">
        <v>0.55000000000000004</v>
      </c>
      <c r="EE134" s="229">
        <v>4.7000000000000002E-3</v>
      </c>
      <c r="EF134" s="230">
        <v>6660480</v>
      </c>
      <c r="EG134" s="230">
        <v>3347263</v>
      </c>
      <c r="EH134" s="229">
        <v>0.98980000000000001</v>
      </c>
      <c r="EI134" s="229">
        <v>0.43590000000000001</v>
      </c>
      <c r="EJ134" s="231">
        <v>85703.22</v>
      </c>
      <c r="EK134" s="231">
        <v>65608.42</v>
      </c>
      <c r="EL134" s="231">
        <v>34243.26</v>
      </c>
      <c r="EM134" s="231">
        <v>3586</v>
      </c>
      <c r="EN134" s="231">
        <v>185554.9</v>
      </c>
      <c r="EO134" s="231">
        <v>86782.84</v>
      </c>
      <c r="EP134" s="231">
        <v>98772.06</v>
      </c>
      <c r="EQ134" s="229">
        <v>1.1382000000000001</v>
      </c>
      <c r="ER134" s="231">
        <v>71944</v>
      </c>
      <c r="ES134" s="231">
        <v>45378</v>
      </c>
      <c r="ET134" s="231">
        <v>224689</v>
      </c>
      <c r="EU134" s="231">
        <v>542522848</v>
      </c>
      <c r="EV134" s="231">
        <v>342010</v>
      </c>
      <c r="EW134" s="231">
        <v>355949</v>
      </c>
      <c r="EX134" s="231">
        <v>-13939</v>
      </c>
      <c r="EY134" s="229">
        <v>-3.9199999999999999E-2</v>
      </c>
      <c r="EZ134" s="229">
        <v>0.53690000000000004</v>
      </c>
      <c r="FA134" s="227" t="s">
        <v>567</v>
      </c>
      <c r="FB134" s="161">
        <f t="shared" si="2"/>
        <v>9649350</v>
      </c>
    </row>
    <row r="135" spans="1:158" ht="17.25" hidden="1" thickBot="1" x14ac:dyDescent="0.3">
      <c r="A135" s="226">
        <v>46009</v>
      </c>
      <c r="B135" s="227" t="s">
        <v>221</v>
      </c>
      <c r="C135" s="227" t="s">
        <v>487</v>
      </c>
      <c r="D135" s="228">
        <v>275</v>
      </c>
      <c r="E135" s="231">
        <v>2891.1</v>
      </c>
      <c r="F135" s="231">
        <v>2868.4</v>
      </c>
      <c r="G135" s="228">
        <v>22.7</v>
      </c>
      <c r="H135" s="229">
        <v>7.9000000000000008E-3</v>
      </c>
      <c r="I135" s="231">
        <v>2887.9</v>
      </c>
      <c r="J135" s="231">
        <v>2865.3</v>
      </c>
      <c r="K135" s="228">
        <v>22.6</v>
      </c>
      <c r="L135" s="229">
        <v>7.9000000000000008E-3</v>
      </c>
      <c r="M135" s="231">
        <v>2891.1</v>
      </c>
      <c r="N135" s="231">
        <v>2868.4</v>
      </c>
      <c r="O135" s="228">
        <v>22.7</v>
      </c>
      <c r="P135" s="229">
        <v>7.9000000000000008E-3</v>
      </c>
      <c r="Q135" s="231">
        <v>2909.2</v>
      </c>
      <c r="R135" s="231">
        <v>2886.3</v>
      </c>
      <c r="S135" s="228">
        <v>22.9</v>
      </c>
      <c r="T135" s="229">
        <v>7.9000000000000008E-3</v>
      </c>
      <c r="U135" s="231">
        <v>2930</v>
      </c>
      <c r="V135" s="231">
        <v>2902.7</v>
      </c>
      <c r="W135" s="228">
        <v>27.3</v>
      </c>
      <c r="X135" s="229">
        <v>9.4000000000000004E-3</v>
      </c>
      <c r="Y135" s="228">
        <v>3.2</v>
      </c>
      <c r="Z135" s="228">
        <v>3.1</v>
      </c>
      <c r="AA135" s="228">
        <v>0.1</v>
      </c>
      <c r="AB135" s="229">
        <v>1.1000000000000001E-3</v>
      </c>
      <c r="AC135" s="228">
        <v>3.2</v>
      </c>
      <c r="AD135" s="228">
        <v>3.1</v>
      </c>
      <c r="AE135" s="228">
        <v>0.1</v>
      </c>
      <c r="AF135" s="229">
        <v>1.1000000000000001E-3</v>
      </c>
      <c r="AG135" s="228">
        <v>21.3</v>
      </c>
      <c r="AH135" s="228">
        <v>21</v>
      </c>
      <c r="AI135" s="228">
        <v>0.3</v>
      </c>
      <c r="AJ135" s="229">
        <v>7.4000000000000003E-3</v>
      </c>
      <c r="AK135" s="228">
        <v>42.1</v>
      </c>
      <c r="AL135" s="228">
        <v>37.4</v>
      </c>
      <c r="AM135" s="228">
        <v>4.7</v>
      </c>
      <c r="AN135" s="229">
        <v>1.46E-2</v>
      </c>
      <c r="AO135" s="231">
        <v>2892.07</v>
      </c>
      <c r="AP135" s="231">
        <v>2905.77</v>
      </c>
      <c r="AQ135" s="228">
        <v>0</v>
      </c>
      <c r="AR135" s="230">
        <v>929225</v>
      </c>
      <c r="AS135" s="230">
        <v>569250</v>
      </c>
      <c r="AT135" s="230">
        <v>359975</v>
      </c>
      <c r="AU135" s="229">
        <v>0.63239999999999996</v>
      </c>
      <c r="AV135" s="230">
        <v>814550</v>
      </c>
      <c r="AW135" s="230">
        <v>481525</v>
      </c>
      <c r="AX135" s="230">
        <v>333025</v>
      </c>
      <c r="AY135" s="229">
        <v>0.69159999999999999</v>
      </c>
      <c r="AZ135" s="230">
        <v>113300</v>
      </c>
      <c r="BA135" s="230">
        <v>87175</v>
      </c>
      <c r="BB135" s="230">
        <v>26125</v>
      </c>
      <c r="BC135" s="229">
        <v>0.29970000000000002</v>
      </c>
      <c r="BD135" s="230">
        <v>1375</v>
      </c>
      <c r="BE135" s="228">
        <v>550</v>
      </c>
      <c r="BF135" s="228">
        <v>825</v>
      </c>
      <c r="BG135" s="229">
        <v>1.5</v>
      </c>
      <c r="BH135" s="230">
        <v>3526600</v>
      </c>
      <c r="BI135" s="230">
        <v>1220450</v>
      </c>
      <c r="BJ135" s="230">
        <v>2306150</v>
      </c>
      <c r="BK135" s="229">
        <v>1.8895999999999999</v>
      </c>
      <c r="BL135" s="230">
        <v>788150</v>
      </c>
      <c r="BM135" s="230">
        <v>337425</v>
      </c>
      <c r="BN135" s="230">
        <v>450725</v>
      </c>
      <c r="BO135" s="229">
        <v>1.3358000000000001</v>
      </c>
      <c r="BP135" s="230">
        <v>5243975</v>
      </c>
      <c r="BQ135" s="230">
        <v>2127125</v>
      </c>
      <c r="BR135" s="230">
        <v>3116850</v>
      </c>
      <c r="BS135" s="229">
        <v>1.4653</v>
      </c>
      <c r="BT135" s="230">
        <v>458471</v>
      </c>
      <c r="BU135" s="230">
        <v>254423</v>
      </c>
      <c r="BV135" s="230">
        <v>204048</v>
      </c>
      <c r="BW135" s="229">
        <v>0.80200000000000005</v>
      </c>
      <c r="BX135" s="230">
        <v>6394850</v>
      </c>
      <c r="BY135" s="230">
        <v>6409700</v>
      </c>
      <c r="BZ135" s="230">
        <v>-14850</v>
      </c>
      <c r="CA135" s="229">
        <v>-2.3E-3</v>
      </c>
      <c r="CB135" s="230">
        <v>6210600</v>
      </c>
      <c r="CC135" s="230">
        <v>6267525</v>
      </c>
      <c r="CD135" s="230">
        <v>-56925</v>
      </c>
      <c r="CE135" s="229">
        <v>-9.1000000000000004E-3</v>
      </c>
      <c r="CF135" s="230">
        <v>176000</v>
      </c>
      <c r="CG135" s="230">
        <v>134200</v>
      </c>
      <c r="CH135" s="230">
        <v>41800</v>
      </c>
      <c r="CI135" s="229">
        <v>0.3115</v>
      </c>
      <c r="CJ135" s="230">
        <v>8250</v>
      </c>
      <c r="CK135" s="230">
        <v>7975</v>
      </c>
      <c r="CL135" s="228">
        <v>275</v>
      </c>
      <c r="CM135" s="229">
        <v>3.4500000000000003E-2</v>
      </c>
      <c r="CN135" s="230">
        <v>1507550</v>
      </c>
      <c r="CO135" s="230">
        <v>1367575</v>
      </c>
      <c r="CP135" s="230">
        <v>139975</v>
      </c>
      <c r="CQ135" s="229">
        <v>0.1024</v>
      </c>
      <c r="CR135" s="230">
        <v>1132450</v>
      </c>
      <c r="CS135" s="230">
        <v>1048025</v>
      </c>
      <c r="CT135" s="230">
        <v>84425</v>
      </c>
      <c r="CU135" s="229">
        <v>8.0600000000000005E-2</v>
      </c>
      <c r="CV135" s="230">
        <v>9034850</v>
      </c>
      <c r="CW135" s="230">
        <v>8825300</v>
      </c>
      <c r="CX135" s="230">
        <v>209550</v>
      </c>
      <c r="CY135" s="229">
        <v>2.3699999999999999E-2</v>
      </c>
      <c r="CZ135" s="228">
        <v>25.3</v>
      </c>
      <c r="DA135" s="228">
        <v>25.56</v>
      </c>
      <c r="DB135" s="228">
        <v>-0.26</v>
      </c>
      <c r="DC135" s="228">
        <v>-0.26</v>
      </c>
      <c r="DD135" s="228">
        <v>35.92</v>
      </c>
      <c r="DE135" s="228">
        <v>36</v>
      </c>
      <c r="DF135" s="228">
        <v>-10.62</v>
      </c>
      <c r="DG135" s="228">
        <v>-0.08</v>
      </c>
      <c r="DH135" s="228">
        <v>25.15</v>
      </c>
      <c r="DI135" s="228">
        <v>25.5</v>
      </c>
      <c r="DJ135" s="228">
        <v>-0.35</v>
      </c>
      <c r="DK135" s="228">
        <v>-0.35</v>
      </c>
      <c r="DL135" s="228">
        <v>25.96</v>
      </c>
      <c r="DM135" s="228">
        <v>25.81</v>
      </c>
      <c r="DN135" s="228">
        <v>0.15</v>
      </c>
      <c r="DO135" s="228">
        <v>0.15</v>
      </c>
      <c r="DP135" s="228">
        <v>0.75</v>
      </c>
      <c r="DQ135" s="228">
        <v>0.77</v>
      </c>
      <c r="DR135" s="228">
        <v>-0.02</v>
      </c>
      <c r="DS135" s="229">
        <v>-2.5999999999999999E-2</v>
      </c>
      <c r="DT135" s="231">
        <v>2900</v>
      </c>
      <c r="DU135" s="231">
        <v>2750</v>
      </c>
      <c r="DV135" s="228">
        <v>0.22</v>
      </c>
      <c r="DW135" s="228">
        <v>0.28000000000000003</v>
      </c>
      <c r="DX135" s="228">
        <v>-0.06</v>
      </c>
      <c r="DY135" s="229">
        <v>-0.21429999999999999</v>
      </c>
      <c r="DZ135" s="229">
        <v>2.8799999999999999E-2</v>
      </c>
      <c r="EA135" s="230">
        <v>142175</v>
      </c>
      <c r="EB135" s="229">
        <v>6.3E-3</v>
      </c>
      <c r="EC135" s="229">
        <v>2.8799999999999999E-2</v>
      </c>
      <c r="ED135" s="228">
        <v>13.7</v>
      </c>
      <c r="EE135" s="229">
        <v>4.7000000000000002E-3</v>
      </c>
      <c r="EF135" s="230">
        <v>255035</v>
      </c>
      <c r="EG135" s="230">
        <v>138004</v>
      </c>
      <c r="EH135" s="229">
        <v>0.84799999999999998</v>
      </c>
      <c r="EI135" s="229">
        <v>0.55630000000000002</v>
      </c>
      <c r="EJ135" s="231">
        <v>105252.45</v>
      </c>
      <c r="EK135" s="231">
        <v>22276.97</v>
      </c>
      <c r="EL135" s="231">
        <v>26889.85</v>
      </c>
      <c r="EM135" s="231">
        <v>1976</v>
      </c>
      <c r="EN135" s="231">
        <v>154419.26999999999</v>
      </c>
      <c r="EO135" s="231">
        <v>62357.7</v>
      </c>
      <c r="EP135" s="231">
        <v>92061.57</v>
      </c>
      <c r="EQ135" s="229">
        <v>1.4762999999999999</v>
      </c>
      <c r="ER135" s="231">
        <v>45269</v>
      </c>
      <c r="ES135" s="231">
        <v>31099</v>
      </c>
      <c r="ET135" s="231">
        <v>184917</v>
      </c>
      <c r="EU135" s="231">
        <v>14652855</v>
      </c>
      <c r="EV135" s="231">
        <v>261285</v>
      </c>
      <c r="EW135" s="231">
        <v>253723</v>
      </c>
      <c r="EX135" s="231">
        <v>7562</v>
      </c>
      <c r="EY135" s="229">
        <v>2.98E-2</v>
      </c>
      <c r="EZ135" s="229">
        <v>0.61660000000000004</v>
      </c>
      <c r="FA135" s="227" t="s">
        <v>556</v>
      </c>
      <c r="FB135" s="161">
        <f t="shared" si="2"/>
        <v>184250</v>
      </c>
    </row>
    <row r="136" spans="1:158" ht="17.25" hidden="1" thickBot="1" x14ac:dyDescent="0.3">
      <c r="A136" s="226">
        <v>46009</v>
      </c>
      <c r="B136" s="227" t="s">
        <v>175</v>
      </c>
      <c r="C136" s="227" t="s">
        <v>262</v>
      </c>
      <c r="D136" s="228">
        <v>275</v>
      </c>
      <c r="E136" s="231">
        <v>3750.9</v>
      </c>
      <c r="F136" s="231">
        <v>3769.2</v>
      </c>
      <c r="G136" s="228">
        <v>-18.3</v>
      </c>
      <c r="H136" s="229">
        <v>-4.8999999999999998E-3</v>
      </c>
      <c r="I136" s="231">
        <v>3749.9</v>
      </c>
      <c r="J136" s="231">
        <v>3766.5</v>
      </c>
      <c r="K136" s="228">
        <v>-16.600000000000001</v>
      </c>
      <c r="L136" s="229">
        <v>-4.4000000000000003E-3</v>
      </c>
      <c r="M136" s="231">
        <v>3750.9</v>
      </c>
      <c r="N136" s="231">
        <v>3769.2</v>
      </c>
      <c r="O136" s="228">
        <v>-18.3</v>
      </c>
      <c r="P136" s="229">
        <v>-4.8999999999999998E-3</v>
      </c>
      <c r="Q136" s="231">
        <v>3775.5</v>
      </c>
      <c r="R136" s="231">
        <v>3791.7</v>
      </c>
      <c r="S136" s="228">
        <v>-16.2</v>
      </c>
      <c r="T136" s="229">
        <v>-4.3E-3</v>
      </c>
      <c r="U136" s="231">
        <v>3791.7</v>
      </c>
      <c r="V136" s="231">
        <v>3808.4</v>
      </c>
      <c r="W136" s="228">
        <v>-16.7</v>
      </c>
      <c r="X136" s="229">
        <v>-4.4000000000000003E-3</v>
      </c>
      <c r="Y136" s="228">
        <v>1</v>
      </c>
      <c r="Z136" s="228">
        <v>2.7</v>
      </c>
      <c r="AA136" s="228">
        <v>-1.7</v>
      </c>
      <c r="AB136" s="229">
        <v>2.9999999999999997E-4</v>
      </c>
      <c r="AC136" s="228">
        <v>1</v>
      </c>
      <c r="AD136" s="228">
        <v>2.7</v>
      </c>
      <c r="AE136" s="228">
        <v>-1.7</v>
      </c>
      <c r="AF136" s="229">
        <v>2.9999999999999997E-4</v>
      </c>
      <c r="AG136" s="228">
        <v>25.6</v>
      </c>
      <c r="AH136" s="228">
        <v>25.2</v>
      </c>
      <c r="AI136" s="228">
        <v>0.4</v>
      </c>
      <c r="AJ136" s="229">
        <v>6.7999999999999996E-3</v>
      </c>
      <c r="AK136" s="228">
        <v>41.8</v>
      </c>
      <c r="AL136" s="228">
        <v>41.9</v>
      </c>
      <c r="AM136" s="228">
        <v>-0.1</v>
      </c>
      <c r="AN136" s="229">
        <v>1.11E-2</v>
      </c>
      <c r="AO136" s="231">
        <v>3753.59</v>
      </c>
      <c r="AP136" s="231">
        <v>3782.38</v>
      </c>
      <c r="AQ136" s="228">
        <v>0</v>
      </c>
      <c r="AR136" s="230">
        <v>1153075</v>
      </c>
      <c r="AS136" s="230">
        <v>1379675</v>
      </c>
      <c r="AT136" s="230">
        <v>-226600</v>
      </c>
      <c r="AU136" s="229">
        <v>-0.16420000000000001</v>
      </c>
      <c r="AV136" s="230">
        <v>930050</v>
      </c>
      <c r="AW136" s="230">
        <v>1062050</v>
      </c>
      <c r="AX136" s="230">
        <v>-132000</v>
      </c>
      <c r="AY136" s="229">
        <v>-0.12429999999999999</v>
      </c>
      <c r="AZ136" s="230">
        <v>215875</v>
      </c>
      <c r="BA136" s="230">
        <v>290950</v>
      </c>
      <c r="BB136" s="230">
        <v>-75075</v>
      </c>
      <c r="BC136" s="229">
        <v>-0.25800000000000001</v>
      </c>
      <c r="BD136" s="230">
        <v>7150</v>
      </c>
      <c r="BE136" s="230">
        <v>26675</v>
      </c>
      <c r="BF136" s="230">
        <v>-19525</v>
      </c>
      <c r="BG136" s="229">
        <v>-0.73199999999999998</v>
      </c>
      <c r="BH136" s="230">
        <v>3687750</v>
      </c>
      <c r="BI136" s="230">
        <v>6904700</v>
      </c>
      <c r="BJ136" s="230">
        <v>-3216950</v>
      </c>
      <c r="BK136" s="229">
        <v>-0.46589999999999998</v>
      </c>
      <c r="BL136" s="230">
        <v>2555575</v>
      </c>
      <c r="BM136" s="230">
        <v>2828375</v>
      </c>
      <c r="BN136" s="230">
        <v>-272800</v>
      </c>
      <c r="BO136" s="229">
        <v>-9.6500000000000002E-2</v>
      </c>
      <c r="BP136" s="230">
        <v>7396400</v>
      </c>
      <c r="BQ136" s="230">
        <v>11112750</v>
      </c>
      <c r="BR136" s="230">
        <v>-3716350</v>
      </c>
      <c r="BS136" s="229">
        <v>-0.33439999999999998</v>
      </c>
      <c r="BT136" s="230">
        <v>348202</v>
      </c>
      <c r="BU136" s="230">
        <v>291470</v>
      </c>
      <c r="BV136" s="230">
        <v>56732</v>
      </c>
      <c r="BW136" s="229">
        <v>0.1946</v>
      </c>
      <c r="BX136" s="230">
        <v>3381125</v>
      </c>
      <c r="BY136" s="230">
        <v>3162500</v>
      </c>
      <c r="BZ136" s="230">
        <v>218625</v>
      </c>
      <c r="CA136" s="229">
        <v>6.9099999999999995E-2</v>
      </c>
      <c r="CB136" s="230">
        <v>2909775</v>
      </c>
      <c r="CC136" s="230">
        <v>2790150</v>
      </c>
      <c r="CD136" s="230">
        <v>119625</v>
      </c>
      <c r="CE136" s="229">
        <v>4.2900000000000001E-2</v>
      </c>
      <c r="CF136" s="230">
        <v>434500</v>
      </c>
      <c r="CG136" s="230">
        <v>333850</v>
      </c>
      <c r="CH136" s="230">
        <v>100650</v>
      </c>
      <c r="CI136" s="229">
        <v>0.30149999999999999</v>
      </c>
      <c r="CJ136" s="230">
        <v>36850</v>
      </c>
      <c r="CK136" s="230">
        <v>38500</v>
      </c>
      <c r="CL136" s="230">
        <v>-1650</v>
      </c>
      <c r="CM136" s="229">
        <v>-4.2900000000000001E-2</v>
      </c>
      <c r="CN136" s="230">
        <v>3401475</v>
      </c>
      <c r="CO136" s="230">
        <v>3474075</v>
      </c>
      <c r="CP136" s="230">
        <v>-72600</v>
      </c>
      <c r="CQ136" s="229">
        <v>-2.0899999999999998E-2</v>
      </c>
      <c r="CR136" s="230">
        <v>1756425</v>
      </c>
      <c r="CS136" s="230">
        <v>1809500</v>
      </c>
      <c r="CT136" s="230">
        <v>-53075</v>
      </c>
      <c r="CU136" s="229">
        <v>-2.93E-2</v>
      </c>
      <c r="CV136" s="230">
        <v>8539025</v>
      </c>
      <c r="CW136" s="230">
        <v>8446075</v>
      </c>
      <c r="CX136" s="230">
        <v>92950</v>
      </c>
      <c r="CY136" s="229">
        <v>1.0999999999999999E-2</v>
      </c>
      <c r="CZ136" s="228">
        <v>23.18</v>
      </c>
      <c r="DA136" s="228">
        <v>24.12</v>
      </c>
      <c r="DB136" s="228">
        <v>-0.94</v>
      </c>
      <c r="DC136" s="228">
        <v>-0.94</v>
      </c>
      <c r="DD136" s="228">
        <v>36.270000000000003</v>
      </c>
      <c r="DE136" s="228">
        <v>36.36</v>
      </c>
      <c r="DF136" s="228">
        <v>-13.09</v>
      </c>
      <c r="DG136" s="228">
        <v>-0.09</v>
      </c>
      <c r="DH136" s="228">
        <v>23.01</v>
      </c>
      <c r="DI136" s="228">
        <v>24.42</v>
      </c>
      <c r="DJ136" s="228">
        <v>-1.41</v>
      </c>
      <c r="DK136" s="228">
        <v>-1.41</v>
      </c>
      <c r="DL136" s="228">
        <v>23.43</v>
      </c>
      <c r="DM136" s="228">
        <v>23.38</v>
      </c>
      <c r="DN136" s="228">
        <v>0.05</v>
      </c>
      <c r="DO136" s="228">
        <v>0.05</v>
      </c>
      <c r="DP136" s="228">
        <v>0.52</v>
      </c>
      <c r="DQ136" s="228">
        <v>0.52</v>
      </c>
      <c r="DR136" s="228">
        <v>0</v>
      </c>
      <c r="DS136" s="229">
        <v>0</v>
      </c>
      <c r="DT136" s="231">
        <v>3800</v>
      </c>
      <c r="DU136" s="231">
        <v>3700</v>
      </c>
      <c r="DV136" s="228">
        <v>0.69</v>
      </c>
      <c r="DW136" s="228">
        <v>0.41</v>
      </c>
      <c r="DX136" s="228">
        <v>0.28000000000000003</v>
      </c>
      <c r="DY136" s="229">
        <v>0.68289999999999995</v>
      </c>
      <c r="DZ136" s="229">
        <v>0.1394</v>
      </c>
      <c r="EA136" s="230">
        <v>372350</v>
      </c>
      <c r="EB136" s="229">
        <v>6.6E-3</v>
      </c>
      <c r="EC136" s="229">
        <v>0.1394</v>
      </c>
      <c r="ED136" s="228">
        <v>28.79</v>
      </c>
      <c r="EE136" s="229">
        <v>7.7000000000000002E-3</v>
      </c>
      <c r="EF136" s="230">
        <v>204425</v>
      </c>
      <c r="EG136" s="230">
        <v>144979</v>
      </c>
      <c r="EH136" s="229">
        <v>0.41</v>
      </c>
      <c r="EI136" s="229">
        <v>0.58709999999999996</v>
      </c>
      <c r="EJ136" s="231">
        <v>144153.72</v>
      </c>
      <c r="EK136" s="231">
        <v>94666.94</v>
      </c>
      <c r="EL136" s="231">
        <v>43346.41</v>
      </c>
      <c r="EM136" s="231">
        <v>3703</v>
      </c>
      <c r="EN136" s="231">
        <v>282167.07</v>
      </c>
      <c r="EO136" s="231">
        <v>433273.05</v>
      </c>
      <c r="EP136" s="231">
        <v>-151105.98000000001</v>
      </c>
      <c r="EQ136" s="229">
        <v>-0.3488</v>
      </c>
      <c r="ER136" s="231">
        <v>131768</v>
      </c>
      <c r="ES136" s="231">
        <v>63394</v>
      </c>
      <c r="ET136" s="231">
        <v>126945</v>
      </c>
      <c r="EU136" s="231">
        <v>16050690</v>
      </c>
      <c r="EV136" s="231">
        <v>322107</v>
      </c>
      <c r="EW136" s="231">
        <v>319406</v>
      </c>
      <c r="EX136" s="231">
        <v>2701</v>
      </c>
      <c r="EY136" s="229">
        <v>8.5000000000000006E-3</v>
      </c>
      <c r="EZ136" s="229">
        <v>0.53200000000000003</v>
      </c>
      <c r="FA136" s="227" t="s">
        <v>567</v>
      </c>
      <c r="FB136" s="161">
        <f t="shared" si="2"/>
        <v>471350</v>
      </c>
    </row>
    <row r="137" spans="1:158" ht="17.25" hidden="1" thickBot="1" x14ac:dyDescent="0.3">
      <c r="A137" s="226">
        <v>46009</v>
      </c>
      <c r="B137" s="227" t="s">
        <v>227</v>
      </c>
      <c r="C137" s="227" t="s">
        <v>263</v>
      </c>
      <c r="D137" s="228">
        <v>3750</v>
      </c>
      <c r="E137" s="228">
        <v>279.55</v>
      </c>
      <c r="F137" s="228">
        <v>279.7</v>
      </c>
      <c r="G137" s="228">
        <v>-0.15</v>
      </c>
      <c r="H137" s="229">
        <v>-5.0000000000000001E-4</v>
      </c>
      <c r="I137" s="228">
        <v>279.25</v>
      </c>
      <c r="J137" s="228">
        <v>279.45</v>
      </c>
      <c r="K137" s="228">
        <v>-0.2</v>
      </c>
      <c r="L137" s="229">
        <v>-6.9999999999999999E-4</v>
      </c>
      <c r="M137" s="228">
        <v>279.55</v>
      </c>
      <c r="N137" s="228">
        <v>279.7</v>
      </c>
      <c r="O137" s="228">
        <v>-0.15</v>
      </c>
      <c r="P137" s="229">
        <v>-5.0000000000000001E-4</v>
      </c>
      <c r="Q137" s="228">
        <v>281.14999999999998</v>
      </c>
      <c r="R137" s="228">
        <v>281.5</v>
      </c>
      <c r="S137" s="228">
        <v>-0.35</v>
      </c>
      <c r="T137" s="229">
        <v>-1.1999999999999999E-3</v>
      </c>
      <c r="U137" s="228">
        <v>279.55</v>
      </c>
      <c r="V137" s="228">
        <v>280</v>
      </c>
      <c r="W137" s="228">
        <v>-0.45</v>
      </c>
      <c r="X137" s="229">
        <v>-1.6000000000000001E-3</v>
      </c>
      <c r="Y137" s="228">
        <v>0.3</v>
      </c>
      <c r="Z137" s="228">
        <v>0.25</v>
      </c>
      <c r="AA137" s="228">
        <v>0.05</v>
      </c>
      <c r="AB137" s="229">
        <v>1.1000000000000001E-3</v>
      </c>
      <c r="AC137" s="228">
        <v>0.3</v>
      </c>
      <c r="AD137" s="228">
        <v>0.25</v>
      </c>
      <c r="AE137" s="228">
        <v>0.05</v>
      </c>
      <c r="AF137" s="229">
        <v>1.1000000000000001E-3</v>
      </c>
      <c r="AG137" s="228">
        <v>1.9</v>
      </c>
      <c r="AH137" s="228">
        <v>2.0499999999999998</v>
      </c>
      <c r="AI137" s="228">
        <v>-0.15</v>
      </c>
      <c r="AJ137" s="229">
        <v>6.7999999999999996E-3</v>
      </c>
      <c r="AK137" s="228">
        <v>0.3</v>
      </c>
      <c r="AL137" s="228">
        <v>0.55000000000000004</v>
      </c>
      <c r="AM137" s="228">
        <v>-0.25</v>
      </c>
      <c r="AN137" s="229">
        <v>1.1000000000000001E-3</v>
      </c>
      <c r="AO137" s="228">
        <v>279.70999999999998</v>
      </c>
      <c r="AP137" s="228">
        <v>281.61</v>
      </c>
      <c r="AQ137" s="228">
        <v>0</v>
      </c>
      <c r="AR137" s="230">
        <v>17621250</v>
      </c>
      <c r="AS137" s="230">
        <v>15671250</v>
      </c>
      <c r="AT137" s="230">
        <v>1950000</v>
      </c>
      <c r="AU137" s="229">
        <v>0.1244</v>
      </c>
      <c r="AV137" s="230">
        <v>15052500</v>
      </c>
      <c r="AW137" s="230">
        <v>13653750</v>
      </c>
      <c r="AX137" s="230">
        <v>1398750</v>
      </c>
      <c r="AY137" s="229">
        <v>0.1024</v>
      </c>
      <c r="AZ137" s="230">
        <v>2377500</v>
      </c>
      <c r="BA137" s="230">
        <v>1762500</v>
      </c>
      <c r="BB137" s="230">
        <v>615000</v>
      </c>
      <c r="BC137" s="229">
        <v>0.34889999999999999</v>
      </c>
      <c r="BD137" s="230">
        <v>191250</v>
      </c>
      <c r="BE137" s="230">
        <v>255000</v>
      </c>
      <c r="BF137" s="230">
        <v>-63750</v>
      </c>
      <c r="BG137" s="229">
        <v>-0.25</v>
      </c>
      <c r="BH137" s="230">
        <v>50722500</v>
      </c>
      <c r="BI137" s="230">
        <v>54761250</v>
      </c>
      <c r="BJ137" s="230">
        <v>-4038750</v>
      </c>
      <c r="BK137" s="229">
        <v>-7.3800000000000004E-2</v>
      </c>
      <c r="BL137" s="230">
        <v>30341250</v>
      </c>
      <c r="BM137" s="230">
        <v>27765000</v>
      </c>
      <c r="BN137" s="230">
        <v>2576250</v>
      </c>
      <c r="BO137" s="229">
        <v>9.2799999999999994E-2</v>
      </c>
      <c r="BP137" s="230">
        <v>98685000</v>
      </c>
      <c r="BQ137" s="230">
        <v>98197500</v>
      </c>
      <c r="BR137" s="230">
        <v>487500</v>
      </c>
      <c r="BS137" s="229">
        <v>5.0000000000000001E-3</v>
      </c>
      <c r="BT137" s="230">
        <v>8891669</v>
      </c>
      <c r="BU137" s="230">
        <v>9190687</v>
      </c>
      <c r="BV137" s="230">
        <v>-299018</v>
      </c>
      <c r="BW137" s="229">
        <v>-3.2500000000000001E-2</v>
      </c>
      <c r="BX137" s="230">
        <v>56797500</v>
      </c>
      <c r="BY137" s="230">
        <v>59531250</v>
      </c>
      <c r="BZ137" s="230">
        <v>-2733750</v>
      </c>
      <c r="CA137" s="229">
        <v>-4.5900000000000003E-2</v>
      </c>
      <c r="CB137" s="230">
        <v>50355000</v>
      </c>
      <c r="CC137" s="230">
        <v>53516250</v>
      </c>
      <c r="CD137" s="230">
        <v>-3161250</v>
      </c>
      <c r="CE137" s="229">
        <v>-5.91E-2</v>
      </c>
      <c r="CF137" s="230">
        <v>4683750</v>
      </c>
      <c r="CG137" s="230">
        <v>4256250</v>
      </c>
      <c r="CH137" s="230">
        <v>427500</v>
      </c>
      <c r="CI137" s="229">
        <v>0.1004</v>
      </c>
      <c r="CJ137" s="230">
        <v>1758750</v>
      </c>
      <c r="CK137" s="230">
        <v>1758750</v>
      </c>
      <c r="CL137" s="228">
        <v>0</v>
      </c>
      <c r="CM137" s="229">
        <v>0</v>
      </c>
      <c r="CN137" s="230">
        <v>33956250</v>
      </c>
      <c r="CO137" s="230">
        <v>33296250</v>
      </c>
      <c r="CP137" s="230">
        <v>660000</v>
      </c>
      <c r="CQ137" s="229">
        <v>1.9800000000000002E-2</v>
      </c>
      <c r="CR137" s="230">
        <v>29730000</v>
      </c>
      <c r="CS137" s="230">
        <v>28237500</v>
      </c>
      <c r="CT137" s="230">
        <v>1492500</v>
      </c>
      <c r="CU137" s="229">
        <v>5.2900000000000003E-2</v>
      </c>
      <c r="CV137" s="230">
        <v>120483750</v>
      </c>
      <c r="CW137" s="230">
        <v>121065000</v>
      </c>
      <c r="CX137" s="230">
        <v>-581250</v>
      </c>
      <c r="CY137" s="229">
        <v>-4.7999999999999996E-3</v>
      </c>
      <c r="CZ137" s="228">
        <v>27.58</v>
      </c>
      <c r="DA137" s="228">
        <v>28.24</v>
      </c>
      <c r="DB137" s="228">
        <v>-0.66</v>
      </c>
      <c r="DC137" s="228">
        <v>-0.66</v>
      </c>
      <c r="DD137" s="228">
        <v>46.06</v>
      </c>
      <c r="DE137" s="228">
        <v>46.18</v>
      </c>
      <c r="DF137" s="228">
        <v>-18.48</v>
      </c>
      <c r="DG137" s="228">
        <v>-0.12</v>
      </c>
      <c r="DH137" s="228">
        <v>27.57</v>
      </c>
      <c r="DI137" s="228">
        <v>28.15</v>
      </c>
      <c r="DJ137" s="228">
        <v>-0.57999999999999996</v>
      </c>
      <c r="DK137" s="228">
        <v>-0.57999999999999996</v>
      </c>
      <c r="DL137" s="228">
        <v>27.6</v>
      </c>
      <c r="DM137" s="228">
        <v>28.42</v>
      </c>
      <c r="DN137" s="228">
        <v>-0.82</v>
      </c>
      <c r="DO137" s="228">
        <v>-0.82</v>
      </c>
      <c r="DP137" s="228">
        <v>0.88</v>
      </c>
      <c r="DQ137" s="228">
        <v>0.85</v>
      </c>
      <c r="DR137" s="228">
        <v>0.03</v>
      </c>
      <c r="DS137" s="229">
        <v>3.5299999999999998E-2</v>
      </c>
      <c r="DT137" s="228">
        <v>280</v>
      </c>
      <c r="DU137" s="228">
        <v>270</v>
      </c>
      <c r="DV137" s="228">
        <v>0.6</v>
      </c>
      <c r="DW137" s="228">
        <v>0.51</v>
      </c>
      <c r="DX137" s="228">
        <v>0.09</v>
      </c>
      <c r="DY137" s="229">
        <v>0.17649999999999999</v>
      </c>
      <c r="DZ137" s="229">
        <v>0.1134</v>
      </c>
      <c r="EA137" s="230">
        <v>6015000</v>
      </c>
      <c r="EB137" s="229">
        <v>5.7000000000000002E-3</v>
      </c>
      <c r="EC137" s="229">
        <v>0.1134</v>
      </c>
      <c r="ED137" s="228">
        <v>1.9</v>
      </c>
      <c r="EE137" s="229">
        <v>6.7999999999999996E-3</v>
      </c>
      <c r="EF137" s="230">
        <v>3920368</v>
      </c>
      <c r="EG137" s="230">
        <v>4032591</v>
      </c>
      <c r="EH137" s="229">
        <v>-2.7799999999999998E-2</v>
      </c>
      <c r="EI137" s="229">
        <v>0.44090000000000001</v>
      </c>
      <c r="EJ137" s="231">
        <v>147073.06</v>
      </c>
      <c r="EK137" s="231">
        <v>83159.149999999994</v>
      </c>
      <c r="EL137" s="231">
        <v>49334.05</v>
      </c>
      <c r="EM137" s="231">
        <v>4472</v>
      </c>
      <c r="EN137" s="231">
        <v>279566.26</v>
      </c>
      <c r="EO137" s="231">
        <v>278794.65000000002</v>
      </c>
      <c r="EP137" s="228">
        <v>771.61</v>
      </c>
      <c r="EQ137" s="229">
        <v>2.8E-3</v>
      </c>
      <c r="ER137" s="231">
        <v>95607</v>
      </c>
      <c r="ES137" s="231">
        <v>77670</v>
      </c>
      <c r="ET137" s="231">
        <v>158852</v>
      </c>
      <c r="EU137" s="231">
        <v>134225816</v>
      </c>
      <c r="EV137" s="231">
        <v>332129</v>
      </c>
      <c r="EW137" s="231">
        <v>333574</v>
      </c>
      <c r="EX137" s="231">
        <v>-1445</v>
      </c>
      <c r="EY137" s="229">
        <v>-4.3E-3</v>
      </c>
      <c r="EZ137" s="229">
        <v>0.89759999999999995</v>
      </c>
      <c r="FA137" s="227" t="s">
        <v>568</v>
      </c>
      <c r="FB137" s="161">
        <f t="shared" si="2"/>
        <v>6442500</v>
      </c>
    </row>
    <row r="138" spans="1:158" ht="17.25" hidden="1" thickBot="1" x14ac:dyDescent="0.3">
      <c r="A138" s="226">
        <v>46009</v>
      </c>
      <c r="B138" s="227" t="s">
        <v>615</v>
      </c>
      <c r="C138" s="227" t="s">
        <v>264</v>
      </c>
      <c r="D138" s="228">
        <v>375</v>
      </c>
      <c r="E138" s="231">
        <v>1336.5</v>
      </c>
      <c r="F138" s="231">
        <v>1343.2</v>
      </c>
      <c r="G138" s="228">
        <v>-6.7</v>
      </c>
      <c r="H138" s="229">
        <v>-5.0000000000000001E-3</v>
      </c>
      <c r="I138" s="231">
        <v>1333.7</v>
      </c>
      <c r="J138" s="231">
        <v>1338.2</v>
      </c>
      <c r="K138" s="228">
        <v>-4.5</v>
      </c>
      <c r="L138" s="229">
        <v>-3.3999999999999998E-3</v>
      </c>
      <c r="M138" s="231">
        <v>1336.5</v>
      </c>
      <c r="N138" s="231">
        <v>1343.2</v>
      </c>
      <c r="O138" s="228">
        <v>-6.7</v>
      </c>
      <c r="P138" s="229">
        <v>-5.0000000000000001E-3</v>
      </c>
      <c r="Q138" s="231">
        <v>1345.2</v>
      </c>
      <c r="R138" s="231">
        <v>1350.8</v>
      </c>
      <c r="S138" s="228">
        <v>-5.6</v>
      </c>
      <c r="T138" s="229">
        <v>-4.1000000000000003E-3</v>
      </c>
      <c r="U138" s="231">
        <v>1355</v>
      </c>
      <c r="V138" s="231">
        <v>1358.2</v>
      </c>
      <c r="W138" s="228">
        <v>-3.2</v>
      </c>
      <c r="X138" s="229">
        <v>-2.3999999999999998E-3</v>
      </c>
      <c r="Y138" s="228">
        <v>2.8</v>
      </c>
      <c r="Z138" s="228">
        <v>5</v>
      </c>
      <c r="AA138" s="228">
        <v>-2.2000000000000002</v>
      </c>
      <c r="AB138" s="229">
        <v>2.0999999999999999E-3</v>
      </c>
      <c r="AC138" s="228">
        <v>2.8</v>
      </c>
      <c r="AD138" s="228">
        <v>5</v>
      </c>
      <c r="AE138" s="228">
        <v>-2.2000000000000002</v>
      </c>
      <c r="AF138" s="229">
        <v>2.0999999999999999E-3</v>
      </c>
      <c r="AG138" s="228">
        <v>11.5</v>
      </c>
      <c r="AH138" s="228">
        <v>12.6</v>
      </c>
      <c r="AI138" s="228">
        <v>-1.1000000000000001</v>
      </c>
      <c r="AJ138" s="229">
        <v>8.6E-3</v>
      </c>
      <c r="AK138" s="228">
        <v>21.3</v>
      </c>
      <c r="AL138" s="228">
        <v>20</v>
      </c>
      <c r="AM138" s="228">
        <v>1.3</v>
      </c>
      <c r="AN138" s="229">
        <v>1.6E-2</v>
      </c>
      <c r="AO138" s="231">
        <v>1339.32</v>
      </c>
      <c r="AP138" s="231">
        <v>1344.93</v>
      </c>
      <c r="AQ138" s="228">
        <v>0</v>
      </c>
      <c r="AR138" s="230">
        <v>823500</v>
      </c>
      <c r="AS138" s="230">
        <v>689625</v>
      </c>
      <c r="AT138" s="230">
        <v>133875</v>
      </c>
      <c r="AU138" s="229">
        <v>0.19409999999999999</v>
      </c>
      <c r="AV138" s="230">
        <v>668250</v>
      </c>
      <c r="AW138" s="230">
        <v>522375</v>
      </c>
      <c r="AX138" s="230">
        <v>145875</v>
      </c>
      <c r="AY138" s="229">
        <v>0.27929999999999999</v>
      </c>
      <c r="AZ138" s="230">
        <v>148875</v>
      </c>
      <c r="BA138" s="230">
        <v>163500</v>
      </c>
      <c r="BB138" s="230">
        <v>-14625</v>
      </c>
      <c r="BC138" s="229">
        <v>-8.9399999999999993E-2</v>
      </c>
      <c r="BD138" s="230">
        <v>6375</v>
      </c>
      <c r="BE138" s="230">
        <v>3750</v>
      </c>
      <c r="BF138" s="230">
        <v>2625</v>
      </c>
      <c r="BG138" s="229">
        <v>0.7</v>
      </c>
      <c r="BH138" s="230">
        <v>2026500</v>
      </c>
      <c r="BI138" s="230">
        <v>1844625</v>
      </c>
      <c r="BJ138" s="230">
        <v>181875</v>
      </c>
      <c r="BK138" s="229">
        <v>9.8599999999999993E-2</v>
      </c>
      <c r="BL138" s="230">
        <v>442125</v>
      </c>
      <c r="BM138" s="230">
        <v>568875</v>
      </c>
      <c r="BN138" s="230">
        <v>-126750</v>
      </c>
      <c r="BO138" s="229">
        <v>-0.2228</v>
      </c>
      <c r="BP138" s="230">
        <v>3292125</v>
      </c>
      <c r="BQ138" s="230">
        <v>3103125</v>
      </c>
      <c r="BR138" s="230">
        <v>189000</v>
      </c>
      <c r="BS138" s="229">
        <v>6.0900000000000003E-2</v>
      </c>
      <c r="BT138" s="230">
        <v>437484</v>
      </c>
      <c r="BU138" s="230">
        <v>397391</v>
      </c>
      <c r="BV138" s="230">
        <v>40093</v>
      </c>
      <c r="BW138" s="229">
        <v>0.1009</v>
      </c>
      <c r="BX138" s="230">
        <v>8539500</v>
      </c>
      <c r="BY138" s="230">
        <v>8501250</v>
      </c>
      <c r="BZ138" s="230">
        <v>38250</v>
      </c>
      <c r="CA138" s="229">
        <v>4.4999999999999997E-3</v>
      </c>
      <c r="CB138" s="230">
        <v>7869750</v>
      </c>
      <c r="CC138" s="230">
        <v>7893750</v>
      </c>
      <c r="CD138" s="230">
        <v>-24000</v>
      </c>
      <c r="CE138" s="229">
        <v>-3.0000000000000001E-3</v>
      </c>
      <c r="CF138" s="230">
        <v>638250</v>
      </c>
      <c r="CG138" s="230">
        <v>573000</v>
      </c>
      <c r="CH138" s="230">
        <v>65250</v>
      </c>
      <c r="CI138" s="229">
        <v>0.1139</v>
      </c>
      <c r="CJ138" s="230">
        <v>31500</v>
      </c>
      <c r="CK138" s="230">
        <v>34500</v>
      </c>
      <c r="CL138" s="230">
        <v>-3000</v>
      </c>
      <c r="CM138" s="229">
        <v>-8.6999999999999994E-2</v>
      </c>
      <c r="CN138" s="230">
        <v>2779875</v>
      </c>
      <c r="CO138" s="230">
        <v>2775750</v>
      </c>
      <c r="CP138" s="230">
        <v>4125</v>
      </c>
      <c r="CQ138" s="229">
        <v>1.5E-3</v>
      </c>
      <c r="CR138" s="230">
        <v>2244375</v>
      </c>
      <c r="CS138" s="230">
        <v>2322000</v>
      </c>
      <c r="CT138" s="230">
        <v>-77625</v>
      </c>
      <c r="CU138" s="229">
        <v>-3.3399999999999999E-2</v>
      </c>
      <c r="CV138" s="230">
        <v>13563750</v>
      </c>
      <c r="CW138" s="230">
        <v>13599000</v>
      </c>
      <c r="CX138" s="230">
        <v>-35250</v>
      </c>
      <c r="CY138" s="229">
        <v>-2.5999999999999999E-3</v>
      </c>
      <c r="CZ138" s="228">
        <v>25.72</v>
      </c>
      <c r="DA138" s="228">
        <v>26.16</v>
      </c>
      <c r="DB138" s="228">
        <v>-0.44</v>
      </c>
      <c r="DC138" s="228">
        <v>-0.44</v>
      </c>
      <c r="DD138" s="228">
        <v>36.36</v>
      </c>
      <c r="DE138" s="228">
        <v>36.450000000000003</v>
      </c>
      <c r="DF138" s="228">
        <v>-10.64</v>
      </c>
      <c r="DG138" s="228">
        <v>-0.09</v>
      </c>
      <c r="DH138" s="228">
        <v>25.62</v>
      </c>
      <c r="DI138" s="228">
        <v>26.04</v>
      </c>
      <c r="DJ138" s="228">
        <v>-0.42</v>
      </c>
      <c r="DK138" s="228">
        <v>-0.42</v>
      </c>
      <c r="DL138" s="228">
        <v>26.19</v>
      </c>
      <c r="DM138" s="228">
        <v>26.56</v>
      </c>
      <c r="DN138" s="228">
        <v>-0.37</v>
      </c>
      <c r="DO138" s="228">
        <v>-0.37</v>
      </c>
      <c r="DP138" s="228">
        <v>0.81</v>
      </c>
      <c r="DQ138" s="228">
        <v>0.84</v>
      </c>
      <c r="DR138" s="228">
        <v>-0.03</v>
      </c>
      <c r="DS138" s="229">
        <v>-3.5700000000000003E-2</v>
      </c>
      <c r="DT138" s="231">
        <v>1400</v>
      </c>
      <c r="DU138" s="231">
        <v>1280</v>
      </c>
      <c r="DV138" s="228">
        <v>0.22</v>
      </c>
      <c r="DW138" s="228">
        <v>0.31</v>
      </c>
      <c r="DX138" s="228">
        <v>-0.09</v>
      </c>
      <c r="DY138" s="229">
        <v>-0.2903</v>
      </c>
      <c r="DZ138" s="229">
        <v>7.8399999999999997E-2</v>
      </c>
      <c r="EA138" s="230">
        <v>607500</v>
      </c>
      <c r="EB138" s="229">
        <v>6.4999999999999997E-3</v>
      </c>
      <c r="EC138" s="229">
        <v>7.8399999999999997E-2</v>
      </c>
      <c r="ED138" s="228">
        <v>5.61</v>
      </c>
      <c r="EE138" s="229">
        <v>4.1999999999999997E-3</v>
      </c>
      <c r="EF138" s="230">
        <v>258795</v>
      </c>
      <c r="EG138" s="230">
        <v>249381</v>
      </c>
      <c r="EH138" s="229">
        <v>3.7699999999999997E-2</v>
      </c>
      <c r="EI138" s="229">
        <v>0.59160000000000001</v>
      </c>
      <c r="EJ138" s="231">
        <v>28674.54</v>
      </c>
      <c r="EK138" s="231">
        <v>5751.71</v>
      </c>
      <c r="EL138" s="231">
        <v>11038.55</v>
      </c>
      <c r="EM138" s="231">
        <v>2197</v>
      </c>
      <c r="EN138" s="231">
        <v>45464.800000000003</v>
      </c>
      <c r="EO138" s="231">
        <v>42768.25</v>
      </c>
      <c r="EP138" s="231">
        <v>2696.55</v>
      </c>
      <c r="EQ138" s="229">
        <v>6.3100000000000003E-2</v>
      </c>
      <c r="ER138" s="231">
        <v>39303</v>
      </c>
      <c r="ES138" s="231">
        <v>29245</v>
      </c>
      <c r="ET138" s="231">
        <v>114192</v>
      </c>
      <c r="EU138" s="231">
        <v>60530911</v>
      </c>
      <c r="EV138" s="231">
        <v>182740</v>
      </c>
      <c r="EW138" s="231">
        <v>183835</v>
      </c>
      <c r="EX138" s="231">
        <v>-1095</v>
      </c>
      <c r="EY138" s="229">
        <v>-6.0000000000000001E-3</v>
      </c>
      <c r="EZ138" s="229">
        <v>0.22409999999999999</v>
      </c>
      <c r="FA138" s="227" t="s">
        <v>567</v>
      </c>
      <c r="FB138" s="161">
        <f t="shared" si="2"/>
        <v>669750</v>
      </c>
    </row>
    <row r="139" spans="1:158" ht="17.25" hidden="1" thickBot="1" x14ac:dyDescent="0.3">
      <c r="A139" s="226">
        <v>46009</v>
      </c>
      <c r="B139" s="227" t="s">
        <v>206</v>
      </c>
      <c r="C139" s="227" t="s">
        <v>550</v>
      </c>
      <c r="D139" s="228">
        <v>6500</v>
      </c>
      <c r="E139" s="228">
        <v>108.37</v>
      </c>
      <c r="F139" s="228">
        <v>109.71</v>
      </c>
      <c r="G139" s="228">
        <v>-1.34</v>
      </c>
      <c r="H139" s="229">
        <v>-1.2200000000000001E-2</v>
      </c>
      <c r="I139" s="228">
        <v>108.26</v>
      </c>
      <c r="J139" s="228">
        <v>109.56</v>
      </c>
      <c r="K139" s="228">
        <v>-1.3</v>
      </c>
      <c r="L139" s="229">
        <v>-1.1900000000000001E-2</v>
      </c>
      <c r="M139" s="228">
        <v>108.37</v>
      </c>
      <c r="N139" s="228">
        <v>109.71</v>
      </c>
      <c r="O139" s="228">
        <v>-1.34</v>
      </c>
      <c r="P139" s="229">
        <v>-1.2200000000000001E-2</v>
      </c>
      <c r="Q139" s="228">
        <v>109.06</v>
      </c>
      <c r="R139" s="228">
        <v>110.37</v>
      </c>
      <c r="S139" s="228">
        <v>-1.31</v>
      </c>
      <c r="T139" s="229">
        <v>-1.1900000000000001E-2</v>
      </c>
      <c r="U139" s="228">
        <v>109.59</v>
      </c>
      <c r="V139" s="228">
        <v>110.58</v>
      </c>
      <c r="W139" s="228">
        <v>-0.99</v>
      </c>
      <c r="X139" s="229">
        <v>-8.9999999999999993E-3</v>
      </c>
      <c r="Y139" s="228">
        <v>0.11</v>
      </c>
      <c r="Z139" s="228">
        <v>0.15</v>
      </c>
      <c r="AA139" s="228">
        <v>-0.04</v>
      </c>
      <c r="AB139" s="229">
        <v>1E-3</v>
      </c>
      <c r="AC139" s="228">
        <v>0.11</v>
      </c>
      <c r="AD139" s="228">
        <v>0.15</v>
      </c>
      <c r="AE139" s="228">
        <v>-0.04</v>
      </c>
      <c r="AF139" s="229">
        <v>1E-3</v>
      </c>
      <c r="AG139" s="228">
        <v>0.8</v>
      </c>
      <c r="AH139" s="228">
        <v>0.81</v>
      </c>
      <c r="AI139" s="228">
        <v>-0.01</v>
      </c>
      <c r="AJ139" s="229">
        <v>7.4000000000000003E-3</v>
      </c>
      <c r="AK139" s="228">
        <v>1.33</v>
      </c>
      <c r="AL139" s="228">
        <v>1.02</v>
      </c>
      <c r="AM139" s="228">
        <v>0.31</v>
      </c>
      <c r="AN139" s="229">
        <v>1.23E-2</v>
      </c>
      <c r="AO139" s="228">
        <v>108.13</v>
      </c>
      <c r="AP139" s="228">
        <v>108.81</v>
      </c>
      <c r="AQ139" s="228">
        <v>0</v>
      </c>
      <c r="AR139" s="230">
        <v>13819000</v>
      </c>
      <c r="AS139" s="230">
        <v>15652000</v>
      </c>
      <c r="AT139" s="230">
        <v>-1833000</v>
      </c>
      <c r="AU139" s="229">
        <v>-0.1171</v>
      </c>
      <c r="AV139" s="230">
        <v>10432500</v>
      </c>
      <c r="AW139" s="230">
        <v>13247000</v>
      </c>
      <c r="AX139" s="230">
        <v>-2814500</v>
      </c>
      <c r="AY139" s="229">
        <v>-0.21249999999999999</v>
      </c>
      <c r="AZ139" s="230">
        <v>3204500</v>
      </c>
      <c r="BA139" s="230">
        <v>2307500</v>
      </c>
      <c r="BB139" s="230">
        <v>897000</v>
      </c>
      <c r="BC139" s="229">
        <v>0.38869999999999999</v>
      </c>
      <c r="BD139" s="230">
        <v>182000</v>
      </c>
      <c r="BE139" s="230">
        <v>97500</v>
      </c>
      <c r="BF139" s="230">
        <v>84500</v>
      </c>
      <c r="BG139" s="229">
        <v>0.86670000000000003</v>
      </c>
      <c r="BH139" s="230">
        <v>48379500</v>
      </c>
      <c r="BI139" s="230">
        <v>49705500</v>
      </c>
      <c r="BJ139" s="230">
        <v>-1326000</v>
      </c>
      <c r="BK139" s="229">
        <v>-2.6700000000000002E-2</v>
      </c>
      <c r="BL139" s="230">
        <v>16965000</v>
      </c>
      <c r="BM139" s="230">
        <v>13962000</v>
      </c>
      <c r="BN139" s="230">
        <v>3003000</v>
      </c>
      <c r="BO139" s="229">
        <v>0.21510000000000001</v>
      </c>
      <c r="BP139" s="230">
        <v>79163500</v>
      </c>
      <c r="BQ139" s="230">
        <v>79319500</v>
      </c>
      <c r="BR139" s="230">
        <v>-156000</v>
      </c>
      <c r="BS139" s="229">
        <v>-2E-3</v>
      </c>
      <c r="BT139" s="230">
        <v>10521811</v>
      </c>
      <c r="BU139" s="230">
        <v>13170799</v>
      </c>
      <c r="BV139" s="230">
        <v>-2648988</v>
      </c>
      <c r="BW139" s="229">
        <v>-0.2011</v>
      </c>
      <c r="BX139" s="230">
        <v>89713000</v>
      </c>
      <c r="BY139" s="230">
        <v>88036000</v>
      </c>
      <c r="BZ139" s="230">
        <v>1677000</v>
      </c>
      <c r="CA139" s="229">
        <v>1.9E-2</v>
      </c>
      <c r="CB139" s="230">
        <v>82803500</v>
      </c>
      <c r="CC139" s="230">
        <v>82504500</v>
      </c>
      <c r="CD139" s="230">
        <v>299000</v>
      </c>
      <c r="CE139" s="229">
        <v>3.5999999999999999E-3</v>
      </c>
      <c r="CF139" s="230">
        <v>6389500</v>
      </c>
      <c r="CG139" s="230">
        <v>5076500</v>
      </c>
      <c r="CH139" s="230">
        <v>1313000</v>
      </c>
      <c r="CI139" s="229">
        <v>0.2586</v>
      </c>
      <c r="CJ139" s="230">
        <v>520000</v>
      </c>
      <c r="CK139" s="230">
        <v>455000</v>
      </c>
      <c r="CL139" s="230">
        <v>65000</v>
      </c>
      <c r="CM139" s="229">
        <v>0.1429</v>
      </c>
      <c r="CN139" s="230">
        <v>62257000</v>
      </c>
      <c r="CO139" s="230">
        <v>57752500</v>
      </c>
      <c r="CP139" s="230">
        <v>4504500</v>
      </c>
      <c r="CQ139" s="229">
        <v>7.8E-2</v>
      </c>
      <c r="CR139" s="230">
        <v>24284000</v>
      </c>
      <c r="CS139" s="230">
        <v>23309000</v>
      </c>
      <c r="CT139" s="230">
        <v>975000</v>
      </c>
      <c r="CU139" s="229">
        <v>4.1799999999999997E-2</v>
      </c>
      <c r="CV139" s="230">
        <v>176254000</v>
      </c>
      <c r="CW139" s="230">
        <v>169097500</v>
      </c>
      <c r="CX139" s="230">
        <v>7156500</v>
      </c>
      <c r="CY139" s="229">
        <v>4.2299999999999997E-2</v>
      </c>
      <c r="CZ139" s="228">
        <v>32.56</v>
      </c>
      <c r="DA139" s="228">
        <v>32.85</v>
      </c>
      <c r="DB139" s="228">
        <v>-0.28999999999999998</v>
      </c>
      <c r="DC139" s="228">
        <v>-0.28999999999999998</v>
      </c>
      <c r="DD139" s="228">
        <v>50.97</v>
      </c>
      <c r="DE139" s="228">
        <v>51.07</v>
      </c>
      <c r="DF139" s="228">
        <v>-18.41</v>
      </c>
      <c r="DG139" s="228">
        <v>-0.1</v>
      </c>
      <c r="DH139" s="228">
        <v>33.86</v>
      </c>
      <c r="DI139" s="228">
        <v>33.76</v>
      </c>
      <c r="DJ139" s="228">
        <v>0.1</v>
      </c>
      <c r="DK139" s="228">
        <v>0.1</v>
      </c>
      <c r="DL139" s="228">
        <v>28.85</v>
      </c>
      <c r="DM139" s="228">
        <v>29.63</v>
      </c>
      <c r="DN139" s="228">
        <v>-0.78</v>
      </c>
      <c r="DO139" s="228">
        <v>-0.78</v>
      </c>
      <c r="DP139" s="228">
        <v>0.39</v>
      </c>
      <c r="DQ139" s="228">
        <v>0.4</v>
      </c>
      <c r="DR139" s="228">
        <v>-0.01</v>
      </c>
      <c r="DS139" s="229">
        <v>-2.5000000000000001E-2</v>
      </c>
      <c r="DT139" s="228">
        <v>120</v>
      </c>
      <c r="DU139" s="228">
        <v>110</v>
      </c>
      <c r="DV139" s="228">
        <v>0.35</v>
      </c>
      <c r="DW139" s="228">
        <v>0.28000000000000003</v>
      </c>
      <c r="DX139" s="228">
        <v>7.0000000000000007E-2</v>
      </c>
      <c r="DY139" s="229">
        <v>0.25</v>
      </c>
      <c r="DZ139" s="229">
        <v>7.6999999999999999E-2</v>
      </c>
      <c r="EA139" s="230">
        <v>5531500</v>
      </c>
      <c r="EB139" s="229">
        <v>6.4000000000000003E-3</v>
      </c>
      <c r="EC139" s="229">
        <v>7.6999999999999999E-2</v>
      </c>
      <c r="ED139" s="228">
        <v>0.68</v>
      </c>
      <c r="EE139" s="229">
        <v>6.3E-3</v>
      </c>
      <c r="EF139" s="230">
        <v>2948897</v>
      </c>
      <c r="EG139" s="230">
        <v>4084607</v>
      </c>
      <c r="EH139" s="229">
        <v>-0.27800000000000002</v>
      </c>
      <c r="EI139" s="229">
        <v>0.28029999999999999</v>
      </c>
      <c r="EJ139" s="231">
        <v>56300.5</v>
      </c>
      <c r="EK139" s="231">
        <v>18534.919999999998</v>
      </c>
      <c r="EL139" s="231">
        <v>14966.73</v>
      </c>
      <c r="EM139" s="231">
        <v>3353</v>
      </c>
      <c r="EN139" s="231">
        <v>89802.15</v>
      </c>
      <c r="EO139" s="231">
        <v>91438.35</v>
      </c>
      <c r="EP139" s="231">
        <v>-1636.2</v>
      </c>
      <c r="EQ139" s="229">
        <v>-1.7899999999999999E-2</v>
      </c>
      <c r="ER139" s="231">
        <v>73255</v>
      </c>
      <c r="ES139" s="231">
        <v>26492</v>
      </c>
      <c r="ET139" s="231">
        <v>97272</v>
      </c>
      <c r="EU139" s="231">
        <v>154894704</v>
      </c>
      <c r="EV139" s="231">
        <v>197019</v>
      </c>
      <c r="EW139" s="231">
        <v>190483</v>
      </c>
      <c r="EX139" s="231">
        <v>6536</v>
      </c>
      <c r="EY139" s="229">
        <v>3.4299999999999997E-2</v>
      </c>
      <c r="EZ139" s="229">
        <v>1.1378999999999999</v>
      </c>
      <c r="FA139" s="227" t="s">
        <v>567</v>
      </c>
      <c r="FB139" s="161">
        <f>BX139-CB139</f>
        <v>6909500</v>
      </c>
    </row>
    <row r="140" spans="1:158" ht="17.25" hidden="1" thickBot="1" x14ac:dyDescent="0.3">
      <c r="A140" s="226">
        <v>46009</v>
      </c>
      <c r="B140" s="227" t="s">
        <v>215</v>
      </c>
      <c r="C140" s="227" t="s">
        <v>591</v>
      </c>
      <c r="D140" s="228">
        <v>2700</v>
      </c>
      <c r="E140" s="228">
        <v>153.30000000000001</v>
      </c>
      <c r="F140" s="228">
        <v>155.97</v>
      </c>
      <c r="G140" s="228">
        <v>-2.67</v>
      </c>
      <c r="H140" s="229">
        <v>-1.7100000000000001E-2</v>
      </c>
      <c r="I140" s="228">
        <v>153.07</v>
      </c>
      <c r="J140" s="228">
        <v>155.32</v>
      </c>
      <c r="K140" s="228">
        <v>-2.25</v>
      </c>
      <c r="L140" s="229">
        <v>-1.4500000000000001E-2</v>
      </c>
      <c r="M140" s="228">
        <v>153.30000000000001</v>
      </c>
      <c r="N140" s="228">
        <v>155.97</v>
      </c>
      <c r="O140" s="228">
        <v>-2.67</v>
      </c>
      <c r="P140" s="229">
        <v>-1.7100000000000001E-2</v>
      </c>
      <c r="Q140" s="228">
        <v>0</v>
      </c>
      <c r="R140" s="228">
        <v>0</v>
      </c>
      <c r="S140" s="228">
        <v>0</v>
      </c>
      <c r="T140" s="229">
        <v>0</v>
      </c>
      <c r="U140" s="228">
        <v>0</v>
      </c>
      <c r="V140" s="228">
        <v>0</v>
      </c>
      <c r="W140" s="228">
        <v>0</v>
      </c>
      <c r="X140" s="229">
        <v>0</v>
      </c>
      <c r="Y140" s="228">
        <v>0.23</v>
      </c>
      <c r="Z140" s="228">
        <v>0.65</v>
      </c>
      <c r="AA140" s="228">
        <v>-0.42</v>
      </c>
      <c r="AB140" s="229">
        <v>1.5E-3</v>
      </c>
      <c r="AC140" s="228">
        <v>0.23</v>
      </c>
      <c r="AD140" s="228">
        <v>0.65</v>
      </c>
      <c r="AE140" s="228">
        <v>-0.42</v>
      </c>
      <c r="AF140" s="229">
        <v>1.5E-3</v>
      </c>
      <c r="AG140" s="228">
        <v>0</v>
      </c>
      <c r="AH140" s="228">
        <v>0</v>
      </c>
      <c r="AI140" s="228">
        <v>0</v>
      </c>
      <c r="AJ140" s="229">
        <v>0</v>
      </c>
      <c r="AK140" s="228">
        <v>0</v>
      </c>
      <c r="AL140" s="228">
        <v>0</v>
      </c>
      <c r="AM140" s="228">
        <v>0</v>
      </c>
      <c r="AN140" s="229">
        <v>0</v>
      </c>
      <c r="AO140" s="228">
        <v>154.35</v>
      </c>
      <c r="AP140" s="228">
        <v>0</v>
      </c>
      <c r="AQ140" s="228">
        <v>0</v>
      </c>
      <c r="AR140" s="230">
        <v>3742200</v>
      </c>
      <c r="AS140" s="230">
        <v>3213000</v>
      </c>
      <c r="AT140" s="230">
        <v>529200</v>
      </c>
      <c r="AU140" s="229">
        <v>0.16470000000000001</v>
      </c>
      <c r="AV140" s="230">
        <v>3742200</v>
      </c>
      <c r="AW140" s="230">
        <v>3213000</v>
      </c>
      <c r="AX140" s="230">
        <v>529200</v>
      </c>
      <c r="AY140" s="229">
        <v>0.16470000000000001</v>
      </c>
      <c r="AZ140" s="228">
        <v>0</v>
      </c>
      <c r="BA140" s="228">
        <v>0</v>
      </c>
      <c r="BB140" s="228">
        <v>0</v>
      </c>
      <c r="BC140" s="229">
        <v>0</v>
      </c>
      <c r="BD140" s="228">
        <v>0</v>
      </c>
      <c r="BE140" s="228">
        <v>0</v>
      </c>
      <c r="BF140" s="228">
        <v>0</v>
      </c>
      <c r="BG140" s="229">
        <v>0</v>
      </c>
      <c r="BH140" s="230">
        <v>11450700</v>
      </c>
      <c r="BI140" s="230">
        <v>11720700</v>
      </c>
      <c r="BJ140" s="230">
        <v>-270000</v>
      </c>
      <c r="BK140" s="229">
        <v>-2.3E-2</v>
      </c>
      <c r="BL140" s="230">
        <v>6293700</v>
      </c>
      <c r="BM140" s="230">
        <v>5227200</v>
      </c>
      <c r="BN140" s="230">
        <v>1066500</v>
      </c>
      <c r="BO140" s="229">
        <v>0.20399999999999999</v>
      </c>
      <c r="BP140" s="230">
        <v>21486600</v>
      </c>
      <c r="BQ140" s="230">
        <v>20160900</v>
      </c>
      <c r="BR140" s="230">
        <v>1325700</v>
      </c>
      <c r="BS140" s="229">
        <v>6.5799999999999997E-2</v>
      </c>
      <c r="BT140" s="230">
        <v>2893730</v>
      </c>
      <c r="BU140" s="230">
        <v>3741337</v>
      </c>
      <c r="BV140" s="230">
        <v>-847607</v>
      </c>
      <c r="BW140" s="229">
        <v>-0.2266</v>
      </c>
      <c r="BX140" s="230">
        <v>21816000</v>
      </c>
      <c r="BY140" s="230">
        <v>22361400</v>
      </c>
      <c r="BZ140" s="230">
        <v>-545400</v>
      </c>
      <c r="CA140" s="229">
        <v>-2.4400000000000002E-2</v>
      </c>
      <c r="CB140" s="230">
        <v>21816000</v>
      </c>
      <c r="CC140" s="230">
        <v>22361400</v>
      </c>
      <c r="CD140" s="230">
        <v>-545400</v>
      </c>
      <c r="CE140" s="229">
        <v>-2.4400000000000002E-2</v>
      </c>
      <c r="CF140" s="228">
        <v>0</v>
      </c>
      <c r="CG140" s="228">
        <v>0</v>
      </c>
      <c r="CH140" s="228">
        <v>0</v>
      </c>
      <c r="CI140" s="229">
        <v>0</v>
      </c>
      <c r="CJ140" s="228">
        <v>0</v>
      </c>
      <c r="CK140" s="228">
        <v>0</v>
      </c>
      <c r="CL140" s="228">
        <v>0</v>
      </c>
      <c r="CM140" s="229">
        <v>0</v>
      </c>
      <c r="CN140" s="230">
        <v>24289200</v>
      </c>
      <c r="CO140" s="230">
        <v>23689800</v>
      </c>
      <c r="CP140" s="230">
        <v>599400</v>
      </c>
      <c r="CQ140" s="229">
        <v>2.53E-2</v>
      </c>
      <c r="CR140" s="230">
        <v>10087200</v>
      </c>
      <c r="CS140" s="230">
        <v>9944100</v>
      </c>
      <c r="CT140" s="230">
        <v>143100</v>
      </c>
      <c r="CU140" s="229">
        <v>1.44E-2</v>
      </c>
      <c r="CV140" s="230">
        <v>56192400</v>
      </c>
      <c r="CW140" s="230">
        <v>55995300</v>
      </c>
      <c r="CX140" s="230">
        <v>197100</v>
      </c>
      <c r="CY140" s="229">
        <v>3.5000000000000001E-3</v>
      </c>
      <c r="CZ140" s="228">
        <v>31.09</v>
      </c>
      <c r="DA140" s="228">
        <v>31.9</v>
      </c>
      <c r="DB140" s="228">
        <v>-0.81</v>
      </c>
      <c r="DC140" s="228">
        <v>-0.81</v>
      </c>
      <c r="DD140" s="228">
        <v>44.97</v>
      </c>
      <c r="DE140" s="228">
        <v>45.03</v>
      </c>
      <c r="DF140" s="228">
        <v>-13.88</v>
      </c>
      <c r="DG140" s="228">
        <v>-0.06</v>
      </c>
      <c r="DH140" s="228">
        <v>32</v>
      </c>
      <c r="DI140" s="228">
        <v>33.26</v>
      </c>
      <c r="DJ140" s="228">
        <v>-1.26</v>
      </c>
      <c r="DK140" s="228">
        <v>-1.26</v>
      </c>
      <c r="DL140" s="228">
        <v>29.44</v>
      </c>
      <c r="DM140" s="228">
        <v>28.85</v>
      </c>
      <c r="DN140" s="228">
        <v>0.59</v>
      </c>
      <c r="DO140" s="228">
        <v>0.59</v>
      </c>
      <c r="DP140" s="228">
        <v>0.42</v>
      </c>
      <c r="DQ140" s="228">
        <v>0.42</v>
      </c>
      <c r="DR140" s="228">
        <v>0</v>
      </c>
      <c r="DS140" s="229">
        <v>0</v>
      </c>
      <c r="DT140" s="228">
        <v>180</v>
      </c>
      <c r="DU140" s="228">
        <v>160</v>
      </c>
      <c r="DV140" s="228">
        <v>0.55000000000000004</v>
      </c>
      <c r="DW140" s="228">
        <v>0.45</v>
      </c>
      <c r="DX140" s="228">
        <v>0.1</v>
      </c>
      <c r="DY140" s="229">
        <v>0.22220000000000001</v>
      </c>
      <c r="DZ140" s="229">
        <v>0</v>
      </c>
      <c r="EA140" s="228">
        <v>0</v>
      </c>
      <c r="EB140" s="229">
        <v>0</v>
      </c>
      <c r="EC140" s="229">
        <v>0</v>
      </c>
      <c r="ED140" s="228">
        <v>0</v>
      </c>
      <c r="EE140" s="229">
        <v>0</v>
      </c>
      <c r="EF140" s="230">
        <v>1137046</v>
      </c>
      <c r="EG140" s="230">
        <v>1386358</v>
      </c>
      <c r="EH140" s="229">
        <v>-0.17979999999999999</v>
      </c>
      <c r="EI140" s="229">
        <v>0.39290000000000003</v>
      </c>
      <c r="EJ140" s="231">
        <v>18980.5</v>
      </c>
      <c r="EK140" s="231">
        <v>9710.67</v>
      </c>
      <c r="EL140" s="231">
        <v>5775.92</v>
      </c>
      <c r="EM140" s="231">
        <v>1132</v>
      </c>
      <c r="EN140" s="231">
        <v>34467.089999999997</v>
      </c>
      <c r="EO140" s="231">
        <v>33247.33</v>
      </c>
      <c r="EP140" s="231">
        <v>1219.76</v>
      </c>
      <c r="EQ140" s="229">
        <v>3.6700000000000003E-2</v>
      </c>
      <c r="ER140" s="231">
        <v>43135</v>
      </c>
      <c r="ES140" s="231">
        <v>16579</v>
      </c>
      <c r="ET140" s="231">
        <v>33444</v>
      </c>
      <c r="EU140" s="231">
        <v>72342848</v>
      </c>
      <c r="EV140" s="231">
        <v>93157</v>
      </c>
      <c r="EW140" s="231">
        <v>93699</v>
      </c>
      <c r="EX140" s="228">
        <v>-542</v>
      </c>
      <c r="EY140" s="229">
        <v>-5.7999999999999996E-3</v>
      </c>
      <c r="EZ140" s="229">
        <v>0.77680000000000005</v>
      </c>
      <c r="FA140" s="227" t="s">
        <v>568</v>
      </c>
      <c r="FB140" s="161">
        <f>BX140-CB140</f>
        <v>0</v>
      </c>
    </row>
    <row r="141" spans="1:158" ht="17.25" hidden="1" thickBot="1" x14ac:dyDescent="0.3">
      <c r="A141" s="226">
        <v>46009</v>
      </c>
      <c r="B141" s="227" t="s">
        <v>168</v>
      </c>
      <c r="C141" s="227" t="s">
        <v>265</v>
      </c>
      <c r="D141" s="228">
        <v>500</v>
      </c>
      <c r="E141" s="231">
        <v>1236.8</v>
      </c>
      <c r="F141" s="231">
        <v>1235.9000000000001</v>
      </c>
      <c r="G141" s="228">
        <v>0.9</v>
      </c>
      <c r="H141" s="229">
        <v>6.9999999999999999E-4</v>
      </c>
      <c r="I141" s="231">
        <v>1233.5</v>
      </c>
      <c r="J141" s="231">
        <v>1234.5999999999999</v>
      </c>
      <c r="K141" s="228">
        <v>-1.1000000000000001</v>
      </c>
      <c r="L141" s="229">
        <v>-8.9999999999999998E-4</v>
      </c>
      <c r="M141" s="231">
        <v>1236.8</v>
      </c>
      <c r="N141" s="231">
        <v>1235.9000000000001</v>
      </c>
      <c r="O141" s="228">
        <v>0.9</v>
      </c>
      <c r="P141" s="229">
        <v>6.9999999999999999E-4</v>
      </c>
      <c r="Q141" s="231">
        <v>1244.9000000000001</v>
      </c>
      <c r="R141" s="231">
        <v>1243.5</v>
      </c>
      <c r="S141" s="228">
        <v>1.4</v>
      </c>
      <c r="T141" s="229">
        <v>1.1000000000000001E-3</v>
      </c>
      <c r="U141" s="231">
        <v>1244.7</v>
      </c>
      <c r="V141" s="231">
        <v>1245.7</v>
      </c>
      <c r="W141" s="228">
        <v>-1</v>
      </c>
      <c r="X141" s="229">
        <v>-8.0000000000000004E-4</v>
      </c>
      <c r="Y141" s="228">
        <v>3.3</v>
      </c>
      <c r="Z141" s="228">
        <v>1.3</v>
      </c>
      <c r="AA141" s="228">
        <v>2</v>
      </c>
      <c r="AB141" s="229">
        <v>2.7000000000000001E-3</v>
      </c>
      <c r="AC141" s="228">
        <v>3.3</v>
      </c>
      <c r="AD141" s="228">
        <v>1.3</v>
      </c>
      <c r="AE141" s="228">
        <v>2</v>
      </c>
      <c r="AF141" s="229">
        <v>2.7000000000000001E-3</v>
      </c>
      <c r="AG141" s="228">
        <v>11.4</v>
      </c>
      <c r="AH141" s="228">
        <v>8.9</v>
      </c>
      <c r="AI141" s="228">
        <v>2.5</v>
      </c>
      <c r="AJ141" s="229">
        <v>9.1999999999999998E-3</v>
      </c>
      <c r="AK141" s="228">
        <v>11.2</v>
      </c>
      <c r="AL141" s="228">
        <v>11.1</v>
      </c>
      <c r="AM141" s="228">
        <v>0.1</v>
      </c>
      <c r="AN141" s="229">
        <v>9.1000000000000004E-3</v>
      </c>
      <c r="AO141" s="231">
        <v>1238.5</v>
      </c>
      <c r="AP141" s="231">
        <v>1246.3800000000001</v>
      </c>
      <c r="AQ141" s="228">
        <v>0</v>
      </c>
      <c r="AR141" s="230">
        <v>1555500</v>
      </c>
      <c r="AS141" s="230">
        <v>2635500</v>
      </c>
      <c r="AT141" s="230">
        <v>-1080000</v>
      </c>
      <c r="AU141" s="229">
        <v>-0.4098</v>
      </c>
      <c r="AV141" s="230">
        <v>1088000</v>
      </c>
      <c r="AW141" s="230">
        <v>1723000</v>
      </c>
      <c r="AX141" s="230">
        <v>-635000</v>
      </c>
      <c r="AY141" s="229">
        <v>-0.36849999999999999</v>
      </c>
      <c r="AZ141" s="230">
        <v>448000</v>
      </c>
      <c r="BA141" s="230">
        <v>904500</v>
      </c>
      <c r="BB141" s="230">
        <v>-456500</v>
      </c>
      <c r="BC141" s="229">
        <v>-0.50470000000000004</v>
      </c>
      <c r="BD141" s="230">
        <v>19500</v>
      </c>
      <c r="BE141" s="230">
        <v>8000</v>
      </c>
      <c r="BF141" s="230">
        <v>11500</v>
      </c>
      <c r="BG141" s="229">
        <v>1.4375</v>
      </c>
      <c r="BH141" s="230">
        <v>3436500</v>
      </c>
      <c r="BI141" s="230">
        <v>4279500</v>
      </c>
      <c r="BJ141" s="230">
        <v>-843000</v>
      </c>
      <c r="BK141" s="229">
        <v>-0.19700000000000001</v>
      </c>
      <c r="BL141" s="230">
        <v>889500</v>
      </c>
      <c r="BM141" s="230">
        <v>1553000</v>
      </c>
      <c r="BN141" s="230">
        <v>-663500</v>
      </c>
      <c r="BO141" s="229">
        <v>-0.42720000000000002</v>
      </c>
      <c r="BP141" s="230">
        <v>5881500</v>
      </c>
      <c r="BQ141" s="230">
        <v>8468000</v>
      </c>
      <c r="BR141" s="230">
        <v>-2586500</v>
      </c>
      <c r="BS141" s="229">
        <v>-0.3054</v>
      </c>
      <c r="BT141" s="230">
        <v>739287</v>
      </c>
      <c r="BU141" s="230">
        <v>538361</v>
      </c>
      <c r="BV141" s="230">
        <v>200926</v>
      </c>
      <c r="BW141" s="229">
        <v>0.37319999999999998</v>
      </c>
      <c r="BX141" s="230">
        <v>16547000</v>
      </c>
      <c r="BY141" s="230">
        <v>16494000</v>
      </c>
      <c r="BZ141" s="230">
        <v>53000</v>
      </c>
      <c r="CA141" s="229">
        <v>3.2000000000000002E-3</v>
      </c>
      <c r="CB141" s="230">
        <v>14251000</v>
      </c>
      <c r="CC141" s="230">
        <v>14547500</v>
      </c>
      <c r="CD141" s="230">
        <v>-296500</v>
      </c>
      <c r="CE141" s="229">
        <v>-2.0400000000000001E-2</v>
      </c>
      <c r="CF141" s="230">
        <v>2205000</v>
      </c>
      <c r="CG141" s="230">
        <v>1866000</v>
      </c>
      <c r="CH141" s="230">
        <v>339000</v>
      </c>
      <c r="CI141" s="229">
        <v>0.1817</v>
      </c>
      <c r="CJ141" s="230">
        <v>91000</v>
      </c>
      <c r="CK141" s="230">
        <v>80500</v>
      </c>
      <c r="CL141" s="230">
        <v>10500</v>
      </c>
      <c r="CM141" s="229">
        <v>0.13039999999999999</v>
      </c>
      <c r="CN141" s="230">
        <v>7313500</v>
      </c>
      <c r="CO141" s="230">
        <v>7283000</v>
      </c>
      <c r="CP141" s="230">
        <v>30500</v>
      </c>
      <c r="CQ141" s="229">
        <v>4.1999999999999997E-3</v>
      </c>
      <c r="CR141" s="230">
        <v>2271000</v>
      </c>
      <c r="CS141" s="230">
        <v>2293000</v>
      </c>
      <c r="CT141" s="230">
        <v>-22000</v>
      </c>
      <c r="CU141" s="229">
        <v>-9.5999999999999992E-3</v>
      </c>
      <c r="CV141" s="230">
        <v>26131500</v>
      </c>
      <c r="CW141" s="230">
        <v>26070000</v>
      </c>
      <c r="CX141" s="230">
        <v>61500</v>
      </c>
      <c r="CY141" s="229">
        <v>2.3999999999999998E-3</v>
      </c>
      <c r="CZ141" s="228">
        <v>17.5</v>
      </c>
      <c r="DA141" s="228">
        <v>18.63</v>
      </c>
      <c r="DB141" s="228">
        <v>-1.1299999999999999</v>
      </c>
      <c r="DC141" s="228">
        <v>-1.1299999999999999</v>
      </c>
      <c r="DD141" s="228">
        <v>22.93</v>
      </c>
      <c r="DE141" s="228">
        <v>22.99</v>
      </c>
      <c r="DF141" s="228">
        <v>-5.43</v>
      </c>
      <c r="DG141" s="228">
        <v>-0.06</v>
      </c>
      <c r="DH141" s="228">
        <v>17.82</v>
      </c>
      <c r="DI141" s="228">
        <v>19.09</v>
      </c>
      <c r="DJ141" s="228">
        <v>-1.27</v>
      </c>
      <c r="DK141" s="228">
        <v>-1.27</v>
      </c>
      <c r="DL141" s="228">
        <v>16.28</v>
      </c>
      <c r="DM141" s="228">
        <v>17.350000000000001</v>
      </c>
      <c r="DN141" s="228">
        <v>-1.07</v>
      </c>
      <c r="DO141" s="228">
        <v>-1.07</v>
      </c>
      <c r="DP141" s="228">
        <v>0.31</v>
      </c>
      <c r="DQ141" s="228">
        <v>0.31</v>
      </c>
      <c r="DR141" s="228">
        <v>0</v>
      </c>
      <c r="DS141" s="229">
        <v>0</v>
      </c>
      <c r="DT141" s="231">
        <v>1320</v>
      </c>
      <c r="DU141" s="231">
        <v>1180</v>
      </c>
      <c r="DV141" s="228">
        <v>0.26</v>
      </c>
      <c r="DW141" s="228">
        <v>0.36</v>
      </c>
      <c r="DX141" s="228">
        <v>-0.1</v>
      </c>
      <c r="DY141" s="229">
        <v>-0.27779999999999999</v>
      </c>
      <c r="DZ141" s="229">
        <v>0.13880000000000001</v>
      </c>
      <c r="EA141" s="230">
        <v>1946500</v>
      </c>
      <c r="EB141" s="229">
        <v>6.4999999999999997E-3</v>
      </c>
      <c r="EC141" s="229">
        <v>0.13880000000000001</v>
      </c>
      <c r="ED141" s="228">
        <v>7.88</v>
      </c>
      <c r="EE141" s="229">
        <v>6.4000000000000003E-3</v>
      </c>
      <c r="EF141" s="230">
        <v>459968</v>
      </c>
      <c r="EG141" s="230">
        <v>294244</v>
      </c>
      <c r="EH141" s="229">
        <v>0.56320000000000003</v>
      </c>
      <c r="EI141" s="229">
        <v>0.62219999999999998</v>
      </c>
      <c r="EJ141" s="231">
        <v>43806.03</v>
      </c>
      <c r="EK141" s="231">
        <v>10938.64</v>
      </c>
      <c r="EL141" s="231">
        <v>19302.18</v>
      </c>
      <c r="EM141" s="231">
        <v>3388</v>
      </c>
      <c r="EN141" s="231">
        <v>74046.850000000006</v>
      </c>
      <c r="EO141" s="231">
        <v>106757.93</v>
      </c>
      <c r="EP141" s="231">
        <v>-32711.08</v>
      </c>
      <c r="EQ141" s="229">
        <v>-0.30640000000000001</v>
      </c>
      <c r="ER141" s="231">
        <v>95357</v>
      </c>
      <c r="ES141" s="231">
        <v>27603</v>
      </c>
      <c r="ET141" s="231">
        <v>204839</v>
      </c>
      <c r="EU141" s="231">
        <v>71801274</v>
      </c>
      <c r="EV141" s="231">
        <v>327799</v>
      </c>
      <c r="EW141" s="231">
        <v>326835</v>
      </c>
      <c r="EX141" s="228">
        <v>964</v>
      </c>
      <c r="EY141" s="229">
        <v>2.8999999999999998E-3</v>
      </c>
      <c r="EZ141" s="229">
        <v>0.3639</v>
      </c>
      <c r="FA141" s="227" t="s">
        <v>555</v>
      </c>
      <c r="FB141" s="161">
        <f>BX215-CB215</f>
        <v>828000</v>
      </c>
    </row>
    <row r="142" spans="1:158" ht="17.25" hidden="1" thickBot="1" x14ac:dyDescent="0.3">
      <c r="A142" s="226">
        <v>46009</v>
      </c>
      <c r="B142" s="227" t="s">
        <v>161</v>
      </c>
      <c r="C142" s="227" t="s">
        <v>585</v>
      </c>
      <c r="D142" s="228">
        <v>6400</v>
      </c>
      <c r="E142" s="228">
        <v>75.239999999999995</v>
      </c>
      <c r="F142" s="228">
        <v>75.569999999999993</v>
      </c>
      <c r="G142" s="228">
        <v>-0.33</v>
      </c>
      <c r="H142" s="229">
        <v>-4.4000000000000003E-3</v>
      </c>
      <c r="I142" s="228">
        <v>75.040000000000006</v>
      </c>
      <c r="J142" s="228">
        <v>75.39</v>
      </c>
      <c r="K142" s="228">
        <v>-0.35</v>
      </c>
      <c r="L142" s="229">
        <v>-4.5999999999999999E-3</v>
      </c>
      <c r="M142" s="228">
        <v>75.239999999999995</v>
      </c>
      <c r="N142" s="228">
        <v>75.569999999999993</v>
      </c>
      <c r="O142" s="228">
        <v>-0.33</v>
      </c>
      <c r="P142" s="229">
        <v>-4.4000000000000003E-3</v>
      </c>
      <c r="Q142" s="228">
        <v>75.75</v>
      </c>
      <c r="R142" s="228">
        <v>76.03</v>
      </c>
      <c r="S142" s="228">
        <v>-0.28000000000000003</v>
      </c>
      <c r="T142" s="229">
        <v>-3.7000000000000002E-3</v>
      </c>
      <c r="U142" s="228">
        <v>75.31</v>
      </c>
      <c r="V142" s="228">
        <v>75.760000000000005</v>
      </c>
      <c r="W142" s="228">
        <v>-0.45</v>
      </c>
      <c r="X142" s="229">
        <v>-5.8999999999999999E-3</v>
      </c>
      <c r="Y142" s="228">
        <v>0.2</v>
      </c>
      <c r="Z142" s="228">
        <v>0.18</v>
      </c>
      <c r="AA142" s="228">
        <v>0.02</v>
      </c>
      <c r="AB142" s="229">
        <v>2.7000000000000001E-3</v>
      </c>
      <c r="AC142" s="228">
        <v>0.2</v>
      </c>
      <c r="AD142" s="228">
        <v>0.18</v>
      </c>
      <c r="AE142" s="228">
        <v>0.02</v>
      </c>
      <c r="AF142" s="229">
        <v>2.7000000000000001E-3</v>
      </c>
      <c r="AG142" s="228">
        <v>0.71</v>
      </c>
      <c r="AH142" s="228">
        <v>0.64</v>
      </c>
      <c r="AI142" s="228">
        <v>7.0000000000000007E-2</v>
      </c>
      <c r="AJ142" s="229">
        <v>9.4999999999999998E-3</v>
      </c>
      <c r="AK142" s="228">
        <v>0.27</v>
      </c>
      <c r="AL142" s="228">
        <v>0.37</v>
      </c>
      <c r="AM142" s="228">
        <v>-0.1</v>
      </c>
      <c r="AN142" s="229">
        <v>3.5999999999999999E-3</v>
      </c>
      <c r="AO142" s="228">
        <v>75.08</v>
      </c>
      <c r="AP142" s="228">
        <v>75.53</v>
      </c>
      <c r="AQ142" s="228">
        <v>0</v>
      </c>
      <c r="AR142" s="230">
        <v>10841600</v>
      </c>
      <c r="AS142" s="230">
        <v>10048000</v>
      </c>
      <c r="AT142" s="230">
        <v>793600</v>
      </c>
      <c r="AU142" s="229">
        <v>7.9000000000000001E-2</v>
      </c>
      <c r="AV142" s="230">
        <v>7091200</v>
      </c>
      <c r="AW142" s="230">
        <v>7596800</v>
      </c>
      <c r="AX142" s="230">
        <v>-505600</v>
      </c>
      <c r="AY142" s="229">
        <v>-6.6600000000000006E-2</v>
      </c>
      <c r="AZ142" s="230">
        <v>3084800</v>
      </c>
      <c r="BA142" s="230">
        <v>1926400</v>
      </c>
      <c r="BB142" s="230">
        <v>1158400</v>
      </c>
      <c r="BC142" s="229">
        <v>0.60129999999999995</v>
      </c>
      <c r="BD142" s="230">
        <v>665600</v>
      </c>
      <c r="BE142" s="230">
        <v>524800</v>
      </c>
      <c r="BF142" s="230">
        <v>140800</v>
      </c>
      <c r="BG142" s="229">
        <v>0.26829999999999998</v>
      </c>
      <c r="BH142" s="230">
        <v>24928000</v>
      </c>
      <c r="BI142" s="230">
        <v>21760000</v>
      </c>
      <c r="BJ142" s="230">
        <v>3168000</v>
      </c>
      <c r="BK142" s="229">
        <v>0.14560000000000001</v>
      </c>
      <c r="BL142" s="230">
        <v>6841600</v>
      </c>
      <c r="BM142" s="230">
        <v>6521600</v>
      </c>
      <c r="BN142" s="230">
        <v>320000</v>
      </c>
      <c r="BO142" s="229">
        <v>4.9099999999999998E-2</v>
      </c>
      <c r="BP142" s="230">
        <v>42611200</v>
      </c>
      <c r="BQ142" s="230">
        <v>38329600</v>
      </c>
      <c r="BR142" s="230">
        <v>4281600</v>
      </c>
      <c r="BS142" s="229">
        <v>0.11169999999999999</v>
      </c>
      <c r="BT142" s="230">
        <v>6481974</v>
      </c>
      <c r="BU142" s="230">
        <v>5980681</v>
      </c>
      <c r="BV142" s="230">
        <v>501293</v>
      </c>
      <c r="BW142" s="229">
        <v>8.3799999999999999E-2</v>
      </c>
      <c r="BX142" s="230">
        <v>75033600</v>
      </c>
      <c r="BY142" s="230">
        <v>74137600</v>
      </c>
      <c r="BZ142" s="230">
        <v>896000</v>
      </c>
      <c r="CA142" s="229">
        <v>1.21E-2</v>
      </c>
      <c r="CB142" s="230">
        <v>65632000</v>
      </c>
      <c r="CC142" s="230">
        <v>66508800</v>
      </c>
      <c r="CD142" s="230">
        <v>-876800</v>
      </c>
      <c r="CE142" s="229">
        <v>-1.32E-2</v>
      </c>
      <c r="CF142" s="230">
        <v>7507200</v>
      </c>
      <c r="CG142" s="230">
        <v>5932800</v>
      </c>
      <c r="CH142" s="230">
        <v>1574400</v>
      </c>
      <c r="CI142" s="229">
        <v>0.26540000000000002</v>
      </c>
      <c r="CJ142" s="230">
        <v>1894400</v>
      </c>
      <c r="CK142" s="230">
        <v>1696000</v>
      </c>
      <c r="CL142" s="230">
        <v>198400</v>
      </c>
      <c r="CM142" s="229">
        <v>0.11700000000000001</v>
      </c>
      <c r="CN142" s="230">
        <v>47872000</v>
      </c>
      <c r="CO142" s="230">
        <v>46912000</v>
      </c>
      <c r="CP142" s="230">
        <v>960000</v>
      </c>
      <c r="CQ142" s="229">
        <v>2.0500000000000001E-2</v>
      </c>
      <c r="CR142" s="230">
        <v>21017600</v>
      </c>
      <c r="CS142" s="230">
        <v>20883200</v>
      </c>
      <c r="CT142" s="230">
        <v>134400</v>
      </c>
      <c r="CU142" s="229">
        <v>6.4000000000000003E-3</v>
      </c>
      <c r="CV142" s="230">
        <v>143923200</v>
      </c>
      <c r="CW142" s="230">
        <v>141932800</v>
      </c>
      <c r="CX142" s="230">
        <v>1990400</v>
      </c>
      <c r="CY142" s="229">
        <v>1.4E-2</v>
      </c>
      <c r="CZ142" s="228">
        <v>25.4</v>
      </c>
      <c r="DA142" s="228">
        <v>24.71</v>
      </c>
      <c r="DB142" s="228">
        <v>0.69</v>
      </c>
      <c r="DC142" s="228">
        <v>0.69</v>
      </c>
      <c r="DD142" s="228">
        <v>36.630000000000003</v>
      </c>
      <c r="DE142" s="228">
        <v>36.72</v>
      </c>
      <c r="DF142" s="228">
        <v>-11.23</v>
      </c>
      <c r="DG142" s="228">
        <v>-0.09</v>
      </c>
      <c r="DH142" s="228">
        <v>25.98</v>
      </c>
      <c r="DI142" s="228">
        <v>25.2</v>
      </c>
      <c r="DJ142" s="228">
        <v>0.78</v>
      </c>
      <c r="DK142" s="228">
        <v>0.78</v>
      </c>
      <c r="DL142" s="228">
        <v>23.29</v>
      </c>
      <c r="DM142" s="228">
        <v>23.06</v>
      </c>
      <c r="DN142" s="228">
        <v>0.23</v>
      </c>
      <c r="DO142" s="228">
        <v>0.23</v>
      </c>
      <c r="DP142" s="228">
        <v>0.44</v>
      </c>
      <c r="DQ142" s="228">
        <v>0.45</v>
      </c>
      <c r="DR142" s="228">
        <v>-0.01</v>
      </c>
      <c r="DS142" s="229">
        <v>-2.2200000000000001E-2</v>
      </c>
      <c r="DT142" s="228">
        <v>80</v>
      </c>
      <c r="DU142" s="228">
        <v>72</v>
      </c>
      <c r="DV142" s="228">
        <v>0.27</v>
      </c>
      <c r="DW142" s="228">
        <v>0.3</v>
      </c>
      <c r="DX142" s="228">
        <v>-0.03</v>
      </c>
      <c r="DY142" s="229">
        <v>-0.1</v>
      </c>
      <c r="DZ142" s="229">
        <v>0.12529999999999999</v>
      </c>
      <c r="EA142" s="230">
        <v>7628800</v>
      </c>
      <c r="EB142" s="229">
        <v>6.7999999999999996E-3</v>
      </c>
      <c r="EC142" s="229">
        <v>0.12529999999999999</v>
      </c>
      <c r="ED142" s="228">
        <v>0.45</v>
      </c>
      <c r="EE142" s="229">
        <v>6.0000000000000001E-3</v>
      </c>
      <c r="EF142" s="230">
        <v>2700632</v>
      </c>
      <c r="EG142" s="230">
        <v>2290076</v>
      </c>
      <c r="EH142" s="229">
        <v>0.17929999999999999</v>
      </c>
      <c r="EI142" s="229">
        <v>0.41660000000000003</v>
      </c>
      <c r="EJ142" s="231">
        <v>19999.79</v>
      </c>
      <c r="EK142" s="231">
        <v>5081.87</v>
      </c>
      <c r="EL142" s="231">
        <v>8154.2</v>
      </c>
      <c r="EM142" s="231">
        <v>1223</v>
      </c>
      <c r="EN142" s="231">
        <v>33235.86</v>
      </c>
      <c r="EO142" s="231">
        <v>29871.88</v>
      </c>
      <c r="EP142" s="231">
        <v>3363.98</v>
      </c>
      <c r="EQ142" s="229">
        <v>0.11260000000000001</v>
      </c>
      <c r="ER142" s="231">
        <v>38804</v>
      </c>
      <c r="ES142" s="231">
        <v>15881</v>
      </c>
      <c r="ET142" s="231">
        <v>56495</v>
      </c>
      <c r="EU142" s="231">
        <v>398201603</v>
      </c>
      <c r="EV142" s="231">
        <v>111179</v>
      </c>
      <c r="EW142" s="231">
        <v>109987</v>
      </c>
      <c r="EX142" s="231">
        <v>1192</v>
      </c>
      <c r="EY142" s="229">
        <v>1.0800000000000001E-2</v>
      </c>
      <c r="EZ142" s="229">
        <v>0.3614</v>
      </c>
      <c r="FA142" s="227" t="s">
        <v>567</v>
      </c>
      <c r="FB142" s="161">
        <f t="shared" ref="FB142:FB161" si="3">BX216-CB216</f>
        <v>0</v>
      </c>
    </row>
    <row r="143" spans="1:158" ht="17.25" hidden="1" thickBot="1" x14ac:dyDescent="0.3">
      <c r="A143" s="226">
        <v>46009</v>
      </c>
      <c r="B143" s="227" t="s">
        <v>181</v>
      </c>
      <c r="C143" s="227" t="s">
        <v>266</v>
      </c>
      <c r="D143" s="228">
        <v>75</v>
      </c>
      <c r="E143" s="231">
        <v>25880.6</v>
      </c>
      <c r="F143" s="231">
        <v>25897.8</v>
      </c>
      <c r="G143" s="228">
        <v>-17.2</v>
      </c>
      <c r="H143" s="229">
        <v>-6.9999999999999999E-4</v>
      </c>
      <c r="I143" s="231">
        <v>25815.55</v>
      </c>
      <c r="J143" s="231">
        <v>25818.55</v>
      </c>
      <c r="K143" s="228">
        <v>-3</v>
      </c>
      <c r="L143" s="229">
        <v>-1E-4</v>
      </c>
      <c r="M143" s="231">
        <v>25880.6</v>
      </c>
      <c r="N143" s="231">
        <v>25897.8</v>
      </c>
      <c r="O143" s="228">
        <v>-17.2</v>
      </c>
      <c r="P143" s="229">
        <v>-6.9999999999999999E-4</v>
      </c>
      <c r="Q143" s="231">
        <v>26049.1</v>
      </c>
      <c r="R143" s="231">
        <v>26061.8</v>
      </c>
      <c r="S143" s="228">
        <v>-12.7</v>
      </c>
      <c r="T143" s="229">
        <v>-5.0000000000000001E-4</v>
      </c>
      <c r="U143" s="231">
        <v>26196.2</v>
      </c>
      <c r="V143" s="231">
        <v>26212.400000000001</v>
      </c>
      <c r="W143" s="228">
        <v>-16.2</v>
      </c>
      <c r="X143" s="229">
        <v>-5.9999999999999995E-4</v>
      </c>
      <c r="Y143" s="228">
        <v>65.05</v>
      </c>
      <c r="Z143" s="228">
        <v>79.25</v>
      </c>
      <c r="AA143" s="228">
        <v>-14.2</v>
      </c>
      <c r="AB143" s="229">
        <v>2.5000000000000001E-3</v>
      </c>
      <c r="AC143" s="228">
        <v>65.05</v>
      </c>
      <c r="AD143" s="228">
        <v>79.25</v>
      </c>
      <c r="AE143" s="228">
        <v>-14.2</v>
      </c>
      <c r="AF143" s="229">
        <v>2.5000000000000001E-3</v>
      </c>
      <c r="AG143" s="228">
        <v>233.55</v>
      </c>
      <c r="AH143" s="228">
        <v>243.25</v>
      </c>
      <c r="AI143" s="228">
        <v>-9.6999999999999993</v>
      </c>
      <c r="AJ143" s="229">
        <v>8.9999999999999993E-3</v>
      </c>
      <c r="AK143" s="228">
        <v>380.65</v>
      </c>
      <c r="AL143" s="228">
        <v>393.85</v>
      </c>
      <c r="AM143" s="228">
        <v>-13.2</v>
      </c>
      <c r="AN143" s="229">
        <v>1.47E-2</v>
      </c>
      <c r="AO143" s="231">
        <v>25901.18</v>
      </c>
      <c r="AP143" s="231">
        <v>26060.27</v>
      </c>
      <c r="AQ143" s="228">
        <v>0</v>
      </c>
      <c r="AR143" s="230">
        <v>5736825</v>
      </c>
      <c r="AS143" s="230">
        <v>4114275</v>
      </c>
      <c r="AT143" s="230">
        <v>1622550</v>
      </c>
      <c r="AU143" s="229">
        <v>0.39439999999999997</v>
      </c>
      <c r="AV143" s="230">
        <v>5114175</v>
      </c>
      <c r="AW143" s="230">
        <v>3609300</v>
      </c>
      <c r="AX143" s="230">
        <v>1504875</v>
      </c>
      <c r="AY143" s="229">
        <v>0.41689999999999999</v>
      </c>
      <c r="AZ143" s="230">
        <v>451875</v>
      </c>
      <c r="BA143" s="230">
        <v>381225</v>
      </c>
      <c r="BB143" s="230">
        <v>70650</v>
      </c>
      <c r="BC143" s="229">
        <v>0.18529999999999999</v>
      </c>
      <c r="BD143" s="230">
        <v>170775</v>
      </c>
      <c r="BE143" s="230">
        <v>123750</v>
      </c>
      <c r="BF143" s="230">
        <v>47025</v>
      </c>
      <c r="BG143" s="229">
        <v>0.38</v>
      </c>
      <c r="BH143" s="230">
        <v>2190209025</v>
      </c>
      <c r="BI143" s="230">
        <v>1784614800</v>
      </c>
      <c r="BJ143" s="230">
        <v>405594225</v>
      </c>
      <c r="BK143" s="229">
        <v>0.2273</v>
      </c>
      <c r="BL143" s="230">
        <v>1996915350</v>
      </c>
      <c r="BM143" s="230">
        <v>1754993550</v>
      </c>
      <c r="BN143" s="230">
        <v>241921800</v>
      </c>
      <c r="BO143" s="229">
        <v>0.13780000000000001</v>
      </c>
      <c r="BP143" s="230">
        <v>4192861200</v>
      </c>
      <c r="BQ143" s="230">
        <v>3543722625</v>
      </c>
      <c r="BR143" s="230">
        <v>649138575</v>
      </c>
      <c r="BS143" s="229">
        <v>0.1832</v>
      </c>
      <c r="BT143" s="228">
        <v>0</v>
      </c>
      <c r="BU143" s="228">
        <v>0</v>
      </c>
      <c r="BV143" s="228">
        <v>0</v>
      </c>
      <c r="BW143" s="229">
        <v>0</v>
      </c>
      <c r="BX143" s="230">
        <v>18298915</v>
      </c>
      <c r="BY143" s="230">
        <v>18569085</v>
      </c>
      <c r="BZ143" s="230">
        <v>-270170</v>
      </c>
      <c r="CA143" s="229">
        <v>-1.4500000000000001E-2</v>
      </c>
      <c r="CB143" s="230">
        <v>16043025</v>
      </c>
      <c r="CC143" s="230">
        <v>16414725</v>
      </c>
      <c r="CD143" s="230">
        <v>-371700</v>
      </c>
      <c r="CE143" s="229">
        <v>-2.2599999999999999E-2</v>
      </c>
      <c r="CF143" s="230">
        <v>1644240</v>
      </c>
      <c r="CG143" s="230">
        <v>1585935</v>
      </c>
      <c r="CH143" s="230">
        <v>58305</v>
      </c>
      <c r="CI143" s="229">
        <v>3.6799999999999999E-2</v>
      </c>
      <c r="CJ143" s="230">
        <v>611650</v>
      </c>
      <c r="CK143" s="230">
        <v>568425</v>
      </c>
      <c r="CL143" s="230">
        <v>43225</v>
      </c>
      <c r="CM143" s="229">
        <v>7.5999999999999998E-2</v>
      </c>
      <c r="CN143" s="230">
        <v>255442560</v>
      </c>
      <c r="CO143" s="230">
        <v>245713765</v>
      </c>
      <c r="CP143" s="230">
        <v>9728795</v>
      </c>
      <c r="CQ143" s="229">
        <v>3.9600000000000003E-2</v>
      </c>
      <c r="CR143" s="230">
        <v>212366530</v>
      </c>
      <c r="CS143" s="230">
        <v>188770280</v>
      </c>
      <c r="CT143" s="230">
        <v>23596250</v>
      </c>
      <c r="CU143" s="229">
        <v>0.125</v>
      </c>
      <c r="CV143" s="230">
        <v>486108005</v>
      </c>
      <c r="CW143" s="230">
        <v>453053130</v>
      </c>
      <c r="CX143" s="230">
        <v>33054875</v>
      </c>
      <c r="CY143" s="229">
        <v>7.2999999999999995E-2</v>
      </c>
      <c r="CZ143" s="228">
        <v>9.4</v>
      </c>
      <c r="DA143" s="228">
        <v>9.8000000000000007</v>
      </c>
      <c r="DB143" s="228">
        <v>-0.4</v>
      </c>
      <c r="DC143" s="228">
        <v>-0.4</v>
      </c>
      <c r="DD143" s="228">
        <v>14.1</v>
      </c>
      <c r="DE143" s="228">
        <v>14.13</v>
      </c>
      <c r="DF143" s="228">
        <v>-4.7</v>
      </c>
      <c r="DG143" s="228">
        <v>-0.03</v>
      </c>
      <c r="DH143" s="228">
        <v>9.1199999999999992</v>
      </c>
      <c r="DI143" s="228">
        <v>9.86</v>
      </c>
      <c r="DJ143" s="228">
        <v>-0.74</v>
      </c>
      <c r="DK143" s="228">
        <v>-0.74</v>
      </c>
      <c r="DL143" s="228">
        <v>9.73</v>
      </c>
      <c r="DM143" s="228">
        <v>9.74</v>
      </c>
      <c r="DN143" s="228">
        <v>-0.01</v>
      </c>
      <c r="DO143" s="228">
        <v>-0.01</v>
      </c>
      <c r="DP143" s="228">
        <v>0.83</v>
      </c>
      <c r="DQ143" s="228">
        <v>0.77</v>
      </c>
      <c r="DR143" s="228">
        <v>0.06</v>
      </c>
      <c r="DS143" s="229">
        <v>7.7899999999999997E-2</v>
      </c>
      <c r="DT143" s="231">
        <v>26000</v>
      </c>
      <c r="DU143" s="231">
        <v>25500</v>
      </c>
      <c r="DV143" s="228">
        <v>0.91</v>
      </c>
      <c r="DW143" s="228">
        <v>0.98</v>
      </c>
      <c r="DX143" s="228">
        <v>-7.0000000000000007E-2</v>
      </c>
      <c r="DY143" s="229">
        <v>-7.1400000000000005E-2</v>
      </c>
      <c r="DZ143" s="229">
        <v>0.12330000000000001</v>
      </c>
      <c r="EA143" s="230">
        <v>2154360</v>
      </c>
      <c r="EB143" s="229">
        <v>6.4999999999999997E-3</v>
      </c>
      <c r="EC143" s="229">
        <v>0.12330000000000001</v>
      </c>
      <c r="ED143" s="228">
        <v>159.09</v>
      </c>
      <c r="EE143" s="229">
        <v>6.1000000000000004E-3</v>
      </c>
      <c r="EF143" s="228">
        <v>0</v>
      </c>
      <c r="EG143" s="228">
        <v>0</v>
      </c>
      <c r="EH143" s="229">
        <v>0</v>
      </c>
      <c r="EI143" s="229">
        <v>0</v>
      </c>
      <c r="EJ143" s="231">
        <v>573813974.32000005</v>
      </c>
      <c r="EK143" s="231">
        <v>511242703.04000002</v>
      </c>
      <c r="EL143" s="231">
        <v>1465474.78</v>
      </c>
      <c r="EM143" s="231">
        <v>69454</v>
      </c>
      <c r="EN143" s="231">
        <v>1086522152.1400001</v>
      </c>
      <c r="EO143" s="231">
        <v>919974031.59000003</v>
      </c>
      <c r="EP143" s="231">
        <v>166548120.55000001</v>
      </c>
      <c r="EQ143" s="229">
        <v>0.18099999999999999</v>
      </c>
      <c r="ER143" s="231">
        <v>67662611</v>
      </c>
      <c r="ES143" s="231">
        <v>53518861</v>
      </c>
      <c r="ET143" s="231">
        <v>4740570</v>
      </c>
      <c r="EU143" s="228">
        <v>0</v>
      </c>
      <c r="EV143" s="231">
        <v>125922042</v>
      </c>
      <c r="EW143" s="231">
        <v>117554949</v>
      </c>
      <c r="EX143" s="231">
        <v>8367093</v>
      </c>
      <c r="EY143" s="229">
        <v>7.1199999999999999E-2</v>
      </c>
      <c r="EZ143" s="229">
        <v>0</v>
      </c>
      <c r="FA143" s="227" t="s">
        <v>568</v>
      </c>
      <c r="FB143" s="161">
        <f t="shared" si="3"/>
        <v>0</v>
      </c>
    </row>
    <row r="144" spans="1:158" ht="17.25" hidden="1" thickBot="1" x14ac:dyDescent="0.3">
      <c r="A144" s="226">
        <v>46009</v>
      </c>
      <c r="B144" s="227" t="s">
        <v>181</v>
      </c>
      <c r="C144" s="227" t="s">
        <v>566</v>
      </c>
      <c r="D144" s="228">
        <v>25</v>
      </c>
      <c r="E144" s="231">
        <v>67881</v>
      </c>
      <c r="F144" s="231">
        <v>68220</v>
      </c>
      <c r="G144" s="228">
        <v>-339</v>
      </c>
      <c r="H144" s="229">
        <v>-5.0000000000000001E-3</v>
      </c>
      <c r="I144" s="231">
        <v>67830.25</v>
      </c>
      <c r="J144" s="231">
        <v>68076.850000000006</v>
      </c>
      <c r="K144" s="228">
        <v>-246.6</v>
      </c>
      <c r="L144" s="229">
        <v>-3.5999999999999999E-3</v>
      </c>
      <c r="M144" s="231">
        <v>67881</v>
      </c>
      <c r="N144" s="231">
        <v>68220</v>
      </c>
      <c r="O144" s="228">
        <v>-339</v>
      </c>
      <c r="P144" s="229">
        <v>-5.0000000000000001E-3</v>
      </c>
      <c r="Q144" s="231">
        <v>68327</v>
      </c>
      <c r="R144" s="231">
        <v>68597</v>
      </c>
      <c r="S144" s="228">
        <v>-270</v>
      </c>
      <c r="T144" s="229">
        <v>-3.8999999999999998E-3</v>
      </c>
      <c r="U144" s="228">
        <v>0</v>
      </c>
      <c r="V144" s="228">
        <v>0</v>
      </c>
      <c r="W144" s="228">
        <v>0</v>
      </c>
      <c r="X144" s="229">
        <v>0</v>
      </c>
      <c r="Y144" s="228">
        <v>50.75</v>
      </c>
      <c r="Z144" s="228">
        <v>143.15</v>
      </c>
      <c r="AA144" s="228">
        <v>-92.4</v>
      </c>
      <c r="AB144" s="229">
        <v>6.9999999999999999E-4</v>
      </c>
      <c r="AC144" s="228">
        <v>50.75</v>
      </c>
      <c r="AD144" s="228">
        <v>143.15</v>
      </c>
      <c r="AE144" s="228">
        <v>-92.4</v>
      </c>
      <c r="AF144" s="229">
        <v>6.9999999999999999E-4</v>
      </c>
      <c r="AG144" s="228">
        <v>496.75</v>
      </c>
      <c r="AH144" s="228">
        <v>520.15</v>
      </c>
      <c r="AI144" s="228">
        <v>-23.4</v>
      </c>
      <c r="AJ144" s="229">
        <v>7.3000000000000001E-3</v>
      </c>
      <c r="AK144" s="228">
        <v>0</v>
      </c>
      <c r="AL144" s="228">
        <v>0</v>
      </c>
      <c r="AM144" s="228">
        <v>0</v>
      </c>
      <c r="AN144" s="229">
        <v>0</v>
      </c>
      <c r="AO144" s="231">
        <v>67798.5</v>
      </c>
      <c r="AP144" s="231">
        <v>68165.16</v>
      </c>
      <c r="AQ144" s="228">
        <v>0</v>
      </c>
      <c r="AR144" s="230">
        <v>12750</v>
      </c>
      <c r="AS144" s="230">
        <v>5550</v>
      </c>
      <c r="AT144" s="230">
        <v>7200</v>
      </c>
      <c r="AU144" s="229">
        <v>1.2972999999999999</v>
      </c>
      <c r="AV144" s="230">
        <v>11975</v>
      </c>
      <c r="AW144" s="230">
        <v>4625</v>
      </c>
      <c r="AX144" s="230">
        <v>7350</v>
      </c>
      <c r="AY144" s="229">
        <v>1.5891999999999999</v>
      </c>
      <c r="AZ144" s="228">
        <v>775</v>
      </c>
      <c r="BA144" s="228">
        <v>925</v>
      </c>
      <c r="BB144" s="228">
        <v>-150</v>
      </c>
      <c r="BC144" s="229">
        <v>-0.16220000000000001</v>
      </c>
      <c r="BD144" s="228">
        <v>0</v>
      </c>
      <c r="BE144" s="228">
        <v>0</v>
      </c>
      <c r="BF144" s="228">
        <v>0</v>
      </c>
      <c r="BG144" s="229">
        <v>0</v>
      </c>
      <c r="BH144" s="230">
        <v>15500</v>
      </c>
      <c r="BI144" s="230">
        <v>9000</v>
      </c>
      <c r="BJ144" s="230">
        <v>6500</v>
      </c>
      <c r="BK144" s="229">
        <v>0.72219999999999995</v>
      </c>
      <c r="BL144" s="230">
        <v>10875</v>
      </c>
      <c r="BM144" s="230">
        <v>12225</v>
      </c>
      <c r="BN144" s="230">
        <v>-1350</v>
      </c>
      <c r="BO144" s="229">
        <v>-0.1104</v>
      </c>
      <c r="BP144" s="230">
        <v>39125</v>
      </c>
      <c r="BQ144" s="230">
        <v>26775</v>
      </c>
      <c r="BR144" s="230">
        <v>12350</v>
      </c>
      <c r="BS144" s="229">
        <v>0.46129999999999999</v>
      </c>
      <c r="BT144" s="228">
        <v>0</v>
      </c>
      <c r="BU144" s="228">
        <v>0</v>
      </c>
      <c r="BV144" s="228">
        <v>0</v>
      </c>
      <c r="BW144" s="229">
        <v>0</v>
      </c>
      <c r="BX144" s="230">
        <v>31425</v>
      </c>
      <c r="BY144" s="230">
        <v>29600</v>
      </c>
      <c r="BZ144" s="230">
        <v>1825</v>
      </c>
      <c r="CA144" s="229">
        <v>6.1699999999999998E-2</v>
      </c>
      <c r="CB144" s="230">
        <v>27600</v>
      </c>
      <c r="CC144" s="230">
        <v>26250</v>
      </c>
      <c r="CD144" s="230">
        <v>1350</v>
      </c>
      <c r="CE144" s="229">
        <v>5.1400000000000001E-2</v>
      </c>
      <c r="CF144" s="230">
        <v>3825</v>
      </c>
      <c r="CG144" s="230">
        <v>3350</v>
      </c>
      <c r="CH144" s="228">
        <v>475</v>
      </c>
      <c r="CI144" s="229">
        <v>0.14180000000000001</v>
      </c>
      <c r="CJ144" s="228">
        <v>0</v>
      </c>
      <c r="CK144" s="228">
        <v>0</v>
      </c>
      <c r="CL144" s="228">
        <v>0</v>
      </c>
      <c r="CM144" s="229">
        <v>0</v>
      </c>
      <c r="CN144" s="230">
        <v>18175</v>
      </c>
      <c r="CO144" s="230">
        <v>16150</v>
      </c>
      <c r="CP144" s="230">
        <v>2025</v>
      </c>
      <c r="CQ144" s="229">
        <v>0.12540000000000001</v>
      </c>
      <c r="CR144" s="230">
        <v>15275</v>
      </c>
      <c r="CS144" s="230">
        <v>14950</v>
      </c>
      <c r="CT144" s="228">
        <v>325</v>
      </c>
      <c r="CU144" s="229">
        <v>2.1700000000000001E-2</v>
      </c>
      <c r="CV144" s="230">
        <v>64875</v>
      </c>
      <c r="CW144" s="230">
        <v>60700</v>
      </c>
      <c r="CX144" s="230">
        <v>4175</v>
      </c>
      <c r="CY144" s="229">
        <v>6.88E-2</v>
      </c>
      <c r="CZ144" s="228">
        <v>13.51</v>
      </c>
      <c r="DA144" s="228">
        <v>14.41</v>
      </c>
      <c r="DB144" s="228">
        <v>-0.9</v>
      </c>
      <c r="DC144" s="228">
        <v>-0.9</v>
      </c>
      <c r="DD144" s="228">
        <v>19.899999999999999</v>
      </c>
      <c r="DE144" s="228">
        <v>19.940000000000001</v>
      </c>
      <c r="DF144" s="228">
        <v>-6.39</v>
      </c>
      <c r="DG144" s="228">
        <v>-0.04</v>
      </c>
      <c r="DH144" s="228">
        <v>13.35</v>
      </c>
      <c r="DI144" s="228">
        <v>13.51</v>
      </c>
      <c r="DJ144" s="228">
        <v>-0.16</v>
      </c>
      <c r="DK144" s="228">
        <v>-0.16</v>
      </c>
      <c r="DL144" s="228">
        <v>13.75</v>
      </c>
      <c r="DM144" s="228">
        <v>15.06</v>
      </c>
      <c r="DN144" s="228">
        <v>-1.31</v>
      </c>
      <c r="DO144" s="228">
        <v>-1.31</v>
      </c>
      <c r="DP144" s="228">
        <v>0.84</v>
      </c>
      <c r="DQ144" s="228">
        <v>0.93</v>
      </c>
      <c r="DR144" s="228">
        <v>-0.09</v>
      </c>
      <c r="DS144" s="229">
        <v>-9.6799999999999997E-2</v>
      </c>
      <c r="DT144" s="231">
        <v>70500</v>
      </c>
      <c r="DU144" s="231">
        <v>66000</v>
      </c>
      <c r="DV144" s="228">
        <v>0.7</v>
      </c>
      <c r="DW144" s="228">
        <v>1.36</v>
      </c>
      <c r="DX144" s="228">
        <v>-0.66</v>
      </c>
      <c r="DY144" s="229">
        <v>-0.48530000000000001</v>
      </c>
      <c r="DZ144" s="229">
        <v>0.1217</v>
      </c>
      <c r="EA144" s="230">
        <v>3350</v>
      </c>
      <c r="EB144" s="229">
        <v>6.6E-3</v>
      </c>
      <c r="EC144" s="229">
        <v>0.1217</v>
      </c>
      <c r="ED144" s="228">
        <v>366.66</v>
      </c>
      <c r="EE144" s="229">
        <v>5.4000000000000003E-3</v>
      </c>
      <c r="EF144" s="228">
        <v>0</v>
      </c>
      <c r="EG144" s="228">
        <v>0</v>
      </c>
      <c r="EH144" s="229">
        <v>0</v>
      </c>
      <c r="EI144" s="229">
        <v>0</v>
      </c>
      <c r="EJ144" s="231">
        <v>10714.46</v>
      </c>
      <c r="EK144" s="231">
        <v>7368.2</v>
      </c>
      <c r="EL144" s="231">
        <v>8647.15</v>
      </c>
      <c r="EM144" s="228">
        <v>0</v>
      </c>
      <c r="EN144" s="231">
        <v>26729.81</v>
      </c>
      <c r="EO144" s="231">
        <v>18376.740000000002</v>
      </c>
      <c r="EP144" s="231">
        <v>8353.07</v>
      </c>
      <c r="EQ144" s="229">
        <v>0.45450000000000002</v>
      </c>
      <c r="ER144" s="231">
        <v>12562</v>
      </c>
      <c r="ES144" s="231">
        <v>10216</v>
      </c>
      <c r="ET144" s="231">
        <v>21349</v>
      </c>
      <c r="EU144" s="228">
        <v>0</v>
      </c>
      <c r="EV144" s="231">
        <v>44127</v>
      </c>
      <c r="EW144" s="231">
        <v>41408</v>
      </c>
      <c r="EX144" s="231">
        <v>2719</v>
      </c>
      <c r="EY144" s="229">
        <v>6.5699999999999995E-2</v>
      </c>
      <c r="EZ144" s="229">
        <v>0</v>
      </c>
      <c r="FA144" s="227" t="s">
        <v>567</v>
      </c>
      <c r="FB144" s="161">
        <f t="shared" si="3"/>
        <v>0</v>
      </c>
    </row>
    <row r="145" spans="1:158" ht="17.25" hidden="1" thickBot="1" x14ac:dyDescent="0.3">
      <c r="A145" s="226">
        <v>46009</v>
      </c>
      <c r="B145" s="227" t="s">
        <v>227</v>
      </c>
      <c r="C145" s="227" t="s">
        <v>267</v>
      </c>
      <c r="D145" s="228">
        <v>6750</v>
      </c>
      <c r="E145" s="228">
        <v>76.72</v>
      </c>
      <c r="F145" s="228">
        <v>77.349999999999994</v>
      </c>
      <c r="G145" s="228">
        <v>-0.63</v>
      </c>
      <c r="H145" s="229">
        <v>-8.0999999999999996E-3</v>
      </c>
      <c r="I145" s="228">
        <v>76.510000000000005</v>
      </c>
      <c r="J145" s="228">
        <v>77.28</v>
      </c>
      <c r="K145" s="228">
        <v>-0.77</v>
      </c>
      <c r="L145" s="229">
        <v>-0.01</v>
      </c>
      <c r="M145" s="228">
        <v>76.72</v>
      </c>
      <c r="N145" s="228">
        <v>77.349999999999994</v>
      </c>
      <c r="O145" s="228">
        <v>-0.63</v>
      </c>
      <c r="P145" s="229">
        <v>-8.0999999999999996E-3</v>
      </c>
      <c r="Q145" s="228">
        <v>77.12</v>
      </c>
      <c r="R145" s="228">
        <v>77.66</v>
      </c>
      <c r="S145" s="228">
        <v>-0.54</v>
      </c>
      <c r="T145" s="229">
        <v>-7.0000000000000001E-3</v>
      </c>
      <c r="U145" s="228">
        <v>77.38</v>
      </c>
      <c r="V145" s="228">
        <v>78.06</v>
      </c>
      <c r="W145" s="228">
        <v>-0.68</v>
      </c>
      <c r="X145" s="229">
        <v>-8.6999999999999994E-3</v>
      </c>
      <c r="Y145" s="228">
        <v>0.21</v>
      </c>
      <c r="Z145" s="228">
        <v>7.0000000000000007E-2</v>
      </c>
      <c r="AA145" s="228">
        <v>0.14000000000000001</v>
      </c>
      <c r="AB145" s="229">
        <v>2.7000000000000001E-3</v>
      </c>
      <c r="AC145" s="228">
        <v>0.21</v>
      </c>
      <c r="AD145" s="228">
        <v>7.0000000000000007E-2</v>
      </c>
      <c r="AE145" s="228">
        <v>0.14000000000000001</v>
      </c>
      <c r="AF145" s="229">
        <v>2.7000000000000001E-3</v>
      </c>
      <c r="AG145" s="228">
        <v>0.61</v>
      </c>
      <c r="AH145" s="228">
        <v>0.38</v>
      </c>
      <c r="AI145" s="228">
        <v>0.23</v>
      </c>
      <c r="AJ145" s="229">
        <v>8.0000000000000002E-3</v>
      </c>
      <c r="AK145" s="228">
        <v>0.87</v>
      </c>
      <c r="AL145" s="228">
        <v>0.78</v>
      </c>
      <c r="AM145" s="228">
        <v>0.09</v>
      </c>
      <c r="AN145" s="229">
        <v>1.14E-2</v>
      </c>
      <c r="AO145" s="228">
        <v>77.099999999999994</v>
      </c>
      <c r="AP145" s="228">
        <v>77.44</v>
      </c>
      <c r="AQ145" s="228">
        <v>0</v>
      </c>
      <c r="AR145" s="230">
        <v>27060750</v>
      </c>
      <c r="AS145" s="230">
        <v>28930500</v>
      </c>
      <c r="AT145" s="230">
        <v>-1869750</v>
      </c>
      <c r="AU145" s="229">
        <v>-6.4600000000000005E-2</v>
      </c>
      <c r="AV145" s="230">
        <v>20506500</v>
      </c>
      <c r="AW145" s="230">
        <v>22227750</v>
      </c>
      <c r="AX145" s="230">
        <v>-1721250</v>
      </c>
      <c r="AY145" s="229">
        <v>-7.7399999999999997E-2</v>
      </c>
      <c r="AZ145" s="230">
        <v>6108750</v>
      </c>
      <c r="BA145" s="230">
        <v>6102000</v>
      </c>
      <c r="BB145" s="230">
        <v>6750</v>
      </c>
      <c r="BC145" s="229">
        <v>1.1000000000000001E-3</v>
      </c>
      <c r="BD145" s="230">
        <v>445500</v>
      </c>
      <c r="BE145" s="230">
        <v>600750</v>
      </c>
      <c r="BF145" s="230">
        <v>-155250</v>
      </c>
      <c r="BG145" s="229">
        <v>-0.25840000000000002</v>
      </c>
      <c r="BH145" s="230">
        <v>48404250</v>
      </c>
      <c r="BI145" s="230">
        <v>70895250</v>
      </c>
      <c r="BJ145" s="230">
        <v>-22491000</v>
      </c>
      <c r="BK145" s="229">
        <v>-0.31719999999999998</v>
      </c>
      <c r="BL145" s="230">
        <v>25947000</v>
      </c>
      <c r="BM145" s="230">
        <v>22862250</v>
      </c>
      <c r="BN145" s="230">
        <v>3084750</v>
      </c>
      <c r="BO145" s="229">
        <v>0.13489999999999999</v>
      </c>
      <c r="BP145" s="230">
        <v>101412000</v>
      </c>
      <c r="BQ145" s="230">
        <v>122688000</v>
      </c>
      <c r="BR145" s="230">
        <v>-21276000</v>
      </c>
      <c r="BS145" s="229">
        <v>-0.1734</v>
      </c>
      <c r="BT145" s="230">
        <v>9357110</v>
      </c>
      <c r="BU145" s="230">
        <v>8935807</v>
      </c>
      <c r="BV145" s="230">
        <v>421303</v>
      </c>
      <c r="BW145" s="229">
        <v>4.7100000000000003E-2</v>
      </c>
      <c r="BX145" s="230">
        <v>340206750</v>
      </c>
      <c r="BY145" s="230">
        <v>338917500</v>
      </c>
      <c r="BZ145" s="230">
        <v>1289250</v>
      </c>
      <c r="CA145" s="229">
        <v>3.8E-3</v>
      </c>
      <c r="CB145" s="230">
        <v>321691500</v>
      </c>
      <c r="CC145" s="230">
        <v>322515000</v>
      </c>
      <c r="CD145" s="230">
        <v>-823500</v>
      </c>
      <c r="CE145" s="229">
        <v>-2.5999999999999999E-3</v>
      </c>
      <c r="CF145" s="230">
        <v>16969500</v>
      </c>
      <c r="CG145" s="230">
        <v>14897250</v>
      </c>
      <c r="CH145" s="230">
        <v>2072250</v>
      </c>
      <c r="CI145" s="229">
        <v>0.1391</v>
      </c>
      <c r="CJ145" s="230">
        <v>1545750</v>
      </c>
      <c r="CK145" s="230">
        <v>1505250</v>
      </c>
      <c r="CL145" s="230">
        <v>40500</v>
      </c>
      <c r="CM145" s="229">
        <v>2.69E-2</v>
      </c>
      <c r="CN145" s="230">
        <v>106373250</v>
      </c>
      <c r="CO145" s="230">
        <v>106582500</v>
      </c>
      <c r="CP145" s="230">
        <v>-209250</v>
      </c>
      <c r="CQ145" s="229">
        <v>-2E-3</v>
      </c>
      <c r="CR145" s="230">
        <v>72657000</v>
      </c>
      <c r="CS145" s="230">
        <v>72380250</v>
      </c>
      <c r="CT145" s="230">
        <v>276750</v>
      </c>
      <c r="CU145" s="229">
        <v>3.8E-3</v>
      </c>
      <c r="CV145" s="230">
        <v>519237000</v>
      </c>
      <c r="CW145" s="230">
        <v>517880250</v>
      </c>
      <c r="CX145" s="230">
        <v>1356750</v>
      </c>
      <c r="CY145" s="229">
        <v>2.5999999999999999E-3</v>
      </c>
      <c r="CZ145" s="228">
        <v>23.41</v>
      </c>
      <c r="DA145" s="228">
        <v>23.65</v>
      </c>
      <c r="DB145" s="228">
        <v>-0.24</v>
      </c>
      <c r="DC145" s="228">
        <v>-0.24</v>
      </c>
      <c r="DD145" s="228">
        <v>37.15</v>
      </c>
      <c r="DE145" s="228">
        <v>37.229999999999997</v>
      </c>
      <c r="DF145" s="228">
        <v>-13.74</v>
      </c>
      <c r="DG145" s="228">
        <v>-0.08</v>
      </c>
      <c r="DH145" s="228">
        <v>23.52</v>
      </c>
      <c r="DI145" s="228">
        <v>23.55</v>
      </c>
      <c r="DJ145" s="228">
        <v>-0.03</v>
      </c>
      <c r="DK145" s="228">
        <v>-0.03</v>
      </c>
      <c r="DL145" s="228">
        <v>23.2</v>
      </c>
      <c r="DM145" s="228">
        <v>23.98</v>
      </c>
      <c r="DN145" s="228">
        <v>-0.78</v>
      </c>
      <c r="DO145" s="228">
        <v>-0.78</v>
      </c>
      <c r="DP145" s="228">
        <v>0.68</v>
      </c>
      <c r="DQ145" s="228">
        <v>0.68</v>
      </c>
      <c r="DR145" s="228">
        <v>0</v>
      </c>
      <c r="DS145" s="229">
        <v>0</v>
      </c>
      <c r="DT145" s="228">
        <v>80</v>
      </c>
      <c r="DU145" s="228">
        <v>85</v>
      </c>
      <c r="DV145" s="228">
        <v>0.54</v>
      </c>
      <c r="DW145" s="228">
        <v>0.32</v>
      </c>
      <c r="DX145" s="228">
        <v>0.22</v>
      </c>
      <c r="DY145" s="229">
        <v>0.6875</v>
      </c>
      <c r="DZ145" s="229">
        <v>5.4399999999999997E-2</v>
      </c>
      <c r="EA145" s="230">
        <v>16402500</v>
      </c>
      <c r="EB145" s="229">
        <v>5.1999999999999998E-3</v>
      </c>
      <c r="EC145" s="229">
        <v>5.4399999999999997E-2</v>
      </c>
      <c r="ED145" s="228">
        <v>0.34</v>
      </c>
      <c r="EE145" s="229">
        <v>4.4000000000000003E-3</v>
      </c>
      <c r="EF145" s="230">
        <v>4295202</v>
      </c>
      <c r="EG145" s="230">
        <v>3938182</v>
      </c>
      <c r="EH145" s="229">
        <v>9.0700000000000003E-2</v>
      </c>
      <c r="EI145" s="229">
        <v>0.45900000000000002</v>
      </c>
      <c r="EJ145" s="231">
        <v>38702.78</v>
      </c>
      <c r="EK145" s="231">
        <v>19734.54</v>
      </c>
      <c r="EL145" s="231">
        <v>20888.439999999999</v>
      </c>
      <c r="EM145" s="231">
        <v>5020</v>
      </c>
      <c r="EN145" s="231">
        <v>79325.759999999995</v>
      </c>
      <c r="EO145" s="231">
        <v>96547.72</v>
      </c>
      <c r="EP145" s="231">
        <v>-17221.96</v>
      </c>
      <c r="EQ145" s="229">
        <v>-0.1784</v>
      </c>
      <c r="ER145" s="231">
        <v>84475</v>
      </c>
      <c r="ES145" s="231">
        <v>53921</v>
      </c>
      <c r="ET145" s="231">
        <v>261085</v>
      </c>
      <c r="EU145" s="231">
        <v>517037525</v>
      </c>
      <c r="EV145" s="231">
        <v>399480</v>
      </c>
      <c r="EW145" s="231">
        <v>400592</v>
      </c>
      <c r="EX145" s="231">
        <v>-1112</v>
      </c>
      <c r="EY145" s="229">
        <v>-2.8E-3</v>
      </c>
      <c r="EZ145" s="229">
        <v>1.0043</v>
      </c>
      <c r="FA145" s="227" t="s">
        <v>567</v>
      </c>
      <c r="FB145" s="161">
        <f t="shared" si="3"/>
        <v>0</v>
      </c>
    </row>
    <row r="146" spans="1:158" ht="17.25" hidden="1" thickBot="1" x14ac:dyDescent="0.3">
      <c r="A146" s="226">
        <v>46009</v>
      </c>
      <c r="B146" s="227" t="s">
        <v>161</v>
      </c>
      <c r="C146" s="227" t="s">
        <v>268</v>
      </c>
      <c r="D146" s="228">
        <v>1500</v>
      </c>
      <c r="E146" s="228">
        <v>319.10000000000002</v>
      </c>
      <c r="F146" s="228">
        <v>321.5</v>
      </c>
      <c r="G146" s="228">
        <v>-2.4</v>
      </c>
      <c r="H146" s="229">
        <v>-7.4999999999999997E-3</v>
      </c>
      <c r="I146" s="228">
        <v>318.5</v>
      </c>
      <c r="J146" s="228">
        <v>321.25</v>
      </c>
      <c r="K146" s="228">
        <v>-2.75</v>
      </c>
      <c r="L146" s="229">
        <v>-8.6E-3</v>
      </c>
      <c r="M146" s="228">
        <v>319.10000000000002</v>
      </c>
      <c r="N146" s="228">
        <v>321.5</v>
      </c>
      <c r="O146" s="228">
        <v>-2.4</v>
      </c>
      <c r="P146" s="229">
        <v>-7.4999999999999997E-3</v>
      </c>
      <c r="Q146" s="228">
        <v>321.10000000000002</v>
      </c>
      <c r="R146" s="228">
        <v>323.5</v>
      </c>
      <c r="S146" s="228">
        <v>-2.4</v>
      </c>
      <c r="T146" s="229">
        <v>-7.4000000000000003E-3</v>
      </c>
      <c r="U146" s="228">
        <v>320.75</v>
      </c>
      <c r="V146" s="228">
        <v>323</v>
      </c>
      <c r="W146" s="228">
        <v>-2.25</v>
      </c>
      <c r="X146" s="229">
        <v>-7.0000000000000001E-3</v>
      </c>
      <c r="Y146" s="228">
        <v>0.6</v>
      </c>
      <c r="Z146" s="228">
        <v>0.25</v>
      </c>
      <c r="AA146" s="228">
        <v>0.35</v>
      </c>
      <c r="AB146" s="229">
        <v>1.9E-3</v>
      </c>
      <c r="AC146" s="228">
        <v>0.6</v>
      </c>
      <c r="AD146" s="228">
        <v>0.25</v>
      </c>
      <c r="AE146" s="228">
        <v>0.35</v>
      </c>
      <c r="AF146" s="229">
        <v>1.9E-3</v>
      </c>
      <c r="AG146" s="228">
        <v>2.6</v>
      </c>
      <c r="AH146" s="228">
        <v>2.25</v>
      </c>
      <c r="AI146" s="228">
        <v>0.35</v>
      </c>
      <c r="AJ146" s="229">
        <v>8.2000000000000007E-3</v>
      </c>
      <c r="AK146" s="228">
        <v>2.25</v>
      </c>
      <c r="AL146" s="228">
        <v>1.75</v>
      </c>
      <c r="AM146" s="228">
        <v>0.5</v>
      </c>
      <c r="AN146" s="229">
        <v>7.1000000000000004E-3</v>
      </c>
      <c r="AO146" s="228">
        <v>318.97000000000003</v>
      </c>
      <c r="AP146" s="228">
        <v>320.88</v>
      </c>
      <c r="AQ146" s="228">
        <v>0</v>
      </c>
      <c r="AR146" s="230">
        <v>9940500</v>
      </c>
      <c r="AS146" s="230">
        <v>5532000</v>
      </c>
      <c r="AT146" s="230">
        <v>4408500</v>
      </c>
      <c r="AU146" s="229">
        <v>0.79690000000000005</v>
      </c>
      <c r="AV146" s="230">
        <v>6474000</v>
      </c>
      <c r="AW146" s="230">
        <v>4840500</v>
      </c>
      <c r="AX146" s="230">
        <v>1633500</v>
      </c>
      <c r="AY146" s="229">
        <v>0.33750000000000002</v>
      </c>
      <c r="AZ146" s="230">
        <v>3300000</v>
      </c>
      <c r="BA146" s="230">
        <v>636000</v>
      </c>
      <c r="BB146" s="230">
        <v>2664000</v>
      </c>
      <c r="BC146" s="229">
        <v>4.1886999999999999</v>
      </c>
      <c r="BD146" s="230">
        <v>166500</v>
      </c>
      <c r="BE146" s="230">
        <v>55500</v>
      </c>
      <c r="BF146" s="230">
        <v>111000</v>
      </c>
      <c r="BG146" s="229">
        <v>2</v>
      </c>
      <c r="BH146" s="230">
        <v>22767000</v>
      </c>
      <c r="BI146" s="230">
        <v>14524500</v>
      </c>
      <c r="BJ146" s="230">
        <v>8242500</v>
      </c>
      <c r="BK146" s="229">
        <v>0.5675</v>
      </c>
      <c r="BL146" s="230">
        <v>12781500</v>
      </c>
      <c r="BM146" s="230">
        <v>7482000</v>
      </c>
      <c r="BN146" s="230">
        <v>5299500</v>
      </c>
      <c r="BO146" s="229">
        <v>0.70830000000000004</v>
      </c>
      <c r="BP146" s="230">
        <v>45489000</v>
      </c>
      <c r="BQ146" s="230">
        <v>27538500</v>
      </c>
      <c r="BR146" s="230">
        <v>17950500</v>
      </c>
      <c r="BS146" s="229">
        <v>0.65180000000000005</v>
      </c>
      <c r="BT146" s="230">
        <v>6203679</v>
      </c>
      <c r="BU146" s="230">
        <v>5153393</v>
      </c>
      <c r="BV146" s="230">
        <v>1050286</v>
      </c>
      <c r="BW146" s="229">
        <v>0.20380000000000001</v>
      </c>
      <c r="BX146" s="230">
        <v>92343000</v>
      </c>
      <c r="BY146" s="230">
        <v>91497000</v>
      </c>
      <c r="BZ146" s="230">
        <v>846000</v>
      </c>
      <c r="CA146" s="229">
        <v>9.1999999999999998E-3</v>
      </c>
      <c r="CB146" s="230">
        <v>81556500</v>
      </c>
      <c r="CC146" s="230">
        <v>83490000</v>
      </c>
      <c r="CD146" s="230">
        <v>-1933500</v>
      </c>
      <c r="CE146" s="229">
        <v>-2.3199999999999998E-2</v>
      </c>
      <c r="CF146" s="230">
        <v>10110000</v>
      </c>
      <c r="CG146" s="230">
        <v>7416000</v>
      </c>
      <c r="CH146" s="230">
        <v>2694000</v>
      </c>
      <c r="CI146" s="229">
        <v>0.36330000000000001</v>
      </c>
      <c r="CJ146" s="230">
        <v>676500</v>
      </c>
      <c r="CK146" s="230">
        <v>591000</v>
      </c>
      <c r="CL146" s="230">
        <v>85500</v>
      </c>
      <c r="CM146" s="229">
        <v>0.1447</v>
      </c>
      <c r="CN146" s="230">
        <v>36501000</v>
      </c>
      <c r="CO146" s="230">
        <v>35214000</v>
      </c>
      <c r="CP146" s="230">
        <v>1287000</v>
      </c>
      <c r="CQ146" s="229">
        <v>3.6499999999999998E-2</v>
      </c>
      <c r="CR146" s="230">
        <v>22075500</v>
      </c>
      <c r="CS146" s="230">
        <v>21766500</v>
      </c>
      <c r="CT146" s="230">
        <v>309000</v>
      </c>
      <c r="CU146" s="229">
        <v>1.4200000000000001E-2</v>
      </c>
      <c r="CV146" s="230">
        <v>150919500</v>
      </c>
      <c r="CW146" s="230">
        <v>148477500</v>
      </c>
      <c r="CX146" s="230">
        <v>2442000</v>
      </c>
      <c r="CY146" s="229">
        <v>1.6400000000000001E-2</v>
      </c>
      <c r="CZ146" s="228">
        <v>14.75</v>
      </c>
      <c r="DA146" s="228">
        <v>14.38</v>
      </c>
      <c r="DB146" s="228">
        <v>0.37</v>
      </c>
      <c r="DC146" s="228">
        <v>0.37</v>
      </c>
      <c r="DD146" s="228">
        <v>26.66</v>
      </c>
      <c r="DE146" s="228">
        <v>26.7</v>
      </c>
      <c r="DF146" s="228">
        <v>-11.91</v>
      </c>
      <c r="DG146" s="228">
        <v>-0.04</v>
      </c>
      <c r="DH146" s="228">
        <v>14.77</v>
      </c>
      <c r="DI146" s="228">
        <v>14.53</v>
      </c>
      <c r="DJ146" s="228">
        <v>0.24</v>
      </c>
      <c r="DK146" s="228">
        <v>0.24</v>
      </c>
      <c r="DL146" s="228">
        <v>14.71</v>
      </c>
      <c r="DM146" s="228">
        <v>14.1</v>
      </c>
      <c r="DN146" s="228">
        <v>0.61</v>
      </c>
      <c r="DO146" s="228">
        <v>0.61</v>
      </c>
      <c r="DP146" s="228">
        <v>0.6</v>
      </c>
      <c r="DQ146" s="228">
        <v>0.62</v>
      </c>
      <c r="DR146" s="228">
        <v>-0.02</v>
      </c>
      <c r="DS146" s="229">
        <v>-3.2300000000000002E-2</v>
      </c>
      <c r="DT146" s="228">
        <v>325</v>
      </c>
      <c r="DU146" s="228">
        <v>320</v>
      </c>
      <c r="DV146" s="228">
        <v>0.56000000000000005</v>
      </c>
      <c r="DW146" s="228">
        <v>0.52</v>
      </c>
      <c r="DX146" s="228">
        <v>0.04</v>
      </c>
      <c r="DY146" s="229">
        <v>7.6899999999999996E-2</v>
      </c>
      <c r="DZ146" s="229">
        <v>0.1168</v>
      </c>
      <c r="EA146" s="230">
        <v>8007000</v>
      </c>
      <c r="EB146" s="229">
        <v>6.3E-3</v>
      </c>
      <c r="EC146" s="229">
        <v>0.1168</v>
      </c>
      <c r="ED146" s="228">
        <v>1.91</v>
      </c>
      <c r="EE146" s="229">
        <v>6.0000000000000001E-3</v>
      </c>
      <c r="EF146" s="230">
        <v>3948619</v>
      </c>
      <c r="EG146" s="230">
        <v>3813774</v>
      </c>
      <c r="EH146" s="229">
        <v>3.5400000000000001E-2</v>
      </c>
      <c r="EI146" s="229">
        <v>0.63649999999999995</v>
      </c>
      <c r="EJ146" s="231">
        <v>74216.98</v>
      </c>
      <c r="EK146" s="231">
        <v>41070.410000000003</v>
      </c>
      <c r="EL146" s="231">
        <v>31772.38</v>
      </c>
      <c r="EM146" s="231">
        <v>4128</v>
      </c>
      <c r="EN146" s="231">
        <v>147059.76999999999</v>
      </c>
      <c r="EO146" s="231">
        <v>89664.06</v>
      </c>
      <c r="EP146" s="231">
        <v>57395.71</v>
      </c>
      <c r="EQ146" s="229">
        <v>0.6401</v>
      </c>
      <c r="ER146" s="231">
        <v>122142</v>
      </c>
      <c r="ES146" s="231">
        <v>71216</v>
      </c>
      <c r="ET146" s="231">
        <v>294880</v>
      </c>
      <c r="EU146" s="231">
        <v>572782298</v>
      </c>
      <c r="EV146" s="231">
        <v>488238</v>
      </c>
      <c r="EW146" s="231">
        <v>482696</v>
      </c>
      <c r="EX146" s="231">
        <v>5542</v>
      </c>
      <c r="EY146" s="229">
        <v>1.15E-2</v>
      </c>
      <c r="EZ146" s="229">
        <v>0.26350000000000001</v>
      </c>
      <c r="FA146" s="227" t="s">
        <v>567</v>
      </c>
      <c r="FB146" s="161">
        <f t="shared" si="3"/>
        <v>0</v>
      </c>
    </row>
    <row r="147" spans="1:158" ht="17.25" hidden="1" thickBot="1" x14ac:dyDescent="0.3">
      <c r="A147" s="226">
        <v>46009</v>
      </c>
      <c r="B147" s="227" t="s">
        <v>175</v>
      </c>
      <c r="C147" s="227" t="s">
        <v>686</v>
      </c>
      <c r="D147" s="228">
        <v>75</v>
      </c>
      <c r="E147" s="231">
        <v>7331.5</v>
      </c>
      <c r="F147" s="231">
        <v>7201.5</v>
      </c>
      <c r="G147" s="228">
        <v>130</v>
      </c>
      <c r="H147" s="229">
        <v>1.8100000000000002E-2</v>
      </c>
      <c r="I147" s="231">
        <v>7301.5</v>
      </c>
      <c r="J147" s="231">
        <v>7171</v>
      </c>
      <c r="K147" s="228">
        <v>130.5</v>
      </c>
      <c r="L147" s="229">
        <v>1.8200000000000001E-2</v>
      </c>
      <c r="M147" s="231">
        <v>7331.5</v>
      </c>
      <c r="N147" s="231">
        <v>7201.5</v>
      </c>
      <c r="O147" s="228">
        <v>130</v>
      </c>
      <c r="P147" s="229">
        <v>1.8100000000000002E-2</v>
      </c>
      <c r="Q147" s="231">
        <v>7352.5</v>
      </c>
      <c r="R147" s="231">
        <v>7239.5</v>
      </c>
      <c r="S147" s="228">
        <v>113</v>
      </c>
      <c r="T147" s="229">
        <v>1.5599999999999999E-2</v>
      </c>
      <c r="U147" s="231">
        <v>7360</v>
      </c>
      <c r="V147" s="231">
        <v>7252</v>
      </c>
      <c r="W147" s="228">
        <v>108</v>
      </c>
      <c r="X147" s="229">
        <v>1.49E-2</v>
      </c>
      <c r="Y147" s="228">
        <v>30</v>
      </c>
      <c r="Z147" s="228">
        <v>30.5</v>
      </c>
      <c r="AA147" s="228">
        <v>-0.5</v>
      </c>
      <c r="AB147" s="229">
        <v>4.1000000000000003E-3</v>
      </c>
      <c r="AC147" s="228">
        <v>30</v>
      </c>
      <c r="AD147" s="228">
        <v>30.5</v>
      </c>
      <c r="AE147" s="228">
        <v>-0.5</v>
      </c>
      <c r="AF147" s="229">
        <v>4.1000000000000003E-3</v>
      </c>
      <c r="AG147" s="228">
        <v>51</v>
      </c>
      <c r="AH147" s="228">
        <v>68.5</v>
      </c>
      <c r="AI147" s="228">
        <v>-17.5</v>
      </c>
      <c r="AJ147" s="229">
        <v>7.0000000000000001E-3</v>
      </c>
      <c r="AK147" s="228">
        <v>58.5</v>
      </c>
      <c r="AL147" s="228">
        <v>81</v>
      </c>
      <c r="AM147" s="228">
        <v>-22.5</v>
      </c>
      <c r="AN147" s="229">
        <v>8.0000000000000002E-3</v>
      </c>
      <c r="AO147" s="231">
        <v>7370.52</v>
      </c>
      <c r="AP147" s="231">
        <v>7406.43</v>
      </c>
      <c r="AQ147" s="228">
        <v>0</v>
      </c>
      <c r="AR147" s="230">
        <v>343575</v>
      </c>
      <c r="AS147" s="230">
        <v>74925</v>
      </c>
      <c r="AT147" s="230">
        <v>268650</v>
      </c>
      <c r="AU147" s="229">
        <v>3.5855999999999999</v>
      </c>
      <c r="AV147" s="230">
        <v>314025</v>
      </c>
      <c r="AW147" s="230">
        <v>65025</v>
      </c>
      <c r="AX147" s="230">
        <v>249000</v>
      </c>
      <c r="AY147" s="229">
        <v>3.8292999999999999</v>
      </c>
      <c r="AZ147" s="230">
        <v>29025</v>
      </c>
      <c r="BA147" s="230">
        <v>9900</v>
      </c>
      <c r="BB147" s="230">
        <v>19125</v>
      </c>
      <c r="BC147" s="229">
        <v>1.9318</v>
      </c>
      <c r="BD147" s="228">
        <v>525</v>
      </c>
      <c r="BE147" s="228">
        <v>0</v>
      </c>
      <c r="BF147" s="228">
        <v>525</v>
      </c>
      <c r="BG147" s="229">
        <v>0</v>
      </c>
      <c r="BH147" s="230">
        <v>3809850</v>
      </c>
      <c r="BI147" s="230">
        <v>247725</v>
      </c>
      <c r="BJ147" s="230">
        <v>3562125</v>
      </c>
      <c r="BK147" s="229">
        <v>14.3794</v>
      </c>
      <c r="BL147" s="230">
        <v>1181925</v>
      </c>
      <c r="BM147" s="230">
        <v>231075</v>
      </c>
      <c r="BN147" s="230">
        <v>950850</v>
      </c>
      <c r="BO147" s="229">
        <v>4.1148999999999996</v>
      </c>
      <c r="BP147" s="230">
        <v>5335350</v>
      </c>
      <c r="BQ147" s="230">
        <v>553725</v>
      </c>
      <c r="BR147" s="230">
        <v>4781625</v>
      </c>
      <c r="BS147" s="229">
        <v>8.6354000000000006</v>
      </c>
      <c r="BT147" s="230">
        <v>344360</v>
      </c>
      <c r="BU147" s="230">
        <v>42147</v>
      </c>
      <c r="BV147" s="230">
        <v>302213</v>
      </c>
      <c r="BW147" s="229">
        <v>7.1704999999999997</v>
      </c>
      <c r="BX147" s="230">
        <v>428350</v>
      </c>
      <c r="BY147" s="230">
        <v>376900</v>
      </c>
      <c r="BZ147" s="230">
        <v>51450</v>
      </c>
      <c r="CA147" s="229">
        <v>0.13650000000000001</v>
      </c>
      <c r="CB147" s="230">
        <v>402750</v>
      </c>
      <c r="CC147" s="230">
        <v>359100</v>
      </c>
      <c r="CD147" s="230">
        <v>43650</v>
      </c>
      <c r="CE147" s="229">
        <v>0.1216</v>
      </c>
      <c r="CF147" s="230">
        <v>23500</v>
      </c>
      <c r="CG147" s="230">
        <v>16100</v>
      </c>
      <c r="CH147" s="230">
        <v>7400</v>
      </c>
      <c r="CI147" s="229">
        <v>0.45960000000000001</v>
      </c>
      <c r="CJ147" s="230">
        <v>2100</v>
      </c>
      <c r="CK147" s="230">
        <v>1700</v>
      </c>
      <c r="CL147" s="228">
        <v>400</v>
      </c>
      <c r="CM147" s="229">
        <v>0.23530000000000001</v>
      </c>
      <c r="CN147" s="230">
        <v>448450</v>
      </c>
      <c r="CO147" s="230">
        <v>311275</v>
      </c>
      <c r="CP147" s="230">
        <v>137175</v>
      </c>
      <c r="CQ147" s="229">
        <v>0.44069999999999998</v>
      </c>
      <c r="CR147" s="230">
        <v>231275</v>
      </c>
      <c r="CS147" s="230">
        <v>194400</v>
      </c>
      <c r="CT147" s="230">
        <v>36875</v>
      </c>
      <c r="CU147" s="229">
        <v>0.18970000000000001</v>
      </c>
      <c r="CV147" s="230">
        <v>1108075</v>
      </c>
      <c r="CW147" s="230">
        <v>882575</v>
      </c>
      <c r="CX147" s="230">
        <v>225500</v>
      </c>
      <c r="CY147" s="229">
        <v>0.2555</v>
      </c>
      <c r="CZ147" s="228">
        <v>31.05</v>
      </c>
      <c r="DA147" s="228">
        <v>30.96</v>
      </c>
      <c r="DB147" s="228">
        <v>0.09</v>
      </c>
      <c r="DC147" s="228">
        <v>0.09</v>
      </c>
      <c r="DD147" s="228">
        <v>48.89</v>
      </c>
      <c r="DE147" s="228">
        <v>48.95</v>
      </c>
      <c r="DF147" s="228">
        <v>-17.84</v>
      </c>
      <c r="DG147" s="228">
        <v>-0.06</v>
      </c>
      <c r="DH147" s="228">
        <v>30.6</v>
      </c>
      <c r="DI147" s="228">
        <v>29.27</v>
      </c>
      <c r="DJ147" s="228">
        <v>1.33</v>
      </c>
      <c r="DK147" s="228">
        <v>1.33</v>
      </c>
      <c r="DL147" s="228">
        <v>32.49</v>
      </c>
      <c r="DM147" s="228">
        <v>32.76</v>
      </c>
      <c r="DN147" s="228">
        <v>-0.27</v>
      </c>
      <c r="DO147" s="228">
        <v>-0.27</v>
      </c>
      <c r="DP147" s="228">
        <v>0.52</v>
      </c>
      <c r="DQ147" s="228">
        <v>0.62</v>
      </c>
      <c r="DR147" s="228">
        <v>-0.1</v>
      </c>
      <c r="DS147" s="229">
        <v>-0.1613</v>
      </c>
      <c r="DT147" s="231">
        <v>7500</v>
      </c>
      <c r="DU147" s="231">
        <v>6500</v>
      </c>
      <c r="DV147" s="228">
        <v>0.31</v>
      </c>
      <c r="DW147" s="228">
        <v>0.93</v>
      </c>
      <c r="DX147" s="228">
        <v>-0.62</v>
      </c>
      <c r="DY147" s="229">
        <v>-0.66669999999999996</v>
      </c>
      <c r="DZ147" s="229">
        <v>5.9799999999999999E-2</v>
      </c>
      <c r="EA147" s="230">
        <v>17800</v>
      </c>
      <c r="EB147" s="229">
        <v>2.8999999999999998E-3</v>
      </c>
      <c r="EC147" s="229">
        <v>5.9799999999999999E-2</v>
      </c>
      <c r="ED147" s="228">
        <v>35.909999999999997</v>
      </c>
      <c r="EE147" s="229">
        <v>4.8999999999999998E-3</v>
      </c>
      <c r="EF147" s="230">
        <v>69328</v>
      </c>
      <c r="EG147" s="230">
        <v>17750</v>
      </c>
      <c r="EH147" s="229">
        <v>2.9058000000000002</v>
      </c>
      <c r="EI147" s="229">
        <v>0.20130000000000001</v>
      </c>
      <c r="EJ147" s="231">
        <v>293314.09999999998</v>
      </c>
      <c r="EK147" s="231">
        <v>85073.2</v>
      </c>
      <c r="EL147" s="231">
        <v>26063.71</v>
      </c>
      <c r="EM147" s="231">
        <v>1217</v>
      </c>
      <c r="EN147" s="231">
        <v>404451.01</v>
      </c>
      <c r="EO147" s="231">
        <v>40908.300000000003</v>
      </c>
      <c r="EP147" s="231">
        <v>363542.71</v>
      </c>
      <c r="EQ147" s="229">
        <v>8.8867999999999991</v>
      </c>
      <c r="ER147" s="231">
        <v>34082</v>
      </c>
      <c r="ES147" s="231">
        <v>16195</v>
      </c>
      <c r="ET147" s="231">
        <v>31410</v>
      </c>
      <c r="EU147" s="231">
        <v>2444664</v>
      </c>
      <c r="EV147" s="231">
        <v>81687</v>
      </c>
      <c r="EW147" s="231">
        <v>64242</v>
      </c>
      <c r="EX147" s="231">
        <v>17445</v>
      </c>
      <c r="EY147" s="229">
        <v>0.27160000000000001</v>
      </c>
      <c r="EZ147" s="229">
        <v>0.45329999999999998</v>
      </c>
      <c r="FA147" s="227" t="s">
        <v>555</v>
      </c>
      <c r="FB147" s="161">
        <f t="shared" si="3"/>
        <v>0</v>
      </c>
    </row>
    <row r="148" spans="1:158" ht="17.25" hidden="1" thickBot="1" x14ac:dyDescent="0.3">
      <c r="A148" s="226">
        <v>46009</v>
      </c>
      <c r="B148" s="227" t="s">
        <v>615</v>
      </c>
      <c r="C148" s="227" t="s">
        <v>613</v>
      </c>
      <c r="D148" s="228">
        <v>3125</v>
      </c>
      <c r="E148" s="228">
        <v>245.05</v>
      </c>
      <c r="F148" s="228">
        <v>246.05</v>
      </c>
      <c r="G148" s="228">
        <v>-1</v>
      </c>
      <c r="H148" s="229">
        <v>-4.1000000000000003E-3</v>
      </c>
      <c r="I148" s="228">
        <v>244.1</v>
      </c>
      <c r="J148" s="228">
        <v>245.1</v>
      </c>
      <c r="K148" s="228">
        <v>-1</v>
      </c>
      <c r="L148" s="229">
        <v>-4.1000000000000003E-3</v>
      </c>
      <c r="M148" s="228">
        <v>245.05</v>
      </c>
      <c r="N148" s="228">
        <v>246.05</v>
      </c>
      <c r="O148" s="228">
        <v>-1</v>
      </c>
      <c r="P148" s="229">
        <v>-4.1000000000000003E-3</v>
      </c>
      <c r="Q148" s="228">
        <v>245.6</v>
      </c>
      <c r="R148" s="228">
        <v>246.2</v>
      </c>
      <c r="S148" s="228">
        <v>-0.6</v>
      </c>
      <c r="T148" s="229">
        <v>-2.3999999999999998E-3</v>
      </c>
      <c r="U148" s="228">
        <v>244.25</v>
      </c>
      <c r="V148" s="228">
        <v>244.8</v>
      </c>
      <c r="W148" s="228">
        <v>-0.55000000000000004</v>
      </c>
      <c r="X148" s="229">
        <v>-2.2000000000000001E-3</v>
      </c>
      <c r="Y148" s="228">
        <v>0.95</v>
      </c>
      <c r="Z148" s="228">
        <v>0.95</v>
      </c>
      <c r="AA148" s="228">
        <v>0</v>
      </c>
      <c r="AB148" s="229">
        <v>3.8999999999999998E-3</v>
      </c>
      <c r="AC148" s="228">
        <v>0.95</v>
      </c>
      <c r="AD148" s="228">
        <v>0.95</v>
      </c>
      <c r="AE148" s="228">
        <v>0</v>
      </c>
      <c r="AF148" s="229">
        <v>3.8999999999999998E-3</v>
      </c>
      <c r="AG148" s="228">
        <v>1.5</v>
      </c>
      <c r="AH148" s="228">
        <v>1.1000000000000001</v>
      </c>
      <c r="AI148" s="228">
        <v>0.4</v>
      </c>
      <c r="AJ148" s="229">
        <v>6.1000000000000004E-3</v>
      </c>
      <c r="AK148" s="228">
        <v>0.15</v>
      </c>
      <c r="AL148" s="228">
        <v>-0.3</v>
      </c>
      <c r="AM148" s="228">
        <v>0.45</v>
      </c>
      <c r="AN148" s="229">
        <v>5.9999999999999995E-4</v>
      </c>
      <c r="AO148" s="228">
        <v>244.45</v>
      </c>
      <c r="AP148" s="228">
        <v>244.98</v>
      </c>
      <c r="AQ148" s="228">
        <v>0</v>
      </c>
      <c r="AR148" s="230">
        <v>7409375</v>
      </c>
      <c r="AS148" s="230">
        <v>5112500</v>
      </c>
      <c r="AT148" s="230">
        <v>2296875</v>
      </c>
      <c r="AU148" s="229">
        <v>0.44929999999999998</v>
      </c>
      <c r="AV148" s="230">
        <v>6271875</v>
      </c>
      <c r="AW148" s="230">
        <v>4234375</v>
      </c>
      <c r="AX148" s="230">
        <v>2037500</v>
      </c>
      <c r="AY148" s="229">
        <v>0.48120000000000002</v>
      </c>
      <c r="AZ148" s="230">
        <v>1084375</v>
      </c>
      <c r="BA148" s="230">
        <v>806250</v>
      </c>
      <c r="BB148" s="230">
        <v>278125</v>
      </c>
      <c r="BC148" s="229">
        <v>0.34499999999999997</v>
      </c>
      <c r="BD148" s="230">
        <v>53125</v>
      </c>
      <c r="BE148" s="230">
        <v>71875</v>
      </c>
      <c r="BF148" s="230">
        <v>-18750</v>
      </c>
      <c r="BG148" s="229">
        <v>-0.26090000000000002</v>
      </c>
      <c r="BH148" s="230">
        <v>18706250</v>
      </c>
      <c r="BI148" s="230">
        <v>10965625</v>
      </c>
      <c r="BJ148" s="230">
        <v>7740625</v>
      </c>
      <c r="BK148" s="229">
        <v>0.70589999999999997</v>
      </c>
      <c r="BL148" s="230">
        <v>8478125</v>
      </c>
      <c r="BM148" s="230">
        <v>5121875</v>
      </c>
      <c r="BN148" s="230">
        <v>3356250</v>
      </c>
      <c r="BO148" s="229">
        <v>0.65529999999999999</v>
      </c>
      <c r="BP148" s="230">
        <v>34593750</v>
      </c>
      <c r="BQ148" s="230">
        <v>21200000</v>
      </c>
      <c r="BR148" s="230">
        <v>13393750</v>
      </c>
      <c r="BS148" s="229">
        <v>0.63180000000000003</v>
      </c>
      <c r="BT148" s="230">
        <v>5276105</v>
      </c>
      <c r="BU148" s="230">
        <v>4219679</v>
      </c>
      <c r="BV148" s="230">
        <v>1056426</v>
      </c>
      <c r="BW148" s="229">
        <v>0.25040000000000001</v>
      </c>
      <c r="BX148" s="230">
        <v>57143750</v>
      </c>
      <c r="BY148" s="230">
        <v>56568750</v>
      </c>
      <c r="BZ148" s="230">
        <v>575000</v>
      </c>
      <c r="CA148" s="229">
        <v>1.0200000000000001E-2</v>
      </c>
      <c r="CB148" s="230">
        <v>54118750</v>
      </c>
      <c r="CC148" s="230">
        <v>53940625</v>
      </c>
      <c r="CD148" s="230">
        <v>178125</v>
      </c>
      <c r="CE148" s="229">
        <v>3.3E-3</v>
      </c>
      <c r="CF148" s="230">
        <v>2900000</v>
      </c>
      <c r="CG148" s="230">
        <v>2503125</v>
      </c>
      <c r="CH148" s="230">
        <v>396875</v>
      </c>
      <c r="CI148" s="229">
        <v>0.15859999999999999</v>
      </c>
      <c r="CJ148" s="230">
        <v>125000</v>
      </c>
      <c r="CK148" s="230">
        <v>125000</v>
      </c>
      <c r="CL148" s="228">
        <v>0</v>
      </c>
      <c r="CM148" s="229">
        <v>0</v>
      </c>
      <c r="CN148" s="230">
        <v>22940625</v>
      </c>
      <c r="CO148" s="230">
        <v>22337500</v>
      </c>
      <c r="CP148" s="230">
        <v>603125</v>
      </c>
      <c r="CQ148" s="229">
        <v>2.7E-2</v>
      </c>
      <c r="CR148" s="230">
        <v>9437500</v>
      </c>
      <c r="CS148" s="230">
        <v>9196875</v>
      </c>
      <c r="CT148" s="230">
        <v>240625</v>
      </c>
      <c r="CU148" s="229">
        <v>2.6200000000000001E-2</v>
      </c>
      <c r="CV148" s="230">
        <v>89521875</v>
      </c>
      <c r="CW148" s="230">
        <v>88103125</v>
      </c>
      <c r="CX148" s="230">
        <v>1418750</v>
      </c>
      <c r="CY148" s="229">
        <v>1.61E-2</v>
      </c>
      <c r="CZ148" s="228">
        <v>24.89</v>
      </c>
      <c r="DA148" s="228">
        <v>26.65</v>
      </c>
      <c r="DB148" s="228">
        <v>-1.76</v>
      </c>
      <c r="DC148" s="228">
        <v>-1.76</v>
      </c>
      <c r="DD148" s="228">
        <v>35.99</v>
      </c>
      <c r="DE148" s="228">
        <v>36.08</v>
      </c>
      <c r="DF148" s="228">
        <v>-11.1</v>
      </c>
      <c r="DG148" s="228">
        <v>-0.09</v>
      </c>
      <c r="DH148" s="228">
        <v>25.68</v>
      </c>
      <c r="DI148" s="228">
        <v>27.16</v>
      </c>
      <c r="DJ148" s="228">
        <v>-1.48</v>
      </c>
      <c r="DK148" s="228">
        <v>-1.48</v>
      </c>
      <c r="DL148" s="228">
        <v>23.14</v>
      </c>
      <c r="DM148" s="228">
        <v>25.55</v>
      </c>
      <c r="DN148" s="228">
        <v>-2.41</v>
      </c>
      <c r="DO148" s="228">
        <v>-2.41</v>
      </c>
      <c r="DP148" s="228">
        <v>0.41</v>
      </c>
      <c r="DQ148" s="228">
        <v>0.41</v>
      </c>
      <c r="DR148" s="228">
        <v>0</v>
      </c>
      <c r="DS148" s="229">
        <v>0</v>
      </c>
      <c r="DT148" s="228">
        <v>270</v>
      </c>
      <c r="DU148" s="228">
        <v>240</v>
      </c>
      <c r="DV148" s="228">
        <v>0.45</v>
      </c>
      <c r="DW148" s="228">
        <v>0.47</v>
      </c>
      <c r="DX148" s="228">
        <v>-0.02</v>
      </c>
      <c r="DY148" s="229">
        <v>-4.2599999999999999E-2</v>
      </c>
      <c r="DZ148" s="229">
        <v>5.2900000000000003E-2</v>
      </c>
      <c r="EA148" s="230">
        <v>2628125</v>
      </c>
      <c r="EB148" s="229">
        <v>2.2000000000000001E-3</v>
      </c>
      <c r="EC148" s="229">
        <v>5.2900000000000003E-2</v>
      </c>
      <c r="ED148" s="228">
        <v>0.53</v>
      </c>
      <c r="EE148" s="229">
        <v>2.2000000000000001E-3</v>
      </c>
      <c r="EF148" s="230">
        <v>3429835</v>
      </c>
      <c r="EG148" s="230">
        <v>2536163</v>
      </c>
      <c r="EH148" s="229">
        <v>0.35239999999999999</v>
      </c>
      <c r="EI148" s="229">
        <v>0.65010000000000001</v>
      </c>
      <c r="EJ148" s="231">
        <v>48621.9</v>
      </c>
      <c r="EK148" s="231">
        <v>20727.599999999999</v>
      </c>
      <c r="EL148" s="231">
        <v>18117.580000000002</v>
      </c>
      <c r="EM148" s="231">
        <v>2148</v>
      </c>
      <c r="EN148" s="231">
        <v>87467.08</v>
      </c>
      <c r="EO148" s="231">
        <v>53733.98</v>
      </c>
      <c r="EP148" s="231">
        <v>33733.1</v>
      </c>
      <c r="EQ148" s="229">
        <v>0.62780000000000002</v>
      </c>
      <c r="ER148" s="231">
        <v>61616</v>
      </c>
      <c r="ES148" s="231">
        <v>23431</v>
      </c>
      <c r="ET148" s="231">
        <v>140046</v>
      </c>
      <c r="EU148" s="231">
        <v>205324177</v>
      </c>
      <c r="EV148" s="231">
        <v>225093</v>
      </c>
      <c r="EW148" s="231">
        <v>222490</v>
      </c>
      <c r="EX148" s="231">
        <v>2603</v>
      </c>
      <c r="EY148" s="229">
        <v>1.17E-2</v>
      </c>
      <c r="EZ148" s="229">
        <v>0.436</v>
      </c>
      <c r="FA148" s="227" t="s">
        <v>567</v>
      </c>
      <c r="FB148" s="161">
        <f t="shared" si="3"/>
        <v>0</v>
      </c>
    </row>
    <row r="149" spans="1:158" ht="17.25" hidden="1" thickBot="1" x14ac:dyDescent="0.3">
      <c r="A149" s="226">
        <v>46009</v>
      </c>
      <c r="B149" s="227" t="s">
        <v>206</v>
      </c>
      <c r="C149" s="227" t="s">
        <v>528</v>
      </c>
      <c r="D149" s="228">
        <v>350</v>
      </c>
      <c r="E149" s="231">
        <v>1653.8</v>
      </c>
      <c r="F149" s="231">
        <v>1609.6</v>
      </c>
      <c r="G149" s="228">
        <v>44.2</v>
      </c>
      <c r="H149" s="229">
        <v>2.75E-2</v>
      </c>
      <c r="I149" s="231">
        <v>1658.2</v>
      </c>
      <c r="J149" s="231">
        <v>1609.9</v>
      </c>
      <c r="K149" s="228">
        <v>48.3</v>
      </c>
      <c r="L149" s="229">
        <v>0.03</v>
      </c>
      <c r="M149" s="231">
        <v>1653.8</v>
      </c>
      <c r="N149" s="231">
        <v>1609.6</v>
      </c>
      <c r="O149" s="228">
        <v>44.2</v>
      </c>
      <c r="P149" s="229">
        <v>2.75E-2</v>
      </c>
      <c r="Q149" s="231">
        <v>1644.8</v>
      </c>
      <c r="R149" s="231">
        <v>1602.4</v>
      </c>
      <c r="S149" s="228">
        <v>42.4</v>
      </c>
      <c r="T149" s="229">
        <v>2.6499999999999999E-2</v>
      </c>
      <c r="U149" s="231">
        <v>1630.6</v>
      </c>
      <c r="V149" s="231">
        <v>1595</v>
      </c>
      <c r="W149" s="228">
        <v>35.6</v>
      </c>
      <c r="X149" s="229">
        <v>2.23E-2</v>
      </c>
      <c r="Y149" s="228">
        <v>-4.4000000000000004</v>
      </c>
      <c r="Z149" s="228">
        <v>-0.3</v>
      </c>
      <c r="AA149" s="228">
        <v>-4.0999999999999996</v>
      </c>
      <c r="AB149" s="229">
        <v>-2.7000000000000001E-3</v>
      </c>
      <c r="AC149" s="228">
        <v>-4.4000000000000004</v>
      </c>
      <c r="AD149" s="228">
        <v>-0.3</v>
      </c>
      <c r="AE149" s="228">
        <v>-4.0999999999999996</v>
      </c>
      <c r="AF149" s="229">
        <v>-2.7000000000000001E-3</v>
      </c>
      <c r="AG149" s="228">
        <v>-13.4</v>
      </c>
      <c r="AH149" s="228">
        <v>-7.5</v>
      </c>
      <c r="AI149" s="228">
        <v>-5.9</v>
      </c>
      <c r="AJ149" s="229">
        <v>-8.0999999999999996E-3</v>
      </c>
      <c r="AK149" s="228">
        <v>-27.6</v>
      </c>
      <c r="AL149" s="228">
        <v>-14.9</v>
      </c>
      <c r="AM149" s="228">
        <v>-12.7</v>
      </c>
      <c r="AN149" s="229">
        <v>-1.66E-2</v>
      </c>
      <c r="AO149" s="231">
        <v>1641.05</v>
      </c>
      <c r="AP149" s="231">
        <v>1630.44</v>
      </c>
      <c r="AQ149" s="228">
        <v>0</v>
      </c>
      <c r="AR149" s="230">
        <v>1161300</v>
      </c>
      <c r="AS149" s="230">
        <v>512750</v>
      </c>
      <c r="AT149" s="230">
        <v>648550</v>
      </c>
      <c r="AU149" s="229">
        <v>1.2647999999999999</v>
      </c>
      <c r="AV149" s="230">
        <v>950600</v>
      </c>
      <c r="AW149" s="230">
        <v>453950</v>
      </c>
      <c r="AX149" s="230">
        <v>496650</v>
      </c>
      <c r="AY149" s="229">
        <v>1.0941000000000001</v>
      </c>
      <c r="AZ149" s="230">
        <v>206850</v>
      </c>
      <c r="BA149" s="230">
        <v>58100</v>
      </c>
      <c r="BB149" s="230">
        <v>148750</v>
      </c>
      <c r="BC149" s="229">
        <v>2.5602</v>
      </c>
      <c r="BD149" s="230">
        <v>3850</v>
      </c>
      <c r="BE149" s="228">
        <v>700</v>
      </c>
      <c r="BF149" s="230">
        <v>3150</v>
      </c>
      <c r="BG149" s="229">
        <v>4.5</v>
      </c>
      <c r="BH149" s="230">
        <v>3093300</v>
      </c>
      <c r="BI149" s="230">
        <v>1153950</v>
      </c>
      <c r="BJ149" s="230">
        <v>1939350</v>
      </c>
      <c r="BK149" s="229">
        <v>1.6806000000000001</v>
      </c>
      <c r="BL149" s="230">
        <v>1784300</v>
      </c>
      <c r="BM149" s="230">
        <v>823900</v>
      </c>
      <c r="BN149" s="230">
        <v>960400</v>
      </c>
      <c r="BO149" s="229">
        <v>1.1657</v>
      </c>
      <c r="BP149" s="230">
        <v>6038900</v>
      </c>
      <c r="BQ149" s="230">
        <v>2490600</v>
      </c>
      <c r="BR149" s="230">
        <v>3548300</v>
      </c>
      <c r="BS149" s="229">
        <v>1.4247000000000001</v>
      </c>
      <c r="BT149" s="230">
        <v>523587</v>
      </c>
      <c r="BU149" s="230">
        <v>360675</v>
      </c>
      <c r="BV149" s="230">
        <v>162912</v>
      </c>
      <c r="BW149" s="229">
        <v>0.45169999999999999</v>
      </c>
      <c r="BX149" s="230">
        <v>4828950</v>
      </c>
      <c r="BY149" s="230">
        <v>4779600</v>
      </c>
      <c r="BZ149" s="230">
        <v>49350</v>
      </c>
      <c r="CA149" s="229">
        <v>1.03E-2</v>
      </c>
      <c r="CB149" s="230">
        <v>4460750</v>
      </c>
      <c r="CC149" s="230">
        <v>4491900</v>
      </c>
      <c r="CD149" s="230">
        <v>-31150</v>
      </c>
      <c r="CE149" s="229">
        <v>-6.8999999999999999E-3</v>
      </c>
      <c r="CF149" s="230">
        <v>357350</v>
      </c>
      <c r="CG149" s="230">
        <v>274750</v>
      </c>
      <c r="CH149" s="230">
        <v>82600</v>
      </c>
      <c r="CI149" s="229">
        <v>0.30059999999999998</v>
      </c>
      <c r="CJ149" s="230">
        <v>10850</v>
      </c>
      <c r="CK149" s="230">
        <v>12950</v>
      </c>
      <c r="CL149" s="230">
        <v>-2100</v>
      </c>
      <c r="CM149" s="229">
        <v>-0.16220000000000001</v>
      </c>
      <c r="CN149" s="230">
        <v>1904350</v>
      </c>
      <c r="CO149" s="230">
        <v>2117850</v>
      </c>
      <c r="CP149" s="230">
        <v>-213500</v>
      </c>
      <c r="CQ149" s="229">
        <v>-0.1008</v>
      </c>
      <c r="CR149" s="230">
        <v>1363950</v>
      </c>
      <c r="CS149" s="230">
        <v>1309700</v>
      </c>
      <c r="CT149" s="230">
        <v>54250</v>
      </c>
      <c r="CU149" s="229">
        <v>4.1399999999999999E-2</v>
      </c>
      <c r="CV149" s="230">
        <v>8097250</v>
      </c>
      <c r="CW149" s="230">
        <v>8207150</v>
      </c>
      <c r="CX149" s="230">
        <v>-109900</v>
      </c>
      <c r="CY149" s="229">
        <v>-1.34E-2</v>
      </c>
      <c r="CZ149" s="228">
        <v>24.17</v>
      </c>
      <c r="DA149" s="228">
        <v>24.35</v>
      </c>
      <c r="DB149" s="228">
        <v>-0.18</v>
      </c>
      <c r="DC149" s="228">
        <v>-0.18</v>
      </c>
      <c r="DD149" s="228">
        <v>36.909999999999997</v>
      </c>
      <c r="DE149" s="228">
        <v>36.799999999999997</v>
      </c>
      <c r="DF149" s="228">
        <v>-12.74</v>
      </c>
      <c r="DG149" s="228">
        <v>0.11</v>
      </c>
      <c r="DH149" s="228">
        <v>23.45</v>
      </c>
      <c r="DI149" s="228">
        <v>24.67</v>
      </c>
      <c r="DJ149" s="228">
        <v>-1.22</v>
      </c>
      <c r="DK149" s="228">
        <v>-1.22</v>
      </c>
      <c r="DL149" s="228">
        <v>25.42</v>
      </c>
      <c r="DM149" s="228">
        <v>23.9</v>
      </c>
      <c r="DN149" s="228">
        <v>1.52</v>
      </c>
      <c r="DO149" s="228">
        <v>1.52</v>
      </c>
      <c r="DP149" s="228">
        <v>0.72</v>
      </c>
      <c r="DQ149" s="228">
        <v>0.62</v>
      </c>
      <c r="DR149" s="228">
        <v>0.1</v>
      </c>
      <c r="DS149" s="229">
        <v>0.1613</v>
      </c>
      <c r="DT149" s="231">
        <v>1700</v>
      </c>
      <c r="DU149" s="231">
        <v>1600</v>
      </c>
      <c r="DV149" s="228">
        <v>0.57999999999999996</v>
      </c>
      <c r="DW149" s="228">
        <v>0.71</v>
      </c>
      <c r="DX149" s="228">
        <v>-0.13</v>
      </c>
      <c r="DY149" s="229">
        <v>-0.18310000000000001</v>
      </c>
      <c r="DZ149" s="229">
        <v>7.6200000000000004E-2</v>
      </c>
      <c r="EA149" s="230">
        <v>287700</v>
      </c>
      <c r="EB149" s="229">
        <v>-5.4000000000000003E-3</v>
      </c>
      <c r="EC149" s="229">
        <v>7.6200000000000004E-2</v>
      </c>
      <c r="ED149" s="228">
        <v>-10.61</v>
      </c>
      <c r="EE149" s="229">
        <v>-6.4999999999999997E-3</v>
      </c>
      <c r="EF149" s="230">
        <v>258100</v>
      </c>
      <c r="EG149" s="230">
        <v>223347</v>
      </c>
      <c r="EH149" s="229">
        <v>0.15559999999999999</v>
      </c>
      <c r="EI149" s="229">
        <v>0.4929</v>
      </c>
      <c r="EJ149" s="231">
        <v>52677.599999999999</v>
      </c>
      <c r="EK149" s="231">
        <v>28428</v>
      </c>
      <c r="EL149" s="231">
        <v>19035.45</v>
      </c>
      <c r="EM149" s="231">
        <v>1885</v>
      </c>
      <c r="EN149" s="231">
        <v>100141.05</v>
      </c>
      <c r="EO149" s="231">
        <v>41028.69</v>
      </c>
      <c r="EP149" s="231">
        <v>59112.36</v>
      </c>
      <c r="EQ149" s="229">
        <v>1.4408000000000001</v>
      </c>
      <c r="ER149" s="231">
        <v>32711</v>
      </c>
      <c r="ES149" s="231">
        <v>21858</v>
      </c>
      <c r="ET149" s="231">
        <v>79826</v>
      </c>
      <c r="EU149" s="231">
        <v>17614093</v>
      </c>
      <c r="EV149" s="231">
        <v>134395</v>
      </c>
      <c r="EW149" s="231">
        <v>134030</v>
      </c>
      <c r="EX149" s="228">
        <v>365</v>
      </c>
      <c r="EY149" s="229">
        <v>2.7000000000000001E-3</v>
      </c>
      <c r="EZ149" s="229">
        <v>0.4597</v>
      </c>
      <c r="FA149" s="227" t="s">
        <v>555</v>
      </c>
      <c r="FB149" s="161">
        <f t="shared" si="3"/>
        <v>0</v>
      </c>
    </row>
    <row r="150" spans="1:158" ht="17.25" thickBot="1" x14ac:dyDescent="0.3">
      <c r="A150" s="226">
        <v>46009</v>
      </c>
      <c r="B150" s="227" t="s">
        <v>221</v>
      </c>
      <c r="C150" s="227" t="s">
        <v>518</v>
      </c>
      <c r="D150" s="228">
        <v>75</v>
      </c>
      <c r="E150" s="231">
        <v>7684.5</v>
      </c>
      <c r="F150" s="231">
        <v>7727.5</v>
      </c>
      <c r="G150" s="228">
        <v>-43</v>
      </c>
      <c r="H150" s="229">
        <v>-5.5999999999999999E-3</v>
      </c>
      <c r="I150" s="231">
        <v>7662.5</v>
      </c>
      <c r="J150" s="231">
        <v>7712.5</v>
      </c>
      <c r="K150" s="228">
        <v>-50</v>
      </c>
      <c r="L150" s="229">
        <v>-6.4999999999999997E-3</v>
      </c>
      <c r="M150" s="231">
        <v>7684.5</v>
      </c>
      <c r="N150" s="231">
        <v>7727.5</v>
      </c>
      <c r="O150" s="228">
        <v>-43</v>
      </c>
      <c r="P150" s="229">
        <v>-5.5999999999999999E-3</v>
      </c>
      <c r="Q150" s="231">
        <v>7722</v>
      </c>
      <c r="R150" s="231">
        <v>7762.5</v>
      </c>
      <c r="S150" s="228">
        <v>-40.5</v>
      </c>
      <c r="T150" s="229">
        <v>-5.1999999999999998E-3</v>
      </c>
      <c r="U150" s="231">
        <v>7761.5</v>
      </c>
      <c r="V150" s="231">
        <v>7805</v>
      </c>
      <c r="W150" s="228">
        <v>-43.5</v>
      </c>
      <c r="X150" s="229">
        <v>-5.5999999999999999E-3</v>
      </c>
      <c r="Y150" s="228">
        <v>22</v>
      </c>
      <c r="Z150" s="228">
        <v>15</v>
      </c>
      <c r="AA150" s="228">
        <v>7</v>
      </c>
      <c r="AB150" s="229">
        <v>2.8999999999999998E-3</v>
      </c>
      <c r="AC150" s="228">
        <v>22</v>
      </c>
      <c r="AD150" s="228">
        <v>15</v>
      </c>
      <c r="AE150" s="228">
        <v>7</v>
      </c>
      <c r="AF150" s="229">
        <v>2.8999999999999998E-3</v>
      </c>
      <c r="AG150" s="228">
        <v>59.5</v>
      </c>
      <c r="AH150" s="228">
        <v>50</v>
      </c>
      <c r="AI150" s="228">
        <v>9.5</v>
      </c>
      <c r="AJ150" s="229">
        <v>7.7999999999999996E-3</v>
      </c>
      <c r="AK150" s="228">
        <v>99</v>
      </c>
      <c r="AL150" s="228">
        <v>92.5</v>
      </c>
      <c r="AM150" s="228">
        <v>6.5</v>
      </c>
      <c r="AN150" s="229">
        <v>1.29E-2</v>
      </c>
      <c r="AO150" s="231">
        <v>7707.89</v>
      </c>
      <c r="AP150" s="231">
        <v>7744.67</v>
      </c>
      <c r="AQ150" s="228">
        <v>0</v>
      </c>
      <c r="AR150" s="230">
        <v>256725</v>
      </c>
      <c r="AS150" s="230">
        <v>225600</v>
      </c>
      <c r="AT150" s="230">
        <v>31125</v>
      </c>
      <c r="AU150" s="229">
        <v>0.13800000000000001</v>
      </c>
      <c r="AV150" s="230">
        <v>214575</v>
      </c>
      <c r="AW150" s="230">
        <v>179325</v>
      </c>
      <c r="AX150" s="230">
        <v>35250</v>
      </c>
      <c r="AY150" s="229">
        <v>0.1966</v>
      </c>
      <c r="AZ150" s="230">
        <v>38550</v>
      </c>
      <c r="BA150" s="230">
        <v>42450</v>
      </c>
      <c r="BB150" s="230">
        <v>-3900</v>
      </c>
      <c r="BC150" s="229">
        <v>-9.1899999999999996E-2</v>
      </c>
      <c r="BD150" s="230">
        <v>3600</v>
      </c>
      <c r="BE150" s="230">
        <v>3825</v>
      </c>
      <c r="BF150" s="228">
        <v>-225</v>
      </c>
      <c r="BG150" s="229">
        <v>-5.8799999999999998E-2</v>
      </c>
      <c r="BH150" s="230">
        <v>1040250</v>
      </c>
      <c r="BI150" s="230">
        <v>751275</v>
      </c>
      <c r="BJ150" s="230">
        <v>288975</v>
      </c>
      <c r="BK150" s="229">
        <v>0.3846</v>
      </c>
      <c r="BL150" s="230">
        <v>798600</v>
      </c>
      <c r="BM150" s="230">
        <v>421050</v>
      </c>
      <c r="BN150" s="230">
        <v>377550</v>
      </c>
      <c r="BO150" s="229">
        <v>0.89670000000000005</v>
      </c>
      <c r="BP150" s="230">
        <v>2095575</v>
      </c>
      <c r="BQ150" s="230">
        <v>1397925</v>
      </c>
      <c r="BR150" s="230">
        <v>697650</v>
      </c>
      <c r="BS150" s="229">
        <v>0.49909999999999999</v>
      </c>
      <c r="BT150" s="230">
        <v>122617</v>
      </c>
      <c r="BU150" s="230">
        <v>84584</v>
      </c>
      <c r="BV150" s="230">
        <v>38033</v>
      </c>
      <c r="BW150" s="229">
        <v>0.4496</v>
      </c>
      <c r="BX150" s="230">
        <v>1485675</v>
      </c>
      <c r="BY150" s="230">
        <v>1456500</v>
      </c>
      <c r="BZ150" s="230">
        <v>29175</v>
      </c>
      <c r="CA150" s="229">
        <v>0.02</v>
      </c>
      <c r="CB150" s="230">
        <v>1378575</v>
      </c>
      <c r="CC150" s="230">
        <v>1362300</v>
      </c>
      <c r="CD150" s="230">
        <v>16275</v>
      </c>
      <c r="CE150" s="229">
        <v>1.1900000000000001E-2</v>
      </c>
      <c r="CF150" s="230">
        <v>98175</v>
      </c>
      <c r="CG150" s="230">
        <v>86400</v>
      </c>
      <c r="CH150" s="230">
        <v>11775</v>
      </c>
      <c r="CI150" s="229">
        <v>0.1363</v>
      </c>
      <c r="CJ150" s="230">
        <v>8925</v>
      </c>
      <c r="CK150" s="230">
        <v>7800</v>
      </c>
      <c r="CL150" s="230">
        <v>1125</v>
      </c>
      <c r="CM150" s="229">
        <v>0.14419999999999999</v>
      </c>
      <c r="CN150" s="230">
        <v>864225</v>
      </c>
      <c r="CO150" s="230">
        <v>790500</v>
      </c>
      <c r="CP150" s="230">
        <v>73725</v>
      </c>
      <c r="CQ150" s="229">
        <v>9.3299999999999994E-2</v>
      </c>
      <c r="CR150" s="230">
        <v>484575</v>
      </c>
      <c r="CS150" s="230">
        <v>506925</v>
      </c>
      <c r="CT150" s="230">
        <v>-22350</v>
      </c>
      <c r="CU150" s="229">
        <v>-4.41E-2</v>
      </c>
      <c r="CV150" s="230">
        <v>2834475</v>
      </c>
      <c r="CW150" s="230">
        <v>2753925</v>
      </c>
      <c r="CX150" s="230">
        <v>80550</v>
      </c>
      <c r="CY150" s="229">
        <v>2.92E-2</v>
      </c>
      <c r="CZ150" s="228">
        <v>27.7</v>
      </c>
      <c r="DA150" s="228">
        <v>27.76</v>
      </c>
      <c r="DB150" s="228">
        <v>-0.06</v>
      </c>
      <c r="DC150" s="228">
        <v>-0.06</v>
      </c>
      <c r="DD150" s="228">
        <v>38.93</v>
      </c>
      <c r="DE150" s="228">
        <v>39.01</v>
      </c>
      <c r="DF150" s="228">
        <v>-11.23</v>
      </c>
      <c r="DG150" s="228">
        <v>-0.08</v>
      </c>
      <c r="DH150" s="228">
        <v>27.8</v>
      </c>
      <c r="DI150" s="228">
        <v>28.25</v>
      </c>
      <c r="DJ150" s="228">
        <v>-0.45</v>
      </c>
      <c r="DK150" s="228">
        <v>-0.45</v>
      </c>
      <c r="DL150" s="228">
        <v>27.58</v>
      </c>
      <c r="DM150" s="228">
        <v>26.89</v>
      </c>
      <c r="DN150" s="228">
        <v>0.69</v>
      </c>
      <c r="DO150" s="228">
        <v>0.69</v>
      </c>
      <c r="DP150" s="228">
        <v>0.56000000000000005</v>
      </c>
      <c r="DQ150" s="228">
        <v>0.64</v>
      </c>
      <c r="DR150" s="228">
        <v>-0.08</v>
      </c>
      <c r="DS150" s="229">
        <v>-0.125</v>
      </c>
      <c r="DT150" s="231">
        <v>8000</v>
      </c>
      <c r="DU150" s="231">
        <v>8000</v>
      </c>
      <c r="DV150" s="228">
        <v>0.77</v>
      </c>
      <c r="DW150" s="228">
        <v>0.56000000000000005</v>
      </c>
      <c r="DX150" s="228">
        <v>0.21</v>
      </c>
      <c r="DY150" s="229">
        <v>0.375</v>
      </c>
      <c r="DZ150" s="229">
        <v>7.2099999999999997E-2</v>
      </c>
      <c r="EA150" s="230">
        <v>94200</v>
      </c>
      <c r="EB150" s="229">
        <v>4.8999999999999998E-3</v>
      </c>
      <c r="EC150" s="229">
        <v>7.2099999999999997E-2</v>
      </c>
      <c r="ED150" s="228">
        <v>36.78</v>
      </c>
      <c r="EE150" s="229">
        <v>4.7999999999999996E-3</v>
      </c>
      <c r="EF150" s="230">
        <v>40896</v>
      </c>
      <c r="EG150" s="230">
        <v>32615</v>
      </c>
      <c r="EH150" s="229">
        <v>0.25390000000000001</v>
      </c>
      <c r="EI150" s="229">
        <v>0.33350000000000002</v>
      </c>
      <c r="EJ150" s="231">
        <v>84441.93</v>
      </c>
      <c r="EK150" s="231">
        <v>58539.02</v>
      </c>
      <c r="EL150" s="231">
        <v>19804.810000000001</v>
      </c>
      <c r="EM150" s="231">
        <v>3518</v>
      </c>
      <c r="EN150" s="231">
        <v>162785.76</v>
      </c>
      <c r="EO150" s="231">
        <v>111202.44</v>
      </c>
      <c r="EP150" s="231">
        <v>51583.32</v>
      </c>
      <c r="EQ150" s="229">
        <v>0.46389999999999998</v>
      </c>
      <c r="ER150" s="231">
        <v>71695</v>
      </c>
      <c r="ES150" s="231">
        <v>37612</v>
      </c>
      <c r="ET150" s="231">
        <v>114210</v>
      </c>
      <c r="EU150" s="231">
        <v>3401732</v>
      </c>
      <c r="EV150" s="231">
        <v>223518</v>
      </c>
      <c r="EW150" s="231">
        <v>217694</v>
      </c>
      <c r="EX150" s="231">
        <v>5824</v>
      </c>
      <c r="EY150" s="229">
        <v>2.6800000000000001E-2</v>
      </c>
      <c r="EZ150" s="229">
        <v>0.83320000000000005</v>
      </c>
      <c r="FA150" s="227" t="s">
        <v>567</v>
      </c>
      <c r="FB150" s="161">
        <f t="shared" si="3"/>
        <v>0</v>
      </c>
    </row>
    <row r="151" spans="1:158" ht="17.25" thickBot="1" x14ac:dyDescent="0.3">
      <c r="A151" s="226">
        <v>46009</v>
      </c>
      <c r="B151" s="227" t="s">
        <v>193</v>
      </c>
      <c r="C151" s="227" t="s">
        <v>587</v>
      </c>
      <c r="D151" s="228">
        <v>1400</v>
      </c>
      <c r="E151" s="228">
        <v>401.4</v>
      </c>
      <c r="F151" s="228">
        <v>398.25</v>
      </c>
      <c r="G151" s="228">
        <v>3.15</v>
      </c>
      <c r="H151" s="229">
        <v>7.9000000000000008E-3</v>
      </c>
      <c r="I151" s="228">
        <v>399.85</v>
      </c>
      <c r="J151" s="228">
        <v>398.15</v>
      </c>
      <c r="K151" s="228">
        <v>1.7</v>
      </c>
      <c r="L151" s="229">
        <v>4.3E-3</v>
      </c>
      <c r="M151" s="228">
        <v>401.4</v>
      </c>
      <c r="N151" s="228">
        <v>398.25</v>
      </c>
      <c r="O151" s="228">
        <v>3.15</v>
      </c>
      <c r="P151" s="229">
        <v>7.9000000000000008E-3</v>
      </c>
      <c r="Q151" s="228">
        <v>403.4</v>
      </c>
      <c r="R151" s="228">
        <v>400.05</v>
      </c>
      <c r="S151" s="228">
        <v>3.35</v>
      </c>
      <c r="T151" s="229">
        <v>8.3999999999999995E-3</v>
      </c>
      <c r="U151" s="228">
        <v>401</v>
      </c>
      <c r="V151" s="228">
        <v>399.5</v>
      </c>
      <c r="W151" s="228">
        <v>1.5</v>
      </c>
      <c r="X151" s="229">
        <v>3.8E-3</v>
      </c>
      <c r="Y151" s="228">
        <v>1.55</v>
      </c>
      <c r="Z151" s="228">
        <v>0.1</v>
      </c>
      <c r="AA151" s="228">
        <v>1.45</v>
      </c>
      <c r="AB151" s="229">
        <v>3.8999999999999998E-3</v>
      </c>
      <c r="AC151" s="228">
        <v>1.55</v>
      </c>
      <c r="AD151" s="228">
        <v>0.1</v>
      </c>
      <c r="AE151" s="228">
        <v>1.45</v>
      </c>
      <c r="AF151" s="229">
        <v>3.8999999999999998E-3</v>
      </c>
      <c r="AG151" s="228">
        <v>3.55</v>
      </c>
      <c r="AH151" s="228">
        <v>1.9</v>
      </c>
      <c r="AI151" s="228">
        <v>1.65</v>
      </c>
      <c r="AJ151" s="229">
        <v>8.8999999999999999E-3</v>
      </c>
      <c r="AK151" s="228">
        <v>1.1499999999999999</v>
      </c>
      <c r="AL151" s="228">
        <v>1.35</v>
      </c>
      <c r="AM151" s="228">
        <v>-0.2</v>
      </c>
      <c r="AN151" s="229">
        <v>2.8999999999999998E-3</v>
      </c>
      <c r="AO151" s="228">
        <v>400.58</v>
      </c>
      <c r="AP151" s="228">
        <v>402.86</v>
      </c>
      <c r="AQ151" s="228">
        <v>0</v>
      </c>
      <c r="AR151" s="230">
        <v>1089200</v>
      </c>
      <c r="AS151" s="230">
        <v>1068200</v>
      </c>
      <c r="AT151" s="230">
        <v>21000</v>
      </c>
      <c r="AU151" s="229">
        <v>1.9699999999999999E-2</v>
      </c>
      <c r="AV151" s="230">
        <v>953400</v>
      </c>
      <c r="AW151" s="230">
        <v>939400</v>
      </c>
      <c r="AX151" s="230">
        <v>14000</v>
      </c>
      <c r="AY151" s="229">
        <v>1.49E-2</v>
      </c>
      <c r="AZ151" s="230">
        <v>119000</v>
      </c>
      <c r="BA151" s="230">
        <v>109200</v>
      </c>
      <c r="BB151" s="230">
        <v>9800</v>
      </c>
      <c r="BC151" s="229">
        <v>8.9700000000000002E-2</v>
      </c>
      <c r="BD151" s="230">
        <v>16800</v>
      </c>
      <c r="BE151" s="230">
        <v>19600</v>
      </c>
      <c r="BF151" s="230">
        <v>-2800</v>
      </c>
      <c r="BG151" s="229">
        <v>-0.1429</v>
      </c>
      <c r="BH151" s="230">
        <v>3364200</v>
      </c>
      <c r="BI151" s="230">
        <v>3858400</v>
      </c>
      <c r="BJ151" s="230">
        <v>-494200</v>
      </c>
      <c r="BK151" s="229">
        <v>-0.12809999999999999</v>
      </c>
      <c r="BL151" s="230">
        <v>1029000</v>
      </c>
      <c r="BM151" s="230">
        <v>1310400</v>
      </c>
      <c r="BN151" s="230">
        <v>-281400</v>
      </c>
      <c r="BO151" s="229">
        <v>-0.2147</v>
      </c>
      <c r="BP151" s="230">
        <v>5482400</v>
      </c>
      <c r="BQ151" s="230">
        <v>6237000</v>
      </c>
      <c r="BR151" s="230">
        <v>-754600</v>
      </c>
      <c r="BS151" s="229">
        <v>-0.121</v>
      </c>
      <c r="BT151" s="230">
        <v>2493542</v>
      </c>
      <c r="BU151" s="230">
        <v>917406</v>
      </c>
      <c r="BV151" s="230">
        <v>1576136</v>
      </c>
      <c r="BW151" s="229">
        <v>1.718</v>
      </c>
      <c r="BX151" s="230">
        <v>11179000</v>
      </c>
      <c r="BY151" s="230">
        <v>11229400</v>
      </c>
      <c r="BZ151" s="230">
        <v>-50400</v>
      </c>
      <c r="CA151" s="229">
        <v>-4.4999999999999997E-3</v>
      </c>
      <c r="CB151" s="230">
        <v>10472000</v>
      </c>
      <c r="CC151" s="230">
        <v>10574200</v>
      </c>
      <c r="CD151" s="230">
        <v>-102200</v>
      </c>
      <c r="CE151" s="229">
        <v>-9.7000000000000003E-3</v>
      </c>
      <c r="CF151" s="230">
        <v>546000</v>
      </c>
      <c r="CG151" s="230">
        <v>495600</v>
      </c>
      <c r="CH151" s="230">
        <v>50400</v>
      </c>
      <c r="CI151" s="229">
        <v>0.1017</v>
      </c>
      <c r="CJ151" s="230">
        <v>161000</v>
      </c>
      <c r="CK151" s="230">
        <v>159600</v>
      </c>
      <c r="CL151" s="230">
        <v>1400</v>
      </c>
      <c r="CM151" s="229">
        <v>8.8000000000000005E-3</v>
      </c>
      <c r="CN151" s="230">
        <v>7012600</v>
      </c>
      <c r="CO151" s="230">
        <v>7256200</v>
      </c>
      <c r="CP151" s="230">
        <v>-243600</v>
      </c>
      <c r="CQ151" s="229">
        <v>-3.3599999999999998E-2</v>
      </c>
      <c r="CR151" s="230">
        <v>3848600</v>
      </c>
      <c r="CS151" s="230">
        <v>3817800</v>
      </c>
      <c r="CT151" s="230">
        <v>30800</v>
      </c>
      <c r="CU151" s="229">
        <v>8.0999999999999996E-3</v>
      </c>
      <c r="CV151" s="230">
        <v>22040200</v>
      </c>
      <c r="CW151" s="230">
        <v>22303400</v>
      </c>
      <c r="CX151" s="230">
        <v>-263200</v>
      </c>
      <c r="CY151" s="229">
        <v>-1.18E-2</v>
      </c>
      <c r="CZ151" s="228">
        <v>21.57</v>
      </c>
      <c r="DA151" s="228">
        <v>23.28</v>
      </c>
      <c r="DB151" s="228">
        <v>-1.71</v>
      </c>
      <c r="DC151" s="228">
        <v>-1.71</v>
      </c>
      <c r="DD151" s="228">
        <v>41.22</v>
      </c>
      <c r="DE151" s="228">
        <v>41.31</v>
      </c>
      <c r="DF151" s="228">
        <v>-19.649999999999999</v>
      </c>
      <c r="DG151" s="228">
        <v>-0.09</v>
      </c>
      <c r="DH151" s="228">
        <v>21.22</v>
      </c>
      <c r="DI151" s="228">
        <v>23.89</v>
      </c>
      <c r="DJ151" s="228">
        <v>-2.67</v>
      </c>
      <c r="DK151" s="228">
        <v>-2.67</v>
      </c>
      <c r="DL151" s="228">
        <v>22.75</v>
      </c>
      <c r="DM151" s="228">
        <v>21.48</v>
      </c>
      <c r="DN151" s="228">
        <v>1.27</v>
      </c>
      <c r="DO151" s="228">
        <v>1.27</v>
      </c>
      <c r="DP151" s="228">
        <v>0.55000000000000004</v>
      </c>
      <c r="DQ151" s="228">
        <v>0.53</v>
      </c>
      <c r="DR151" s="228">
        <v>0.02</v>
      </c>
      <c r="DS151" s="229">
        <v>3.7699999999999997E-2</v>
      </c>
      <c r="DT151" s="228">
        <v>450</v>
      </c>
      <c r="DU151" s="228">
        <v>400</v>
      </c>
      <c r="DV151" s="228">
        <v>0.31</v>
      </c>
      <c r="DW151" s="228">
        <v>0.34</v>
      </c>
      <c r="DX151" s="228">
        <v>-0.03</v>
      </c>
      <c r="DY151" s="229">
        <v>-8.8200000000000001E-2</v>
      </c>
      <c r="DZ151" s="229">
        <v>6.3200000000000006E-2</v>
      </c>
      <c r="EA151" s="230">
        <v>655200</v>
      </c>
      <c r="EB151" s="229">
        <v>5.0000000000000001E-3</v>
      </c>
      <c r="EC151" s="229">
        <v>6.3200000000000006E-2</v>
      </c>
      <c r="ED151" s="228">
        <v>2.2799999999999998</v>
      </c>
      <c r="EE151" s="229">
        <v>5.7000000000000002E-3</v>
      </c>
      <c r="EF151" s="230">
        <v>1852492</v>
      </c>
      <c r="EG151" s="230">
        <v>422378</v>
      </c>
      <c r="EH151" s="229">
        <v>3.3858999999999999</v>
      </c>
      <c r="EI151" s="229">
        <v>0.7429</v>
      </c>
      <c r="EJ151" s="231">
        <v>14060.53</v>
      </c>
      <c r="EK151" s="231">
        <v>4143.91</v>
      </c>
      <c r="EL151" s="231">
        <v>4365.88</v>
      </c>
      <c r="EM151" s="228">
        <v>860</v>
      </c>
      <c r="EN151" s="231">
        <v>22570.32</v>
      </c>
      <c r="EO151" s="231">
        <v>25752.34</v>
      </c>
      <c r="EP151" s="231">
        <v>-3182.02</v>
      </c>
      <c r="EQ151" s="229">
        <v>-0.1236</v>
      </c>
      <c r="ER151" s="231">
        <v>30261</v>
      </c>
      <c r="ES151" s="231">
        <v>15609</v>
      </c>
      <c r="ET151" s="231">
        <v>44883</v>
      </c>
      <c r="EU151" s="231">
        <v>94123587</v>
      </c>
      <c r="EV151" s="231">
        <v>90753</v>
      </c>
      <c r="EW151" s="231">
        <v>91517</v>
      </c>
      <c r="EX151" s="228">
        <v>-764</v>
      </c>
      <c r="EY151" s="229">
        <v>-8.3000000000000001E-3</v>
      </c>
      <c r="EZ151" s="229">
        <v>0.23419999999999999</v>
      </c>
      <c r="FA151" s="227" t="s">
        <v>556</v>
      </c>
      <c r="FB151" s="161">
        <f t="shared" si="3"/>
        <v>0</v>
      </c>
    </row>
    <row r="152" spans="1:158" ht="17.25" thickBot="1" x14ac:dyDescent="0.3">
      <c r="A152" s="226">
        <v>46009</v>
      </c>
      <c r="B152" s="227" t="s">
        <v>193</v>
      </c>
      <c r="C152" s="227" t="s">
        <v>269</v>
      </c>
      <c r="D152" s="228">
        <v>2250</v>
      </c>
      <c r="E152" s="228">
        <v>232.2</v>
      </c>
      <c r="F152" s="228">
        <v>233.14</v>
      </c>
      <c r="G152" s="228">
        <v>-0.94</v>
      </c>
      <c r="H152" s="229">
        <v>-4.0000000000000001E-3</v>
      </c>
      <c r="I152" s="228">
        <v>232</v>
      </c>
      <c r="J152" s="228">
        <v>232.91</v>
      </c>
      <c r="K152" s="228">
        <v>-0.91</v>
      </c>
      <c r="L152" s="229">
        <v>-3.8999999999999998E-3</v>
      </c>
      <c r="M152" s="228">
        <v>232.2</v>
      </c>
      <c r="N152" s="228">
        <v>233.14</v>
      </c>
      <c r="O152" s="228">
        <v>-0.94</v>
      </c>
      <c r="P152" s="229">
        <v>-4.0000000000000001E-3</v>
      </c>
      <c r="Q152" s="228">
        <v>233.74</v>
      </c>
      <c r="R152" s="228">
        <v>234.61</v>
      </c>
      <c r="S152" s="228">
        <v>-0.87</v>
      </c>
      <c r="T152" s="229">
        <v>-3.7000000000000002E-3</v>
      </c>
      <c r="U152" s="228">
        <v>233.55</v>
      </c>
      <c r="V152" s="228">
        <v>234.3</v>
      </c>
      <c r="W152" s="228">
        <v>-0.75</v>
      </c>
      <c r="X152" s="229">
        <v>-3.2000000000000002E-3</v>
      </c>
      <c r="Y152" s="228">
        <v>0.2</v>
      </c>
      <c r="Z152" s="228">
        <v>0.23</v>
      </c>
      <c r="AA152" s="228">
        <v>-0.03</v>
      </c>
      <c r="AB152" s="229">
        <v>8.9999999999999998E-4</v>
      </c>
      <c r="AC152" s="228">
        <v>0.2</v>
      </c>
      <c r="AD152" s="228">
        <v>0.23</v>
      </c>
      <c r="AE152" s="228">
        <v>-0.03</v>
      </c>
      <c r="AF152" s="229">
        <v>8.9999999999999998E-4</v>
      </c>
      <c r="AG152" s="228">
        <v>1.74</v>
      </c>
      <c r="AH152" s="228">
        <v>1.7</v>
      </c>
      <c r="AI152" s="228">
        <v>0.04</v>
      </c>
      <c r="AJ152" s="229">
        <v>7.4999999999999997E-3</v>
      </c>
      <c r="AK152" s="228">
        <v>1.55</v>
      </c>
      <c r="AL152" s="228">
        <v>1.39</v>
      </c>
      <c r="AM152" s="228">
        <v>0.16</v>
      </c>
      <c r="AN152" s="229">
        <v>6.7000000000000002E-3</v>
      </c>
      <c r="AO152" s="228">
        <v>232.58</v>
      </c>
      <c r="AP152" s="228">
        <v>234.03</v>
      </c>
      <c r="AQ152" s="228">
        <v>0</v>
      </c>
      <c r="AR152" s="230">
        <v>9254250</v>
      </c>
      <c r="AS152" s="230">
        <v>10788750</v>
      </c>
      <c r="AT152" s="230">
        <v>-1534500</v>
      </c>
      <c r="AU152" s="229">
        <v>-0.14219999999999999</v>
      </c>
      <c r="AV152" s="230">
        <v>6468750</v>
      </c>
      <c r="AW152" s="230">
        <v>8871750</v>
      </c>
      <c r="AX152" s="230">
        <v>-2403000</v>
      </c>
      <c r="AY152" s="229">
        <v>-0.27089999999999997</v>
      </c>
      <c r="AZ152" s="230">
        <v>2668500</v>
      </c>
      <c r="BA152" s="230">
        <v>1797750</v>
      </c>
      <c r="BB152" s="230">
        <v>870750</v>
      </c>
      <c r="BC152" s="229">
        <v>0.4844</v>
      </c>
      <c r="BD152" s="230">
        <v>117000</v>
      </c>
      <c r="BE152" s="230">
        <v>119250</v>
      </c>
      <c r="BF152" s="230">
        <v>-2250</v>
      </c>
      <c r="BG152" s="229">
        <v>-1.89E-2</v>
      </c>
      <c r="BH152" s="230">
        <v>30687750</v>
      </c>
      <c r="BI152" s="230">
        <v>34805250</v>
      </c>
      <c r="BJ152" s="230">
        <v>-4117500</v>
      </c>
      <c r="BK152" s="229">
        <v>-0.1183</v>
      </c>
      <c r="BL152" s="230">
        <v>14886000</v>
      </c>
      <c r="BM152" s="230">
        <v>23292000</v>
      </c>
      <c r="BN152" s="230">
        <v>-8406000</v>
      </c>
      <c r="BO152" s="229">
        <v>-0.3609</v>
      </c>
      <c r="BP152" s="230">
        <v>54828000</v>
      </c>
      <c r="BQ152" s="230">
        <v>68886000</v>
      </c>
      <c r="BR152" s="230">
        <v>-14058000</v>
      </c>
      <c r="BS152" s="229">
        <v>-0.2041</v>
      </c>
      <c r="BT152" s="230">
        <v>4096481</v>
      </c>
      <c r="BU152" s="230">
        <v>6080475</v>
      </c>
      <c r="BV152" s="230">
        <v>-1983994</v>
      </c>
      <c r="BW152" s="229">
        <v>-0.32629999999999998</v>
      </c>
      <c r="BX152" s="230">
        <v>101094750</v>
      </c>
      <c r="BY152" s="230">
        <v>100584000</v>
      </c>
      <c r="BZ152" s="230">
        <v>510750</v>
      </c>
      <c r="CA152" s="229">
        <v>5.1000000000000004E-3</v>
      </c>
      <c r="CB152" s="230">
        <v>91417500</v>
      </c>
      <c r="CC152" s="230">
        <v>92794500</v>
      </c>
      <c r="CD152" s="230">
        <v>-1377000</v>
      </c>
      <c r="CE152" s="229">
        <v>-1.4800000000000001E-2</v>
      </c>
      <c r="CF152" s="230">
        <v>8570250</v>
      </c>
      <c r="CG152" s="230">
        <v>6736500</v>
      </c>
      <c r="CH152" s="230">
        <v>1833750</v>
      </c>
      <c r="CI152" s="229">
        <v>0.2722</v>
      </c>
      <c r="CJ152" s="230">
        <v>1107000</v>
      </c>
      <c r="CK152" s="230">
        <v>1053000</v>
      </c>
      <c r="CL152" s="230">
        <v>54000</v>
      </c>
      <c r="CM152" s="229">
        <v>5.1299999999999998E-2</v>
      </c>
      <c r="CN152" s="230">
        <v>64129500</v>
      </c>
      <c r="CO152" s="230">
        <v>64037250</v>
      </c>
      <c r="CP152" s="230">
        <v>92250</v>
      </c>
      <c r="CQ152" s="229">
        <v>1.4E-3</v>
      </c>
      <c r="CR152" s="230">
        <v>26167500</v>
      </c>
      <c r="CS152" s="230">
        <v>26532000</v>
      </c>
      <c r="CT152" s="230">
        <v>-364500</v>
      </c>
      <c r="CU152" s="229">
        <v>-1.37E-2</v>
      </c>
      <c r="CV152" s="230">
        <v>191391750</v>
      </c>
      <c r="CW152" s="230">
        <v>191153250</v>
      </c>
      <c r="CX152" s="230">
        <v>238500</v>
      </c>
      <c r="CY152" s="229">
        <v>1.1999999999999999E-3</v>
      </c>
      <c r="CZ152" s="228">
        <v>17.75</v>
      </c>
      <c r="DA152" s="228">
        <v>17.78</v>
      </c>
      <c r="DB152" s="228">
        <v>-0.03</v>
      </c>
      <c r="DC152" s="228">
        <v>-0.03</v>
      </c>
      <c r="DD152" s="228">
        <v>29.93</v>
      </c>
      <c r="DE152" s="228">
        <v>30</v>
      </c>
      <c r="DF152" s="228">
        <v>-12.18</v>
      </c>
      <c r="DG152" s="228">
        <v>-7.0000000000000007E-2</v>
      </c>
      <c r="DH152" s="228">
        <v>17.579999999999998</v>
      </c>
      <c r="DI152" s="228">
        <v>17.18</v>
      </c>
      <c r="DJ152" s="228">
        <v>0.4</v>
      </c>
      <c r="DK152" s="228">
        <v>0.4</v>
      </c>
      <c r="DL152" s="228">
        <v>18.079999999999998</v>
      </c>
      <c r="DM152" s="228">
        <v>18.68</v>
      </c>
      <c r="DN152" s="228">
        <v>-0.6</v>
      </c>
      <c r="DO152" s="228">
        <v>-0.6</v>
      </c>
      <c r="DP152" s="228">
        <v>0.41</v>
      </c>
      <c r="DQ152" s="228">
        <v>0.41</v>
      </c>
      <c r="DR152" s="228">
        <v>0</v>
      </c>
      <c r="DS152" s="229">
        <v>0</v>
      </c>
      <c r="DT152" s="228">
        <v>250</v>
      </c>
      <c r="DU152" s="228">
        <v>230</v>
      </c>
      <c r="DV152" s="228">
        <v>0.49</v>
      </c>
      <c r="DW152" s="228">
        <v>0.67</v>
      </c>
      <c r="DX152" s="228">
        <v>-0.18</v>
      </c>
      <c r="DY152" s="229">
        <v>-0.26869999999999999</v>
      </c>
      <c r="DZ152" s="229">
        <v>9.5699999999999993E-2</v>
      </c>
      <c r="EA152" s="230">
        <v>7789500</v>
      </c>
      <c r="EB152" s="229">
        <v>6.6E-3</v>
      </c>
      <c r="EC152" s="229">
        <v>9.5699999999999993E-2</v>
      </c>
      <c r="ED152" s="228">
        <v>1.45</v>
      </c>
      <c r="EE152" s="229">
        <v>6.1999999999999998E-3</v>
      </c>
      <c r="EF152" s="230">
        <v>2460591</v>
      </c>
      <c r="EG152" s="230">
        <v>3166644</v>
      </c>
      <c r="EH152" s="229">
        <v>-0.223</v>
      </c>
      <c r="EI152" s="229">
        <v>0.60070000000000001</v>
      </c>
      <c r="EJ152" s="231">
        <v>73699.070000000007</v>
      </c>
      <c r="EK152" s="231">
        <v>34251.269999999997</v>
      </c>
      <c r="EL152" s="231">
        <v>21563.57</v>
      </c>
      <c r="EM152" s="231">
        <v>4737</v>
      </c>
      <c r="EN152" s="231">
        <v>129513.91</v>
      </c>
      <c r="EO152" s="231">
        <v>162292.43</v>
      </c>
      <c r="EP152" s="231">
        <v>-32778.519999999997</v>
      </c>
      <c r="EQ152" s="229">
        <v>-0.20200000000000001</v>
      </c>
      <c r="ER152" s="231">
        <v>157778</v>
      </c>
      <c r="ES152" s="231">
        <v>61670</v>
      </c>
      <c r="ET152" s="231">
        <v>234889</v>
      </c>
      <c r="EU152" s="231">
        <v>517141211</v>
      </c>
      <c r="EV152" s="231">
        <v>454337</v>
      </c>
      <c r="EW152" s="231">
        <v>454783</v>
      </c>
      <c r="EX152" s="228">
        <v>-446</v>
      </c>
      <c r="EY152" s="229">
        <v>-1E-3</v>
      </c>
      <c r="EZ152" s="229">
        <v>0.37009999999999998</v>
      </c>
      <c r="FA152" s="227" t="s">
        <v>567</v>
      </c>
      <c r="FB152" s="161">
        <f t="shared" si="3"/>
        <v>0</v>
      </c>
    </row>
    <row r="153" spans="1:158" ht="17.25" thickBot="1" x14ac:dyDescent="0.3">
      <c r="A153" s="226">
        <v>46009</v>
      </c>
      <c r="B153" s="227" t="s">
        <v>197</v>
      </c>
      <c r="C153" s="227" t="s">
        <v>270</v>
      </c>
      <c r="D153" s="228">
        <v>15</v>
      </c>
      <c r="E153" s="231">
        <v>35840</v>
      </c>
      <c r="F153" s="231">
        <v>36085</v>
      </c>
      <c r="G153" s="228">
        <v>-245</v>
      </c>
      <c r="H153" s="229">
        <v>-6.7999999999999996E-3</v>
      </c>
      <c r="I153" s="231">
        <v>35695</v>
      </c>
      <c r="J153" s="231">
        <v>36055</v>
      </c>
      <c r="K153" s="228">
        <v>-360</v>
      </c>
      <c r="L153" s="229">
        <v>-0.01</v>
      </c>
      <c r="M153" s="231">
        <v>35840</v>
      </c>
      <c r="N153" s="231">
        <v>36085</v>
      </c>
      <c r="O153" s="228">
        <v>-245</v>
      </c>
      <c r="P153" s="229">
        <v>-6.7999999999999996E-3</v>
      </c>
      <c r="Q153" s="231">
        <v>35910</v>
      </c>
      <c r="R153" s="231">
        <v>36020</v>
      </c>
      <c r="S153" s="228">
        <v>-110</v>
      </c>
      <c r="T153" s="229">
        <v>-3.0999999999999999E-3</v>
      </c>
      <c r="U153" s="231">
        <v>35860</v>
      </c>
      <c r="V153" s="231">
        <v>36000</v>
      </c>
      <c r="W153" s="228">
        <v>-140</v>
      </c>
      <c r="X153" s="229">
        <v>-3.8999999999999998E-3</v>
      </c>
      <c r="Y153" s="228">
        <v>145</v>
      </c>
      <c r="Z153" s="228">
        <v>30</v>
      </c>
      <c r="AA153" s="228">
        <v>115</v>
      </c>
      <c r="AB153" s="229">
        <v>4.1000000000000003E-3</v>
      </c>
      <c r="AC153" s="228">
        <v>145</v>
      </c>
      <c r="AD153" s="228">
        <v>30</v>
      </c>
      <c r="AE153" s="228">
        <v>115</v>
      </c>
      <c r="AF153" s="229">
        <v>4.1000000000000003E-3</v>
      </c>
      <c r="AG153" s="228">
        <v>215</v>
      </c>
      <c r="AH153" s="228">
        <v>-35</v>
      </c>
      <c r="AI153" s="228">
        <v>250</v>
      </c>
      <c r="AJ153" s="229">
        <v>6.0000000000000001E-3</v>
      </c>
      <c r="AK153" s="228">
        <v>165</v>
      </c>
      <c r="AL153" s="228">
        <v>-55</v>
      </c>
      <c r="AM153" s="228">
        <v>220</v>
      </c>
      <c r="AN153" s="229">
        <v>4.5999999999999999E-3</v>
      </c>
      <c r="AO153" s="231">
        <v>35944.160000000003</v>
      </c>
      <c r="AP153" s="231">
        <v>35993.35</v>
      </c>
      <c r="AQ153" s="228">
        <v>0</v>
      </c>
      <c r="AR153" s="230">
        <v>38430</v>
      </c>
      <c r="AS153" s="230">
        <v>33195</v>
      </c>
      <c r="AT153" s="230">
        <v>5235</v>
      </c>
      <c r="AU153" s="229">
        <v>0.15770000000000001</v>
      </c>
      <c r="AV153" s="230">
        <v>31395</v>
      </c>
      <c r="AW153" s="230">
        <v>28275</v>
      </c>
      <c r="AX153" s="230">
        <v>3120</v>
      </c>
      <c r="AY153" s="229">
        <v>0.1103</v>
      </c>
      <c r="AZ153" s="230">
        <v>6615</v>
      </c>
      <c r="BA153" s="230">
        <v>4470</v>
      </c>
      <c r="BB153" s="230">
        <v>2145</v>
      </c>
      <c r="BC153" s="229">
        <v>0.47989999999999999</v>
      </c>
      <c r="BD153" s="228">
        <v>420</v>
      </c>
      <c r="BE153" s="228">
        <v>450</v>
      </c>
      <c r="BF153" s="228">
        <v>-30</v>
      </c>
      <c r="BG153" s="229">
        <v>-6.6699999999999995E-2</v>
      </c>
      <c r="BH153" s="230">
        <v>133260</v>
      </c>
      <c r="BI153" s="230">
        <v>147465</v>
      </c>
      <c r="BJ153" s="230">
        <v>-14205</v>
      </c>
      <c r="BK153" s="229">
        <v>-9.6299999999999997E-2</v>
      </c>
      <c r="BL153" s="230">
        <v>129135</v>
      </c>
      <c r="BM153" s="230">
        <v>35520</v>
      </c>
      <c r="BN153" s="230">
        <v>93615</v>
      </c>
      <c r="BO153" s="229">
        <v>2.6356000000000002</v>
      </c>
      <c r="BP153" s="230">
        <v>300825</v>
      </c>
      <c r="BQ153" s="230">
        <v>216180</v>
      </c>
      <c r="BR153" s="230">
        <v>84645</v>
      </c>
      <c r="BS153" s="229">
        <v>0.39150000000000001</v>
      </c>
      <c r="BT153" s="230">
        <v>23686</v>
      </c>
      <c r="BU153" s="230">
        <v>16548</v>
      </c>
      <c r="BV153" s="230">
        <v>7138</v>
      </c>
      <c r="BW153" s="229">
        <v>0.43140000000000001</v>
      </c>
      <c r="BX153" s="230">
        <v>275445</v>
      </c>
      <c r="BY153" s="230">
        <v>271800</v>
      </c>
      <c r="BZ153" s="230">
        <v>3645</v>
      </c>
      <c r="CA153" s="229">
        <v>1.34E-2</v>
      </c>
      <c r="CB153" s="230">
        <v>253260</v>
      </c>
      <c r="CC153" s="230">
        <v>253290</v>
      </c>
      <c r="CD153" s="228">
        <v>-30</v>
      </c>
      <c r="CE153" s="229">
        <v>-1E-4</v>
      </c>
      <c r="CF153" s="230">
        <v>18885</v>
      </c>
      <c r="CG153" s="230">
        <v>15360</v>
      </c>
      <c r="CH153" s="230">
        <v>3525</v>
      </c>
      <c r="CI153" s="229">
        <v>0.22950000000000001</v>
      </c>
      <c r="CJ153" s="230">
        <v>3300</v>
      </c>
      <c r="CK153" s="230">
        <v>3150</v>
      </c>
      <c r="CL153" s="228">
        <v>150</v>
      </c>
      <c r="CM153" s="229">
        <v>4.7600000000000003E-2</v>
      </c>
      <c r="CN153" s="230">
        <v>130230</v>
      </c>
      <c r="CO153" s="230">
        <v>130095</v>
      </c>
      <c r="CP153" s="228">
        <v>135</v>
      </c>
      <c r="CQ153" s="229">
        <v>1E-3</v>
      </c>
      <c r="CR153" s="230">
        <v>55080</v>
      </c>
      <c r="CS153" s="230">
        <v>53520</v>
      </c>
      <c r="CT153" s="230">
        <v>1560</v>
      </c>
      <c r="CU153" s="229">
        <v>2.9100000000000001E-2</v>
      </c>
      <c r="CV153" s="230">
        <v>460755</v>
      </c>
      <c r="CW153" s="230">
        <v>455415</v>
      </c>
      <c r="CX153" s="230">
        <v>5340</v>
      </c>
      <c r="CY153" s="229">
        <v>1.17E-2</v>
      </c>
      <c r="CZ153" s="228">
        <v>29.86</v>
      </c>
      <c r="DA153" s="228">
        <v>25.1</v>
      </c>
      <c r="DB153" s="228">
        <v>4.76</v>
      </c>
      <c r="DC153" s="228">
        <v>4.76</v>
      </c>
      <c r="DD153" s="228">
        <v>27.8</v>
      </c>
      <c r="DE153" s="228">
        <v>27.84</v>
      </c>
      <c r="DF153" s="228">
        <v>2.06</v>
      </c>
      <c r="DG153" s="228">
        <v>-0.04</v>
      </c>
      <c r="DH153" s="228">
        <v>25.31</v>
      </c>
      <c r="DI153" s="228">
        <v>26.14</v>
      </c>
      <c r="DJ153" s="228">
        <v>-0.83</v>
      </c>
      <c r="DK153" s="228">
        <v>-0.83</v>
      </c>
      <c r="DL153" s="228">
        <v>34.56</v>
      </c>
      <c r="DM153" s="228">
        <v>20.8</v>
      </c>
      <c r="DN153" s="228">
        <v>13.76</v>
      </c>
      <c r="DO153" s="228">
        <v>13.76</v>
      </c>
      <c r="DP153" s="228">
        <v>0.42</v>
      </c>
      <c r="DQ153" s="228">
        <v>0.41</v>
      </c>
      <c r="DR153" s="228">
        <v>0.01</v>
      </c>
      <c r="DS153" s="229">
        <v>2.4400000000000002E-2</v>
      </c>
      <c r="DT153" s="231">
        <v>40000</v>
      </c>
      <c r="DU153" s="231">
        <v>35000</v>
      </c>
      <c r="DV153" s="228">
        <v>0.97</v>
      </c>
      <c r="DW153" s="228">
        <v>0.24</v>
      </c>
      <c r="DX153" s="228">
        <v>0.73</v>
      </c>
      <c r="DY153" s="229">
        <v>3.0417000000000001</v>
      </c>
      <c r="DZ153" s="229">
        <v>8.0500000000000002E-2</v>
      </c>
      <c r="EA153" s="230">
        <v>18510</v>
      </c>
      <c r="EB153" s="229">
        <v>2E-3</v>
      </c>
      <c r="EC153" s="229">
        <v>8.0500000000000002E-2</v>
      </c>
      <c r="ED153" s="228">
        <v>49.19</v>
      </c>
      <c r="EE153" s="229">
        <v>1.4E-3</v>
      </c>
      <c r="EF153" s="230">
        <v>14626</v>
      </c>
      <c r="EG153" s="230">
        <v>8522</v>
      </c>
      <c r="EH153" s="229">
        <v>0.71630000000000005</v>
      </c>
      <c r="EI153" s="229">
        <v>0.61750000000000005</v>
      </c>
      <c r="EJ153" s="231">
        <v>51225.57</v>
      </c>
      <c r="EK153" s="231">
        <v>41468.339999999997</v>
      </c>
      <c r="EL153" s="231">
        <v>13816.63</v>
      </c>
      <c r="EM153" s="231">
        <v>1475</v>
      </c>
      <c r="EN153" s="231">
        <v>106510.54</v>
      </c>
      <c r="EO153" s="231">
        <v>81944.56</v>
      </c>
      <c r="EP153" s="231">
        <v>24565.98</v>
      </c>
      <c r="EQ153" s="229">
        <v>0.29980000000000001</v>
      </c>
      <c r="ER153" s="231">
        <v>50908</v>
      </c>
      <c r="ES153" s="231">
        <v>20103</v>
      </c>
      <c r="ET153" s="231">
        <v>98733</v>
      </c>
      <c r="EU153" s="231">
        <v>955549</v>
      </c>
      <c r="EV153" s="231">
        <v>169744</v>
      </c>
      <c r="EW153" s="231">
        <v>168834</v>
      </c>
      <c r="EX153" s="228">
        <v>910</v>
      </c>
      <c r="EY153" s="229">
        <v>5.4000000000000003E-3</v>
      </c>
      <c r="EZ153" s="229">
        <v>0.48220000000000002</v>
      </c>
      <c r="FA153" s="227" t="s">
        <v>567</v>
      </c>
      <c r="FB153" s="161">
        <f>BX227-CB227</f>
        <v>0</v>
      </c>
    </row>
    <row r="154" spans="1:158" ht="17.25" thickBot="1" x14ac:dyDescent="0.3">
      <c r="A154" s="226">
        <v>46009</v>
      </c>
      <c r="B154" s="227" t="s">
        <v>168</v>
      </c>
      <c r="C154" s="227" t="s">
        <v>666</v>
      </c>
      <c r="D154" s="228">
        <v>900</v>
      </c>
      <c r="E154" s="228">
        <v>552.15</v>
      </c>
      <c r="F154" s="228">
        <v>544.6</v>
      </c>
      <c r="G154" s="228">
        <v>7.55</v>
      </c>
      <c r="H154" s="229">
        <v>1.3899999999999999E-2</v>
      </c>
      <c r="I154" s="228">
        <v>550.29999999999995</v>
      </c>
      <c r="J154" s="228">
        <v>543.9</v>
      </c>
      <c r="K154" s="228">
        <v>6.4</v>
      </c>
      <c r="L154" s="229">
        <v>1.18E-2</v>
      </c>
      <c r="M154" s="228">
        <v>552.15</v>
      </c>
      <c r="N154" s="228">
        <v>544.6</v>
      </c>
      <c r="O154" s="228">
        <v>7.55</v>
      </c>
      <c r="P154" s="229">
        <v>1.3899999999999999E-2</v>
      </c>
      <c r="Q154" s="228">
        <v>555.25</v>
      </c>
      <c r="R154" s="228">
        <v>547.70000000000005</v>
      </c>
      <c r="S154" s="228">
        <v>7.55</v>
      </c>
      <c r="T154" s="229">
        <v>1.38E-2</v>
      </c>
      <c r="U154" s="228">
        <v>561</v>
      </c>
      <c r="V154" s="228">
        <v>551.9</v>
      </c>
      <c r="W154" s="228">
        <v>9.1</v>
      </c>
      <c r="X154" s="229">
        <v>1.6500000000000001E-2</v>
      </c>
      <c r="Y154" s="228">
        <v>1.85</v>
      </c>
      <c r="Z154" s="228">
        <v>0.7</v>
      </c>
      <c r="AA154" s="228">
        <v>1.1499999999999999</v>
      </c>
      <c r="AB154" s="229">
        <v>3.3999999999999998E-3</v>
      </c>
      <c r="AC154" s="228">
        <v>1.85</v>
      </c>
      <c r="AD154" s="228">
        <v>0.7</v>
      </c>
      <c r="AE154" s="228">
        <v>1.1499999999999999</v>
      </c>
      <c r="AF154" s="229">
        <v>3.3999999999999998E-3</v>
      </c>
      <c r="AG154" s="228">
        <v>4.95</v>
      </c>
      <c r="AH154" s="228">
        <v>3.8</v>
      </c>
      <c r="AI154" s="228">
        <v>1.1499999999999999</v>
      </c>
      <c r="AJ154" s="229">
        <v>8.9999999999999993E-3</v>
      </c>
      <c r="AK154" s="228">
        <v>10.7</v>
      </c>
      <c r="AL154" s="228">
        <v>8</v>
      </c>
      <c r="AM154" s="228">
        <v>2.7</v>
      </c>
      <c r="AN154" s="229">
        <v>1.9400000000000001E-2</v>
      </c>
      <c r="AO154" s="228">
        <v>554.04999999999995</v>
      </c>
      <c r="AP154" s="228">
        <v>559.44000000000005</v>
      </c>
      <c r="AQ154" s="228">
        <v>0</v>
      </c>
      <c r="AR154" s="230">
        <v>10987200</v>
      </c>
      <c r="AS154" s="230">
        <v>9375300</v>
      </c>
      <c r="AT154" s="230">
        <v>1611900</v>
      </c>
      <c r="AU154" s="229">
        <v>0.1719</v>
      </c>
      <c r="AV154" s="230">
        <v>10081800</v>
      </c>
      <c r="AW154" s="230">
        <v>8464500</v>
      </c>
      <c r="AX154" s="230">
        <v>1617300</v>
      </c>
      <c r="AY154" s="229">
        <v>0.19109999999999999</v>
      </c>
      <c r="AZ154" s="230">
        <v>897300</v>
      </c>
      <c r="BA154" s="230">
        <v>893700</v>
      </c>
      <c r="BB154" s="230">
        <v>3600</v>
      </c>
      <c r="BC154" s="229">
        <v>4.0000000000000001E-3</v>
      </c>
      <c r="BD154" s="230">
        <v>8100</v>
      </c>
      <c r="BE154" s="230">
        <v>17100</v>
      </c>
      <c r="BF154" s="230">
        <v>-9000</v>
      </c>
      <c r="BG154" s="229">
        <v>-0.52629999999999999</v>
      </c>
      <c r="BH154" s="230">
        <v>19800900</v>
      </c>
      <c r="BI154" s="230">
        <v>11430000</v>
      </c>
      <c r="BJ154" s="230">
        <v>8370900</v>
      </c>
      <c r="BK154" s="229">
        <v>0.73240000000000005</v>
      </c>
      <c r="BL154" s="230">
        <v>9113400</v>
      </c>
      <c r="BM154" s="230">
        <v>3673800</v>
      </c>
      <c r="BN154" s="230">
        <v>5439600</v>
      </c>
      <c r="BO154" s="229">
        <v>1.4805999999999999</v>
      </c>
      <c r="BP154" s="230">
        <v>39901500</v>
      </c>
      <c r="BQ154" s="230">
        <v>24479100</v>
      </c>
      <c r="BR154" s="230">
        <v>15422400</v>
      </c>
      <c r="BS154" s="229">
        <v>0.63</v>
      </c>
      <c r="BT154" s="230">
        <v>5896398</v>
      </c>
      <c r="BU154" s="230">
        <v>8417884</v>
      </c>
      <c r="BV154" s="230">
        <v>-2521486</v>
      </c>
      <c r="BW154" s="229">
        <v>-0.29949999999999999</v>
      </c>
      <c r="BX154" s="230">
        <v>37819800</v>
      </c>
      <c r="BY154" s="230">
        <v>37036800</v>
      </c>
      <c r="BZ154" s="230">
        <v>783000</v>
      </c>
      <c r="CA154" s="229">
        <v>2.1100000000000001E-2</v>
      </c>
      <c r="CB154" s="230">
        <v>36438300</v>
      </c>
      <c r="CC154" s="230">
        <v>36126000</v>
      </c>
      <c r="CD154" s="230">
        <v>312300</v>
      </c>
      <c r="CE154" s="229">
        <v>8.6E-3</v>
      </c>
      <c r="CF154" s="230">
        <v>1329300</v>
      </c>
      <c r="CG154" s="230">
        <v>860400</v>
      </c>
      <c r="CH154" s="230">
        <v>468900</v>
      </c>
      <c r="CI154" s="229">
        <v>0.54500000000000004</v>
      </c>
      <c r="CJ154" s="230">
        <v>52200</v>
      </c>
      <c r="CK154" s="230">
        <v>50400</v>
      </c>
      <c r="CL154" s="230">
        <v>1800</v>
      </c>
      <c r="CM154" s="229">
        <v>3.5700000000000003E-2</v>
      </c>
      <c r="CN154" s="230">
        <v>7715700</v>
      </c>
      <c r="CO154" s="230">
        <v>8106300</v>
      </c>
      <c r="CP154" s="230">
        <v>-390600</v>
      </c>
      <c r="CQ154" s="229">
        <v>-4.82E-2</v>
      </c>
      <c r="CR154" s="230">
        <v>4357800</v>
      </c>
      <c r="CS154" s="230">
        <v>3895200</v>
      </c>
      <c r="CT154" s="230">
        <v>462600</v>
      </c>
      <c r="CU154" s="229">
        <v>0.1188</v>
      </c>
      <c r="CV154" s="230">
        <v>49893300</v>
      </c>
      <c r="CW154" s="230">
        <v>49038300</v>
      </c>
      <c r="CX154" s="230">
        <v>855000</v>
      </c>
      <c r="CY154" s="229">
        <v>1.7399999999999999E-2</v>
      </c>
      <c r="CZ154" s="228">
        <v>25.36</v>
      </c>
      <c r="DA154" s="228">
        <v>25.73</v>
      </c>
      <c r="DB154" s="228">
        <v>-0.37</v>
      </c>
      <c r="DC154" s="228">
        <v>-0.37</v>
      </c>
      <c r="DD154" s="228">
        <v>33.46</v>
      </c>
      <c r="DE154" s="228">
        <v>33.49</v>
      </c>
      <c r="DF154" s="228">
        <v>-8.1</v>
      </c>
      <c r="DG154" s="228">
        <v>-0.03</v>
      </c>
      <c r="DH154" s="228">
        <v>25.7</v>
      </c>
      <c r="DI154" s="228">
        <v>25.47</v>
      </c>
      <c r="DJ154" s="228">
        <v>0.23</v>
      </c>
      <c r="DK154" s="228">
        <v>0.23</v>
      </c>
      <c r="DL154" s="228">
        <v>24.62</v>
      </c>
      <c r="DM154" s="228">
        <v>26.53</v>
      </c>
      <c r="DN154" s="228">
        <v>-1.91</v>
      </c>
      <c r="DO154" s="228">
        <v>-1.91</v>
      </c>
      <c r="DP154" s="228">
        <v>0.56000000000000005</v>
      </c>
      <c r="DQ154" s="228">
        <v>0.48</v>
      </c>
      <c r="DR154" s="228">
        <v>0.08</v>
      </c>
      <c r="DS154" s="229">
        <v>0.16669999999999999</v>
      </c>
      <c r="DT154" s="228">
        <v>550</v>
      </c>
      <c r="DU154" s="228">
        <v>530</v>
      </c>
      <c r="DV154" s="228">
        <v>0.46</v>
      </c>
      <c r="DW154" s="228">
        <v>0.32</v>
      </c>
      <c r="DX154" s="228">
        <v>0.14000000000000001</v>
      </c>
      <c r="DY154" s="229">
        <v>0.4375</v>
      </c>
      <c r="DZ154" s="229">
        <v>3.6499999999999998E-2</v>
      </c>
      <c r="EA154" s="230">
        <v>910800</v>
      </c>
      <c r="EB154" s="229">
        <v>5.5999999999999999E-3</v>
      </c>
      <c r="EC154" s="229">
        <v>3.6499999999999998E-2</v>
      </c>
      <c r="ED154" s="228">
        <v>5.39</v>
      </c>
      <c r="EE154" s="229">
        <v>9.7000000000000003E-3</v>
      </c>
      <c r="EF154" s="230">
        <v>2019952</v>
      </c>
      <c r="EG154" s="230">
        <v>3731531</v>
      </c>
      <c r="EH154" s="229">
        <v>-0.4587</v>
      </c>
      <c r="EI154" s="229">
        <v>0.34260000000000002</v>
      </c>
      <c r="EJ154" s="231">
        <v>113402.2</v>
      </c>
      <c r="EK154" s="231">
        <v>50156.04</v>
      </c>
      <c r="EL154" s="231">
        <v>60923.22</v>
      </c>
      <c r="EM154" s="231">
        <v>8208</v>
      </c>
      <c r="EN154" s="231">
        <v>224481.46</v>
      </c>
      <c r="EO154" s="231">
        <v>134458.12</v>
      </c>
      <c r="EP154" s="231">
        <v>90023.34</v>
      </c>
      <c r="EQ154" s="229">
        <v>0.66949999999999998</v>
      </c>
      <c r="ER154" s="231">
        <v>43976</v>
      </c>
      <c r="ES154" s="231">
        <v>23754</v>
      </c>
      <c r="ET154" s="231">
        <v>208868</v>
      </c>
      <c r="EU154" s="231">
        <v>50840137</v>
      </c>
      <c r="EV154" s="231">
        <v>276597</v>
      </c>
      <c r="EW154" s="231">
        <v>269029</v>
      </c>
      <c r="EX154" s="231">
        <v>7568</v>
      </c>
      <c r="EY154" s="229">
        <v>2.81E-2</v>
      </c>
      <c r="EZ154" s="229">
        <v>0.98140000000000005</v>
      </c>
      <c r="FA154" s="227" t="s">
        <v>555</v>
      </c>
      <c r="FB154" s="161">
        <f t="shared" si="3"/>
        <v>0</v>
      </c>
    </row>
    <row r="155" spans="1:158" ht="17.25" thickBot="1" x14ac:dyDescent="0.3">
      <c r="A155" s="226">
        <v>46009</v>
      </c>
      <c r="B155" s="227" t="s">
        <v>615</v>
      </c>
      <c r="C155" s="227" t="s">
        <v>575</v>
      </c>
      <c r="D155" s="228">
        <v>725</v>
      </c>
      <c r="E155" s="231">
        <v>1290.5</v>
      </c>
      <c r="F155" s="231">
        <v>1272.7</v>
      </c>
      <c r="G155" s="228">
        <v>17.8</v>
      </c>
      <c r="H155" s="229">
        <v>1.4E-2</v>
      </c>
      <c r="I155" s="231">
        <v>1286.0999999999999</v>
      </c>
      <c r="J155" s="231">
        <v>1268.5999999999999</v>
      </c>
      <c r="K155" s="228">
        <v>17.5</v>
      </c>
      <c r="L155" s="229">
        <v>1.38E-2</v>
      </c>
      <c r="M155" s="231">
        <v>1290.5</v>
      </c>
      <c r="N155" s="231">
        <v>1272.7</v>
      </c>
      <c r="O155" s="228">
        <v>17.8</v>
      </c>
      <c r="P155" s="229">
        <v>1.4E-2</v>
      </c>
      <c r="Q155" s="231">
        <v>1297.9000000000001</v>
      </c>
      <c r="R155" s="231">
        <v>1279</v>
      </c>
      <c r="S155" s="228">
        <v>18.899999999999999</v>
      </c>
      <c r="T155" s="229">
        <v>1.4800000000000001E-2</v>
      </c>
      <c r="U155" s="231">
        <v>1305.5999999999999</v>
      </c>
      <c r="V155" s="231">
        <v>1284.8</v>
      </c>
      <c r="W155" s="228">
        <v>20.8</v>
      </c>
      <c r="X155" s="229">
        <v>1.6199999999999999E-2</v>
      </c>
      <c r="Y155" s="228">
        <v>4.4000000000000004</v>
      </c>
      <c r="Z155" s="228">
        <v>4.0999999999999996</v>
      </c>
      <c r="AA155" s="228">
        <v>0.3</v>
      </c>
      <c r="AB155" s="229">
        <v>3.3999999999999998E-3</v>
      </c>
      <c r="AC155" s="228">
        <v>4.4000000000000004</v>
      </c>
      <c r="AD155" s="228">
        <v>4.0999999999999996</v>
      </c>
      <c r="AE155" s="228">
        <v>0.3</v>
      </c>
      <c r="AF155" s="229">
        <v>3.3999999999999998E-3</v>
      </c>
      <c r="AG155" s="228">
        <v>11.8</v>
      </c>
      <c r="AH155" s="228">
        <v>10.4</v>
      </c>
      <c r="AI155" s="228">
        <v>1.4</v>
      </c>
      <c r="AJ155" s="229">
        <v>9.1999999999999998E-3</v>
      </c>
      <c r="AK155" s="228">
        <v>19.5</v>
      </c>
      <c r="AL155" s="228">
        <v>16.2</v>
      </c>
      <c r="AM155" s="228">
        <v>3.3</v>
      </c>
      <c r="AN155" s="229">
        <v>1.52E-2</v>
      </c>
      <c r="AO155" s="231">
        <v>1283.5999999999999</v>
      </c>
      <c r="AP155" s="231">
        <v>1291.05</v>
      </c>
      <c r="AQ155" s="228">
        <v>0</v>
      </c>
      <c r="AR155" s="230">
        <v>3627175</v>
      </c>
      <c r="AS155" s="230">
        <v>2379450</v>
      </c>
      <c r="AT155" s="230">
        <v>1247725</v>
      </c>
      <c r="AU155" s="229">
        <v>0.52439999999999998</v>
      </c>
      <c r="AV155" s="230">
        <v>2959450</v>
      </c>
      <c r="AW155" s="230">
        <v>1874125</v>
      </c>
      <c r="AX155" s="230">
        <v>1085325</v>
      </c>
      <c r="AY155" s="229">
        <v>0.57909999999999995</v>
      </c>
      <c r="AZ155" s="230">
        <v>650325</v>
      </c>
      <c r="BA155" s="230">
        <v>478500</v>
      </c>
      <c r="BB155" s="230">
        <v>171825</v>
      </c>
      <c r="BC155" s="229">
        <v>0.35909999999999997</v>
      </c>
      <c r="BD155" s="230">
        <v>17400</v>
      </c>
      <c r="BE155" s="230">
        <v>26825</v>
      </c>
      <c r="BF155" s="230">
        <v>-9425</v>
      </c>
      <c r="BG155" s="229">
        <v>-0.35139999999999999</v>
      </c>
      <c r="BH155" s="230">
        <v>16710525</v>
      </c>
      <c r="BI155" s="230">
        <v>9180675</v>
      </c>
      <c r="BJ155" s="230">
        <v>7529850</v>
      </c>
      <c r="BK155" s="229">
        <v>0.82020000000000004</v>
      </c>
      <c r="BL155" s="230">
        <v>7511000</v>
      </c>
      <c r="BM155" s="230">
        <v>4006350</v>
      </c>
      <c r="BN155" s="230">
        <v>3504650</v>
      </c>
      <c r="BO155" s="229">
        <v>0.87480000000000002</v>
      </c>
      <c r="BP155" s="230">
        <v>27848700</v>
      </c>
      <c r="BQ155" s="230">
        <v>15566475</v>
      </c>
      <c r="BR155" s="230">
        <v>12282225</v>
      </c>
      <c r="BS155" s="229">
        <v>0.78900000000000003</v>
      </c>
      <c r="BT155" s="230">
        <v>2363267</v>
      </c>
      <c r="BU155" s="230">
        <v>1621080</v>
      </c>
      <c r="BV155" s="230">
        <v>742187</v>
      </c>
      <c r="BW155" s="229">
        <v>0.45779999999999998</v>
      </c>
      <c r="BX155" s="230">
        <v>19005875</v>
      </c>
      <c r="BY155" s="230">
        <v>18782575</v>
      </c>
      <c r="BZ155" s="230">
        <v>223300</v>
      </c>
      <c r="CA155" s="229">
        <v>1.1900000000000001E-2</v>
      </c>
      <c r="CB155" s="230">
        <v>17763950</v>
      </c>
      <c r="CC155" s="230">
        <v>17743650</v>
      </c>
      <c r="CD155" s="230">
        <v>20300</v>
      </c>
      <c r="CE155" s="229">
        <v>1.1000000000000001E-3</v>
      </c>
      <c r="CF155" s="230">
        <v>1131725</v>
      </c>
      <c r="CG155" s="230">
        <v>930175</v>
      </c>
      <c r="CH155" s="230">
        <v>201550</v>
      </c>
      <c r="CI155" s="229">
        <v>0.2167</v>
      </c>
      <c r="CJ155" s="230">
        <v>110200</v>
      </c>
      <c r="CK155" s="230">
        <v>108750</v>
      </c>
      <c r="CL155" s="230">
        <v>1450</v>
      </c>
      <c r="CM155" s="229">
        <v>1.3299999999999999E-2</v>
      </c>
      <c r="CN155" s="230">
        <v>10670550</v>
      </c>
      <c r="CO155" s="230">
        <v>10890950</v>
      </c>
      <c r="CP155" s="230">
        <v>-220400</v>
      </c>
      <c r="CQ155" s="229">
        <v>-2.0199999999999999E-2</v>
      </c>
      <c r="CR155" s="230">
        <v>6088550</v>
      </c>
      <c r="CS155" s="230">
        <v>5903675</v>
      </c>
      <c r="CT155" s="230">
        <v>184875</v>
      </c>
      <c r="CU155" s="229">
        <v>3.1300000000000001E-2</v>
      </c>
      <c r="CV155" s="230">
        <v>35764975</v>
      </c>
      <c r="CW155" s="230">
        <v>35577200</v>
      </c>
      <c r="CX155" s="230">
        <v>187775</v>
      </c>
      <c r="CY155" s="229">
        <v>5.3E-3</v>
      </c>
      <c r="CZ155" s="228">
        <v>28.06</v>
      </c>
      <c r="DA155" s="228">
        <v>29.56</v>
      </c>
      <c r="DB155" s="228">
        <v>-1.5</v>
      </c>
      <c r="DC155" s="228">
        <v>-1.5</v>
      </c>
      <c r="DD155" s="228">
        <v>52.27</v>
      </c>
      <c r="DE155" s="228">
        <v>52.36</v>
      </c>
      <c r="DF155" s="228">
        <v>-24.21</v>
      </c>
      <c r="DG155" s="228">
        <v>-0.09</v>
      </c>
      <c r="DH155" s="228">
        <v>27.89</v>
      </c>
      <c r="DI155" s="228">
        <v>29.97</v>
      </c>
      <c r="DJ155" s="228">
        <v>-2.08</v>
      </c>
      <c r="DK155" s="228">
        <v>-2.08</v>
      </c>
      <c r="DL155" s="228">
        <v>28.43</v>
      </c>
      <c r="DM155" s="228">
        <v>28.63</v>
      </c>
      <c r="DN155" s="228">
        <v>-0.2</v>
      </c>
      <c r="DO155" s="228">
        <v>-0.2</v>
      </c>
      <c r="DP155" s="228">
        <v>0.56999999999999995</v>
      </c>
      <c r="DQ155" s="228">
        <v>0.54</v>
      </c>
      <c r="DR155" s="228">
        <v>0.03</v>
      </c>
      <c r="DS155" s="229">
        <v>5.5599999999999997E-2</v>
      </c>
      <c r="DT155" s="231">
        <v>1320</v>
      </c>
      <c r="DU155" s="231">
        <v>1200</v>
      </c>
      <c r="DV155" s="228">
        <v>0.45</v>
      </c>
      <c r="DW155" s="228">
        <v>0.44</v>
      </c>
      <c r="DX155" s="228">
        <v>0.01</v>
      </c>
      <c r="DY155" s="229">
        <v>2.2700000000000001E-2</v>
      </c>
      <c r="DZ155" s="229">
        <v>6.5299999999999997E-2</v>
      </c>
      <c r="EA155" s="230">
        <v>1038925</v>
      </c>
      <c r="EB155" s="229">
        <v>5.7000000000000002E-3</v>
      </c>
      <c r="EC155" s="229">
        <v>6.5299999999999997E-2</v>
      </c>
      <c r="ED155" s="228">
        <v>7.45</v>
      </c>
      <c r="EE155" s="229">
        <v>5.7999999999999996E-3</v>
      </c>
      <c r="EF155" s="230">
        <v>883046</v>
      </c>
      <c r="EG155" s="230">
        <v>648564</v>
      </c>
      <c r="EH155" s="229">
        <v>0.36149999999999999</v>
      </c>
      <c r="EI155" s="229">
        <v>0.37369999999999998</v>
      </c>
      <c r="EJ155" s="231">
        <v>223691.68</v>
      </c>
      <c r="EK155" s="231">
        <v>94869.11</v>
      </c>
      <c r="EL155" s="231">
        <v>46608.78</v>
      </c>
      <c r="EM155" s="231">
        <v>4256</v>
      </c>
      <c r="EN155" s="231">
        <v>365169.57</v>
      </c>
      <c r="EO155" s="231">
        <v>204502.88</v>
      </c>
      <c r="EP155" s="231">
        <v>160666.69</v>
      </c>
      <c r="EQ155" s="229">
        <v>0.78559999999999997</v>
      </c>
      <c r="ER155" s="231">
        <v>145097</v>
      </c>
      <c r="ES155" s="231">
        <v>76086</v>
      </c>
      <c r="ET155" s="231">
        <v>245371</v>
      </c>
      <c r="EU155" s="231">
        <v>95715382</v>
      </c>
      <c r="EV155" s="231">
        <v>466555</v>
      </c>
      <c r="EW155" s="231">
        <v>461037</v>
      </c>
      <c r="EX155" s="231">
        <v>5518</v>
      </c>
      <c r="EY155" s="229">
        <v>1.2E-2</v>
      </c>
      <c r="EZ155" s="229">
        <v>0.37369999999999998</v>
      </c>
      <c r="FA155" s="227" t="s">
        <v>555</v>
      </c>
      <c r="FB155" s="161">
        <f t="shared" si="3"/>
        <v>0</v>
      </c>
    </row>
    <row r="156" spans="1:158" ht="17.25" thickBot="1" x14ac:dyDescent="0.3">
      <c r="A156" s="226">
        <v>46009</v>
      </c>
      <c r="B156" s="227" t="s">
        <v>221</v>
      </c>
      <c r="C156" s="227" t="s">
        <v>529</v>
      </c>
      <c r="D156" s="228">
        <v>100</v>
      </c>
      <c r="E156" s="231">
        <v>6338</v>
      </c>
      <c r="F156" s="231">
        <v>6289</v>
      </c>
      <c r="G156" s="228">
        <v>49</v>
      </c>
      <c r="H156" s="229">
        <v>7.7999999999999996E-3</v>
      </c>
      <c r="I156" s="231">
        <v>6318.5</v>
      </c>
      <c r="J156" s="231">
        <v>6282.5</v>
      </c>
      <c r="K156" s="228">
        <v>36</v>
      </c>
      <c r="L156" s="229">
        <v>5.7000000000000002E-3</v>
      </c>
      <c r="M156" s="231">
        <v>6338</v>
      </c>
      <c r="N156" s="231">
        <v>6289</v>
      </c>
      <c r="O156" s="228">
        <v>49</v>
      </c>
      <c r="P156" s="229">
        <v>7.7999999999999996E-3</v>
      </c>
      <c r="Q156" s="231">
        <v>6371</v>
      </c>
      <c r="R156" s="231">
        <v>6324.5</v>
      </c>
      <c r="S156" s="228">
        <v>46.5</v>
      </c>
      <c r="T156" s="229">
        <v>7.4000000000000003E-3</v>
      </c>
      <c r="U156" s="231">
        <v>6394.5</v>
      </c>
      <c r="V156" s="231">
        <v>6346</v>
      </c>
      <c r="W156" s="228">
        <v>48.5</v>
      </c>
      <c r="X156" s="229">
        <v>7.6E-3</v>
      </c>
      <c r="Y156" s="228">
        <v>19.5</v>
      </c>
      <c r="Z156" s="228">
        <v>6.5</v>
      </c>
      <c r="AA156" s="228">
        <v>13</v>
      </c>
      <c r="AB156" s="229">
        <v>3.0999999999999999E-3</v>
      </c>
      <c r="AC156" s="228">
        <v>19.5</v>
      </c>
      <c r="AD156" s="228">
        <v>6.5</v>
      </c>
      <c r="AE156" s="228">
        <v>13</v>
      </c>
      <c r="AF156" s="229">
        <v>3.0999999999999999E-3</v>
      </c>
      <c r="AG156" s="228">
        <v>52.5</v>
      </c>
      <c r="AH156" s="228">
        <v>42</v>
      </c>
      <c r="AI156" s="228">
        <v>10.5</v>
      </c>
      <c r="AJ156" s="229">
        <v>8.3000000000000001E-3</v>
      </c>
      <c r="AK156" s="228">
        <v>76</v>
      </c>
      <c r="AL156" s="228">
        <v>63.5</v>
      </c>
      <c r="AM156" s="228">
        <v>12.5</v>
      </c>
      <c r="AN156" s="229">
        <v>1.2E-2</v>
      </c>
      <c r="AO156" s="231">
        <v>6316.04</v>
      </c>
      <c r="AP156" s="231">
        <v>6354.57</v>
      </c>
      <c r="AQ156" s="228">
        <v>0</v>
      </c>
      <c r="AR156" s="230">
        <v>453000</v>
      </c>
      <c r="AS156" s="230">
        <v>361700</v>
      </c>
      <c r="AT156" s="230">
        <v>91300</v>
      </c>
      <c r="AU156" s="229">
        <v>0.25240000000000001</v>
      </c>
      <c r="AV156" s="230">
        <v>385400</v>
      </c>
      <c r="AW156" s="230">
        <v>297600</v>
      </c>
      <c r="AX156" s="230">
        <v>87800</v>
      </c>
      <c r="AY156" s="229">
        <v>0.29499999999999998</v>
      </c>
      <c r="AZ156" s="230">
        <v>65800</v>
      </c>
      <c r="BA156" s="230">
        <v>61600</v>
      </c>
      <c r="BB156" s="230">
        <v>4200</v>
      </c>
      <c r="BC156" s="229">
        <v>6.8199999999999997E-2</v>
      </c>
      <c r="BD156" s="230">
        <v>1800</v>
      </c>
      <c r="BE156" s="230">
        <v>2500</v>
      </c>
      <c r="BF156" s="228">
        <v>-700</v>
      </c>
      <c r="BG156" s="229">
        <v>-0.28000000000000003</v>
      </c>
      <c r="BH156" s="230">
        <v>1624100</v>
      </c>
      <c r="BI156" s="230">
        <v>1334400</v>
      </c>
      <c r="BJ156" s="230">
        <v>289700</v>
      </c>
      <c r="BK156" s="229">
        <v>0.21709999999999999</v>
      </c>
      <c r="BL156" s="230">
        <v>768800</v>
      </c>
      <c r="BM156" s="230">
        <v>621000</v>
      </c>
      <c r="BN156" s="230">
        <v>147800</v>
      </c>
      <c r="BO156" s="229">
        <v>0.23799999999999999</v>
      </c>
      <c r="BP156" s="230">
        <v>2845900</v>
      </c>
      <c r="BQ156" s="230">
        <v>2317100</v>
      </c>
      <c r="BR156" s="230">
        <v>528800</v>
      </c>
      <c r="BS156" s="229">
        <v>0.22819999999999999</v>
      </c>
      <c r="BT156" s="230">
        <v>171491</v>
      </c>
      <c r="BU156" s="230">
        <v>222016</v>
      </c>
      <c r="BV156" s="230">
        <v>-50525</v>
      </c>
      <c r="BW156" s="229">
        <v>-0.2276</v>
      </c>
      <c r="BX156" s="230">
        <v>2205300</v>
      </c>
      <c r="BY156" s="230">
        <v>2195000</v>
      </c>
      <c r="BZ156" s="230">
        <v>10300</v>
      </c>
      <c r="CA156" s="229">
        <v>4.7000000000000002E-3</v>
      </c>
      <c r="CB156" s="230">
        <v>2065100</v>
      </c>
      <c r="CC156" s="230">
        <v>2078900</v>
      </c>
      <c r="CD156" s="230">
        <v>-13800</v>
      </c>
      <c r="CE156" s="229">
        <v>-6.6E-3</v>
      </c>
      <c r="CF156" s="230">
        <v>127000</v>
      </c>
      <c r="CG156" s="230">
        <v>103200</v>
      </c>
      <c r="CH156" s="230">
        <v>23800</v>
      </c>
      <c r="CI156" s="229">
        <v>0.2306</v>
      </c>
      <c r="CJ156" s="230">
        <v>13200</v>
      </c>
      <c r="CK156" s="230">
        <v>12900</v>
      </c>
      <c r="CL156" s="228">
        <v>300</v>
      </c>
      <c r="CM156" s="229">
        <v>2.3300000000000001E-2</v>
      </c>
      <c r="CN156" s="230">
        <v>1153500</v>
      </c>
      <c r="CO156" s="230">
        <v>1179300</v>
      </c>
      <c r="CP156" s="230">
        <v>-25800</v>
      </c>
      <c r="CQ156" s="229">
        <v>-2.1899999999999999E-2</v>
      </c>
      <c r="CR156" s="230">
        <v>714800</v>
      </c>
      <c r="CS156" s="230">
        <v>679100</v>
      </c>
      <c r="CT156" s="230">
        <v>35700</v>
      </c>
      <c r="CU156" s="229">
        <v>5.2600000000000001E-2</v>
      </c>
      <c r="CV156" s="230">
        <v>4073600</v>
      </c>
      <c r="CW156" s="230">
        <v>4053400</v>
      </c>
      <c r="CX156" s="230">
        <v>20200</v>
      </c>
      <c r="CY156" s="229">
        <v>5.0000000000000001E-3</v>
      </c>
      <c r="CZ156" s="228">
        <v>27.28</v>
      </c>
      <c r="DA156" s="228">
        <v>28.05</v>
      </c>
      <c r="DB156" s="228">
        <v>-0.77</v>
      </c>
      <c r="DC156" s="228">
        <v>-0.77</v>
      </c>
      <c r="DD156" s="228">
        <v>40.1</v>
      </c>
      <c r="DE156" s="228">
        <v>40.19</v>
      </c>
      <c r="DF156" s="228">
        <v>-12.82</v>
      </c>
      <c r="DG156" s="228">
        <v>-0.09</v>
      </c>
      <c r="DH156" s="228">
        <v>26.68</v>
      </c>
      <c r="DI156" s="228">
        <v>28.02</v>
      </c>
      <c r="DJ156" s="228">
        <v>-1.34</v>
      </c>
      <c r="DK156" s="228">
        <v>-1.34</v>
      </c>
      <c r="DL156" s="228">
        <v>28.55</v>
      </c>
      <c r="DM156" s="228">
        <v>28.11</v>
      </c>
      <c r="DN156" s="228">
        <v>0.44</v>
      </c>
      <c r="DO156" s="228">
        <v>0.44</v>
      </c>
      <c r="DP156" s="228">
        <v>0.62</v>
      </c>
      <c r="DQ156" s="228">
        <v>0.57999999999999996</v>
      </c>
      <c r="DR156" s="228">
        <v>0.04</v>
      </c>
      <c r="DS156" s="229">
        <v>6.9000000000000006E-2</v>
      </c>
      <c r="DT156" s="231">
        <v>6500</v>
      </c>
      <c r="DU156" s="231">
        <v>6000</v>
      </c>
      <c r="DV156" s="228">
        <v>0.47</v>
      </c>
      <c r="DW156" s="228">
        <v>0.47</v>
      </c>
      <c r="DX156" s="228">
        <v>0</v>
      </c>
      <c r="DY156" s="229">
        <v>0</v>
      </c>
      <c r="DZ156" s="229">
        <v>6.3600000000000004E-2</v>
      </c>
      <c r="EA156" s="230">
        <v>116100</v>
      </c>
      <c r="EB156" s="229">
        <v>5.1999999999999998E-3</v>
      </c>
      <c r="EC156" s="229">
        <v>6.3600000000000004E-2</v>
      </c>
      <c r="ED156" s="228">
        <v>38.53</v>
      </c>
      <c r="EE156" s="229">
        <v>6.1000000000000004E-3</v>
      </c>
      <c r="EF156" s="230">
        <v>69612</v>
      </c>
      <c r="EG156" s="230">
        <v>103721</v>
      </c>
      <c r="EH156" s="229">
        <v>-0.32890000000000003</v>
      </c>
      <c r="EI156" s="229">
        <v>0.40589999999999998</v>
      </c>
      <c r="EJ156" s="231">
        <v>106067.69</v>
      </c>
      <c r="EK156" s="231">
        <v>47260.99</v>
      </c>
      <c r="EL156" s="231">
        <v>28637.93</v>
      </c>
      <c r="EM156" s="231">
        <v>5496</v>
      </c>
      <c r="EN156" s="231">
        <v>181966.61</v>
      </c>
      <c r="EO156" s="231">
        <v>148924.97</v>
      </c>
      <c r="EP156" s="231">
        <v>33041.64</v>
      </c>
      <c r="EQ156" s="229">
        <v>0.22189999999999999</v>
      </c>
      <c r="ER156" s="231">
        <v>75960</v>
      </c>
      <c r="ES156" s="231">
        <v>42967</v>
      </c>
      <c r="ET156" s="231">
        <v>139821</v>
      </c>
      <c r="EU156" s="231">
        <v>16151851</v>
      </c>
      <c r="EV156" s="231">
        <v>258748</v>
      </c>
      <c r="EW156" s="231">
        <v>256509</v>
      </c>
      <c r="EX156" s="231">
        <v>2239</v>
      </c>
      <c r="EY156" s="229">
        <v>8.6999999999999994E-3</v>
      </c>
      <c r="EZ156" s="229">
        <v>0.25219999999999998</v>
      </c>
      <c r="FA156" s="227" t="s">
        <v>555</v>
      </c>
      <c r="FB156" s="161">
        <f t="shared" si="3"/>
        <v>0</v>
      </c>
    </row>
    <row r="157" spans="1:158" ht="17.25" thickBot="1" x14ac:dyDescent="0.3">
      <c r="A157" s="226">
        <v>46009</v>
      </c>
      <c r="B157" s="227" t="s">
        <v>193</v>
      </c>
      <c r="C157" s="227" t="s">
        <v>272</v>
      </c>
      <c r="D157" s="228">
        <v>1800</v>
      </c>
      <c r="E157" s="228">
        <v>269.60000000000002</v>
      </c>
      <c r="F157" s="228">
        <v>269.45</v>
      </c>
      <c r="G157" s="228">
        <v>0.15</v>
      </c>
      <c r="H157" s="229">
        <v>5.9999999999999995E-4</v>
      </c>
      <c r="I157" s="228">
        <v>268.8</v>
      </c>
      <c r="J157" s="228">
        <v>268.64999999999998</v>
      </c>
      <c r="K157" s="228">
        <v>0.15</v>
      </c>
      <c r="L157" s="229">
        <v>5.9999999999999995E-4</v>
      </c>
      <c r="M157" s="228">
        <v>269.60000000000002</v>
      </c>
      <c r="N157" s="228">
        <v>269.45</v>
      </c>
      <c r="O157" s="228">
        <v>0.15</v>
      </c>
      <c r="P157" s="229">
        <v>5.9999999999999995E-4</v>
      </c>
      <c r="Q157" s="228">
        <v>271.35000000000002</v>
      </c>
      <c r="R157" s="228">
        <v>271</v>
      </c>
      <c r="S157" s="228">
        <v>0.35</v>
      </c>
      <c r="T157" s="229">
        <v>1.2999999999999999E-3</v>
      </c>
      <c r="U157" s="228">
        <v>272.39999999999998</v>
      </c>
      <c r="V157" s="228">
        <v>272.3</v>
      </c>
      <c r="W157" s="228">
        <v>0.1</v>
      </c>
      <c r="X157" s="229">
        <v>4.0000000000000002E-4</v>
      </c>
      <c r="Y157" s="228">
        <v>0.8</v>
      </c>
      <c r="Z157" s="228">
        <v>0.8</v>
      </c>
      <c r="AA157" s="228">
        <v>0</v>
      </c>
      <c r="AB157" s="229">
        <v>3.0000000000000001E-3</v>
      </c>
      <c r="AC157" s="228">
        <v>0.8</v>
      </c>
      <c r="AD157" s="228">
        <v>0.8</v>
      </c>
      <c r="AE157" s="228">
        <v>0</v>
      </c>
      <c r="AF157" s="229">
        <v>3.0000000000000001E-3</v>
      </c>
      <c r="AG157" s="228">
        <v>2.5499999999999998</v>
      </c>
      <c r="AH157" s="228">
        <v>2.35</v>
      </c>
      <c r="AI157" s="228">
        <v>0.2</v>
      </c>
      <c r="AJ157" s="229">
        <v>9.4999999999999998E-3</v>
      </c>
      <c r="AK157" s="228">
        <v>3.6</v>
      </c>
      <c r="AL157" s="228">
        <v>3.65</v>
      </c>
      <c r="AM157" s="228">
        <v>-0.05</v>
      </c>
      <c r="AN157" s="229">
        <v>1.34E-2</v>
      </c>
      <c r="AO157" s="228">
        <v>269.3</v>
      </c>
      <c r="AP157" s="228">
        <v>271</v>
      </c>
      <c r="AQ157" s="228">
        <v>0</v>
      </c>
      <c r="AR157" s="230">
        <v>3684600</v>
      </c>
      <c r="AS157" s="230">
        <v>3029400</v>
      </c>
      <c r="AT157" s="230">
        <v>655200</v>
      </c>
      <c r="AU157" s="229">
        <v>0.21629999999999999</v>
      </c>
      <c r="AV157" s="230">
        <v>2664000</v>
      </c>
      <c r="AW157" s="230">
        <v>2514600</v>
      </c>
      <c r="AX157" s="230">
        <v>149400</v>
      </c>
      <c r="AY157" s="229">
        <v>5.9400000000000001E-2</v>
      </c>
      <c r="AZ157" s="230">
        <v>1004400</v>
      </c>
      <c r="BA157" s="230">
        <v>493200</v>
      </c>
      <c r="BB157" s="230">
        <v>511200</v>
      </c>
      <c r="BC157" s="229">
        <v>1.0365</v>
      </c>
      <c r="BD157" s="230">
        <v>16200</v>
      </c>
      <c r="BE157" s="230">
        <v>21600</v>
      </c>
      <c r="BF157" s="230">
        <v>-5400</v>
      </c>
      <c r="BG157" s="229">
        <v>-0.25</v>
      </c>
      <c r="BH157" s="230">
        <v>5274000</v>
      </c>
      <c r="BI157" s="230">
        <v>5902200</v>
      </c>
      <c r="BJ157" s="230">
        <v>-628200</v>
      </c>
      <c r="BK157" s="229">
        <v>-0.10639999999999999</v>
      </c>
      <c r="BL157" s="230">
        <v>2732400</v>
      </c>
      <c r="BM157" s="230">
        <v>4107600</v>
      </c>
      <c r="BN157" s="230">
        <v>-1375200</v>
      </c>
      <c r="BO157" s="229">
        <v>-0.33479999999999999</v>
      </c>
      <c r="BP157" s="230">
        <v>11691000</v>
      </c>
      <c r="BQ157" s="230">
        <v>13039200</v>
      </c>
      <c r="BR157" s="230">
        <v>-1348200</v>
      </c>
      <c r="BS157" s="229">
        <v>-0.10340000000000001</v>
      </c>
      <c r="BT157" s="230">
        <v>1030983</v>
      </c>
      <c r="BU157" s="230">
        <v>1481782</v>
      </c>
      <c r="BV157" s="230">
        <v>-450799</v>
      </c>
      <c r="BW157" s="229">
        <v>-0.30420000000000003</v>
      </c>
      <c r="BX157" s="230">
        <v>47041900</v>
      </c>
      <c r="BY157" s="230">
        <v>47247200</v>
      </c>
      <c r="BZ157" s="230">
        <v>-205300</v>
      </c>
      <c r="CA157" s="229">
        <v>-4.3E-3</v>
      </c>
      <c r="CB157" s="230">
        <v>42856200</v>
      </c>
      <c r="CC157" s="230">
        <v>43606800</v>
      </c>
      <c r="CD157" s="230">
        <v>-750600</v>
      </c>
      <c r="CE157" s="229">
        <v>-1.72E-2</v>
      </c>
      <c r="CF157" s="230">
        <v>3953900</v>
      </c>
      <c r="CG157" s="230">
        <v>3404800</v>
      </c>
      <c r="CH157" s="230">
        <v>549100</v>
      </c>
      <c r="CI157" s="229">
        <v>0.1613</v>
      </c>
      <c r="CJ157" s="230">
        <v>231800</v>
      </c>
      <c r="CK157" s="230">
        <v>235600</v>
      </c>
      <c r="CL157" s="230">
        <v>-3800</v>
      </c>
      <c r="CM157" s="229">
        <v>-1.61E-2</v>
      </c>
      <c r="CN157" s="230">
        <v>17431200</v>
      </c>
      <c r="CO157" s="230">
        <v>17231300</v>
      </c>
      <c r="CP157" s="230">
        <v>199900</v>
      </c>
      <c r="CQ157" s="229">
        <v>1.1599999999999999E-2</v>
      </c>
      <c r="CR157" s="230">
        <v>17693200</v>
      </c>
      <c r="CS157" s="230">
        <v>17469700</v>
      </c>
      <c r="CT157" s="230">
        <v>223500</v>
      </c>
      <c r="CU157" s="229">
        <v>1.2800000000000001E-2</v>
      </c>
      <c r="CV157" s="230">
        <v>82166300</v>
      </c>
      <c r="CW157" s="230">
        <v>81948200</v>
      </c>
      <c r="CX157" s="230">
        <v>218100</v>
      </c>
      <c r="CY157" s="229">
        <v>2.7000000000000001E-3</v>
      </c>
      <c r="CZ157" s="228">
        <v>20.059999999999999</v>
      </c>
      <c r="DA157" s="228">
        <v>20.2</v>
      </c>
      <c r="DB157" s="228">
        <v>-0.14000000000000001</v>
      </c>
      <c r="DC157" s="228">
        <v>-0.14000000000000001</v>
      </c>
      <c r="DD157" s="228">
        <v>31.19</v>
      </c>
      <c r="DE157" s="228">
        <v>31.26</v>
      </c>
      <c r="DF157" s="228">
        <v>-11.13</v>
      </c>
      <c r="DG157" s="228">
        <v>-7.0000000000000007E-2</v>
      </c>
      <c r="DH157" s="228">
        <v>19.989999999999998</v>
      </c>
      <c r="DI157" s="228">
        <v>20.25</v>
      </c>
      <c r="DJ157" s="228">
        <v>-0.26</v>
      </c>
      <c r="DK157" s="228">
        <v>-0.26</v>
      </c>
      <c r="DL157" s="228">
        <v>20.190000000000001</v>
      </c>
      <c r="DM157" s="228">
        <v>20.13</v>
      </c>
      <c r="DN157" s="228">
        <v>0.06</v>
      </c>
      <c r="DO157" s="228">
        <v>0.06</v>
      </c>
      <c r="DP157" s="228">
        <v>1.02</v>
      </c>
      <c r="DQ157" s="228">
        <v>1.01</v>
      </c>
      <c r="DR157" s="228">
        <v>0.01</v>
      </c>
      <c r="DS157" s="229">
        <v>9.9000000000000008E-3</v>
      </c>
      <c r="DT157" s="228">
        <v>300</v>
      </c>
      <c r="DU157" s="228">
        <v>300</v>
      </c>
      <c r="DV157" s="228">
        <v>0.52</v>
      </c>
      <c r="DW157" s="228">
        <v>0.7</v>
      </c>
      <c r="DX157" s="228">
        <v>-0.18</v>
      </c>
      <c r="DY157" s="229">
        <v>-0.2571</v>
      </c>
      <c r="DZ157" s="229">
        <v>8.8999999999999996E-2</v>
      </c>
      <c r="EA157" s="230">
        <v>3640400</v>
      </c>
      <c r="EB157" s="229">
        <v>6.4999999999999997E-3</v>
      </c>
      <c r="EC157" s="229">
        <v>8.8999999999999996E-2</v>
      </c>
      <c r="ED157" s="228">
        <v>1.7</v>
      </c>
      <c r="EE157" s="229">
        <v>6.3E-3</v>
      </c>
      <c r="EF157" s="230">
        <v>545149</v>
      </c>
      <c r="EG157" s="230">
        <v>888482</v>
      </c>
      <c r="EH157" s="229">
        <v>-0.38640000000000002</v>
      </c>
      <c r="EI157" s="229">
        <v>0.52880000000000005</v>
      </c>
      <c r="EJ157" s="231">
        <v>14716.88</v>
      </c>
      <c r="EK157" s="231">
        <v>7325.71</v>
      </c>
      <c r="EL157" s="231">
        <v>10093.780000000001</v>
      </c>
      <c r="EM157" s="231">
        <v>1521</v>
      </c>
      <c r="EN157" s="231">
        <v>32136.37</v>
      </c>
      <c r="EO157" s="231">
        <v>35582.82</v>
      </c>
      <c r="EP157" s="231">
        <v>-3446.45</v>
      </c>
      <c r="EQ157" s="229">
        <v>-9.69E-2</v>
      </c>
      <c r="ER157" s="231">
        <v>49588</v>
      </c>
      <c r="ES157" s="231">
        <v>48433</v>
      </c>
      <c r="ET157" s="231">
        <v>126901</v>
      </c>
      <c r="EU157" s="231">
        <v>93668136</v>
      </c>
      <c r="EV157" s="231">
        <v>224922</v>
      </c>
      <c r="EW157" s="231">
        <v>224278</v>
      </c>
      <c r="EX157" s="228">
        <v>644</v>
      </c>
      <c r="EY157" s="229">
        <v>2.8999999999999998E-3</v>
      </c>
      <c r="EZ157" s="229">
        <v>0.87719999999999998</v>
      </c>
      <c r="FA157" s="227" t="s">
        <v>556</v>
      </c>
      <c r="FB157" s="161">
        <f t="shared" si="3"/>
        <v>0</v>
      </c>
    </row>
    <row r="158" spans="1:158" ht="17.25" thickBot="1" x14ac:dyDescent="0.3">
      <c r="A158" s="226">
        <v>46009</v>
      </c>
      <c r="B158" s="227" t="s">
        <v>175</v>
      </c>
      <c r="C158" s="227" t="s">
        <v>273</v>
      </c>
      <c r="D158" s="228">
        <v>1300</v>
      </c>
      <c r="E158" s="228">
        <v>336.1</v>
      </c>
      <c r="F158" s="228">
        <v>336.75</v>
      </c>
      <c r="G158" s="228">
        <v>-0.65</v>
      </c>
      <c r="H158" s="229">
        <v>-1.9E-3</v>
      </c>
      <c r="I158" s="228">
        <v>335.05</v>
      </c>
      <c r="J158" s="228">
        <v>335.65</v>
      </c>
      <c r="K158" s="228">
        <v>-0.6</v>
      </c>
      <c r="L158" s="229">
        <v>-1.8E-3</v>
      </c>
      <c r="M158" s="228">
        <v>336.1</v>
      </c>
      <c r="N158" s="228">
        <v>336.75</v>
      </c>
      <c r="O158" s="228">
        <v>-0.65</v>
      </c>
      <c r="P158" s="229">
        <v>-1.9E-3</v>
      </c>
      <c r="Q158" s="228">
        <v>338.15</v>
      </c>
      <c r="R158" s="228">
        <v>338.7</v>
      </c>
      <c r="S158" s="228">
        <v>-0.55000000000000004</v>
      </c>
      <c r="T158" s="229">
        <v>-1.6000000000000001E-3</v>
      </c>
      <c r="U158" s="228">
        <v>339.5</v>
      </c>
      <c r="V158" s="228">
        <v>339.7</v>
      </c>
      <c r="W158" s="228">
        <v>-0.2</v>
      </c>
      <c r="X158" s="229">
        <v>-5.9999999999999995E-4</v>
      </c>
      <c r="Y158" s="228">
        <v>1.05</v>
      </c>
      <c r="Z158" s="228">
        <v>1.1000000000000001</v>
      </c>
      <c r="AA158" s="228">
        <v>-0.05</v>
      </c>
      <c r="AB158" s="229">
        <v>3.0999999999999999E-3</v>
      </c>
      <c r="AC158" s="228">
        <v>1.05</v>
      </c>
      <c r="AD158" s="228">
        <v>1.1000000000000001</v>
      </c>
      <c r="AE158" s="228">
        <v>-0.05</v>
      </c>
      <c r="AF158" s="229">
        <v>3.0999999999999999E-3</v>
      </c>
      <c r="AG158" s="228">
        <v>3.1</v>
      </c>
      <c r="AH158" s="228">
        <v>3.05</v>
      </c>
      <c r="AI158" s="228">
        <v>0.05</v>
      </c>
      <c r="AJ158" s="229">
        <v>9.2999999999999992E-3</v>
      </c>
      <c r="AK158" s="228">
        <v>4.45</v>
      </c>
      <c r="AL158" s="228">
        <v>4.05</v>
      </c>
      <c r="AM158" s="228">
        <v>0.4</v>
      </c>
      <c r="AN158" s="229">
        <v>1.3299999999999999E-2</v>
      </c>
      <c r="AO158" s="228">
        <v>334.77</v>
      </c>
      <c r="AP158" s="228">
        <v>336.81</v>
      </c>
      <c r="AQ158" s="228">
        <v>0</v>
      </c>
      <c r="AR158" s="230">
        <v>9919000</v>
      </c>
      <c r="AS158" s="230">
        <v>5917600</v>
      </c>
      <c r="AT158" s="230">
        <v>4001400</v>
      </c>
      <c r="AU158" s="229">
        <v>0.67620000000000002</v>
      </c>
      <c r="AV158" s="230">
        <v>6585800</v>
      </c>
      <c r="AW158" s="230">
        <v>4208100</v>
      </c>
      <c r="AX158" s="230">
        <v>2377700</v>
      </c>
      <c r="AY158" s="229">
        <v>0.56499999999999995</v>
      </c>
      <c r="AZ158" s="230">
        <v>3060200</v>
      </c>
      <c r="BA158" s="230">
        <v>1405300</v>
      </c>
      <c r="BB158" s="230">
        <v>1654900</v>
      </c>
      <c r="BC158" s="229">
        <v>1.1776</v>
      </c>
      <c r="BD158" s="230">
        <v>273000</v>
      </c>
      <c r="BE158" s="230">
        <v>304200</v>
      </c>
      <c r="BF158" s="230">
        <v>-31200</v>
      </c>
      <c r="BG158" s="229">
        <v>-0.1026</v>
      </c>
      <c r="BH158" s="230">
        <v>42226600</v>
      </c>
      <c r="BI158" s="230">
        <v>25807600</v>
      </c>
      <c r="BJ158" s="230">
        <v>16419000</v>
      </c>
      <c r="BK158" s="229">
        <v>0.63619999999999999</v>
      </c>
      <c r="BL158" s="230">
        <v>17145700</v>
      </c>
      <c r="BM158" s="230">
        <v>9803300</v>
      </c>
      <c r="BN158" s="230">
        <v>7342400</v>
      </c>
      <c r="BO158" s="229">
        <v>0.749</v>
      </c>
      <c r="BP158" s="230">
        <v>69291300</v>
      </c>
      <c r="BQ158" s="230">
        <v>41528500</v>
      </c>
      <c r="BR158" s="230">
        <v>27762800</v>
      </c>
      <c r="BS158" s="229">
        <v>0.66849999999999998</v>
      </c>
      <c r="BT158" s="230">
        <v>5547258</v>
      </c>
      <c r="BU158" s="230">
        <v>4893980</v>
      </c>
      <c r="BV158" s="230">
        <v>653278</v>
      </c>
      <c r="BW158" s="229">
        <v>0.13350000000000001</v>
      </c>
      <c r="BX158" s="230">
        <v>87223500</v>
      </c>
      <c r="BY158" s="230">
        <v>86513700</v>
      </c>
      <c r="BZ158" s="230">
        <v>709800</v>
      </c>
      <c r="CA158" s="229">
        <v>8.2000000000000007E-3</v>
      </c>
      <c r="CB158" s="230">
        <v>75108800</v>
      </c>
      <c r="CC158" s="230">
        <v>76031800</v>
      </c>
      <c r="CD158" s="230">
        <v>-923000</v>
      </c>
      <c r="CE158" s="229">
        <v>-1.21E-2</v>
      </c>
      <c r="CF158" s="230">
        <v>10350600</v>
      </c>
      <c r="CG158" s="230">
        <v>8828300</v>
      </c>
      <c r="CH158" s="230">
        <v>1522300</v>
      </c>
      <c r="CI158" s="229">
        <v>0.1724</v>
      </c>
      <c r="CJ158" s="230">
        <v>1764100</v>
      </c>
      <c r="CK158" s="230">
        <v>1653600</v>
      </c>
      <c r="CL158" s="230">
        <v>110500</v>
      </c>
      <c r="CM158" s="229">
        <v>6.6799999999999998E-2</v>
      </c>
      <c r="CN158" s="230">
        <v>50568700</v>
      </c>
      <c r="CO158" s="230">
        <v>49874500</v>
      </c>
      <c r="CP158" s="230">
        <v>694200</v>
      </c>
      <c r="CQ158" s="229">
        <v>1.3899999999999999E-2</v>
      </c>
      <c r="CR158" s="230">
        <v>30596800</v>
      </c>
      <c r="CS158" s="230">
        <v>29569800</v>
      </c>
      <c r="CT158" s="230">
        <v>1027000</v>
      </c>
      <c r="CU158" s="229">
        <v>3.4700000000000002E-2</v>
      </c>
      <c r="CV158" s="230">
        <v>168389000</v>
      </c>
      <c r="CW158" s="230">
        <v>165958000</v>
      </c>
      <c r="CX158" s="230">
        <v>2431000</v>
      </c>
      <c r="CY158" s="229">
        <v>1.46E-2</v>
      </c>
      <c r="CZ158" s="228">
        <v>21.63</v>
      </c>
      <c r="DA158" s="228">
        <v>23.22</v>
      </c>
      <c r="DB158" s="228">
        <v>-1.59</v>
      </c>
      <c r="DC158" s="228">
        <v>-1.59</v>
      </c>
      <c r="DD158" s="228">
        <v>41.34</v>
      </c>
      <c r="DE158" s="228">
        <v>41.44</v>
      </c>
      <c r="DF158" s="228">
        <v>-19.71</v>
      </c>
      <c r="DG158" s="228">
        <v>-0.1</v>
      </c>
      <c r="DH158" s="228">
        <v>21.88</v>
      </c>
      <c r="DI158" s="228">
        <v>24.08</v>
      </c>
      <c r="DJ158" s="228">
        <v>-2.2000000000000002</v>
      </c>
      <c r="DK158" s="228">
        <v>-2.2000000000000002</v>
      </c>
      <c r="DL158" s="228">
        <v>21.02</v>
      </c>
      <c r="DM158" s="228">
        <v>20.96</v>
      </c>
      <c r="DN158" s="228">
        <v>0.06</v>
      </c>
      <c r="DO158" s="228">
        <v>0.06</v>
      </c>
      <c r="DP158" s="228">
        <v>0.61</v>
      </c>
      <c r="DQ158" s="228">
        <v>0.59</v>
      </c>
      <c r="DR158" s="228">
        <v>0.02</v>
      </c>
      <c r="DS158" s="229">
        <v>3.39E-2</v>
      </c>
      <c r="DT158" s="228">
        <v>350</v>
      </c>
      <c r="DU158" s="228">
        <v>360</v>
      </c>
      <c r="DV158" s="228">
        <v>0.41</v>
      </c>
      <c r="DW158" s="228">
        <v>0.38</v>
      </c>
      <c r="DX158" s="228">
        <v>0.03</v>
      </c>
      <c r="DY158" s="229">
        <v>7.8899999999999998E-2</v>
      </c>
      <c r="DZ158" s="229">
        <v>0.1389</v>
      </c>
      <c r="EA158" s="230">
        <v>10481900</v>
      </c>
      <c r="EB158" s="229">
        <v>6.1000000000000004E-3</v>
      </c>
      <c r="EC158" s="229">
        <v>0.1389</v>
      </c>
      <c r="ED158" s="228">
        <v>2.04</v>
      </c>
      <c r="EE158" s="229">
        <v>6.1000000000000004E-3</v>
      </c>
      <c r="EF158" s="230">
        <v>2758051</v>
      </c>
      <c r="EG158" s="230">
        <v>2696378</v>
      </c>
      <c r="EH158" s="229">
        <v>2.29E-2</v>
      </c>
      <c r="EI158" s="229">
        <v>0.49719999999999998</v>
      </c>
      <c r="EJ158" s="231">
        <v>148236.43</v>
      </c>
      <c r="EK158" s="231">
        <v>58388.14</v>
      </c>
      <c r="EL158" s="231">
        <v>33276.69</v>
      </c>
      <c r="EM158" s="231">
        <v>5028</v>
      </c>
      <c r="EN158" s="231">
        <v>239901.26</v>
      </c>
      <c r="EO158" s="231">
        <v>144850.9</v>
      </c>
      <c r="EP158" s="231">
        <v>95050.36</v>
      </c>
      <c r="EQ158" s="229">
        <v>0.65620000000000001</v>
      </c>
      <c r="ER158" s="231">
        <v>184727</v>
      </c>
      <c r="ES158" s="231">
        <v>110667</v>
      </c>
      <c r="ET158" s="231">
        <v>293430</v>
      </c>
      <c r="EU158" s="231">
        <v>203602113</v>
      </c>
      <c r="EV158" s="231">
        <v>588825</v>
      </c>
      <c r="EW158" s="231">
        <v>581942</v>
      </c>
      <c r="EX158" s="231">
        <v>6883</v>
      </c>
      <c r="EY158" s="229">
        <v>1.18E-2</v>
      </c>
      <c r="EZ158" s="229">
        <v>0.82699999999999996</v>
      </c>
      <c r="FA158" s="227" t="s">
        <v>567</v>
      </c>
      <c r="FB158" s="161">
        <f t="shared" si="3"/>
        <v>0</v>
      </c>
    </row>
    <row r="159" spans="1:158" ht="17.25" thickBot="1" x14ac:dyDescent="0.3">
      <c r="A159" s="226">
        <v>46009</v>
      </c>
      <c r="B159" s="227" t="s">
        <v>184</v>
      </c>
      <c r="C159" s="227" t="s">
        <v>681</v>
      </c>
      <c r="D159" s="228">
        <v>700</v>
      </c>
      <c r="E159" s="228">
        <v>566.29999999999995</v>
      </c>
      <c r="F159" s="228">
        <v>563.65</v>
      </c>
      <c r="G159" s="228">
        <v>2.65</v>
      </c>
      <c r="H159" s="229">
        <v>4.7000000000000002E-3</v>
      </c>
      <c r="I159" s="228">
        <v>566.35</v>
      </c>
      <c r="J159" s="228">
        <v>563.75</v>
      </c>
      <c r="K159" s="228">
        <v>2.6</v>
      </c>
      <c r="L159" s="229">
        <v>4.5999999999999999E-3</v>
      </c>
      <c r="M159" s="228">
        <v>566.29999999999995</v>
      </c>
      <c r="N159" s="228">
        <v>563.65</v>
      </c>
      <c r="O159" s="228">
        <v>2.65</v>
      </c>
      <c r="P159" s="229">
        <v>4.7000000000000002E-3</v>
      </c>
      <c r="Q159" s="228">
        <v>568.85</v>
      </c>
      <c r="R159" s="228">
        <v>566.29999999999995</v>
      </c>
      <c r="S159" s="228">
        <v>2.5499999999999998</v>
      </c>
      <c r="T159" s="229">
        <v>4.4999999999999997E-3</v>
      </c>
      <c r="U159" s="228">
        <v>571.04999999999995</v>
      </c>
      <c r="V159" s="228">
        <v>569.95000000000005</v>
      </c>
      <c r="W159" s="228">
        <v>1.1000000000000001</v>
      </c>
      <c r="X159" s="229">
        <v>1.9E-3</v>
      </c>
      <c r="Y159" s="228">
        <v>-0.05</v>
      </c>
      <c r="Z159" s="228">
        <v>-0.1</v>
      </c>
      <c r="AA159" s="228">
        <v>0.05</v>
      </c>
      <c r="AB159" s="229">
        <v>-1E-4</v>
      </c>
      <c r="AC159" s="228">
        <v>-0.05</v>
      </c>
      <c r="AD159" s="228">
        <v>-0.1</v>
      </c>
      <c r="AE159" s="228">
        <v>0.05</v>
      </c>
      <c r="AF159" s="229">
        <v>-1E-4</v>
      </c>
      <c r="AG159" s="228">
        <v>2.5</v>
      </c>
      <c r="AH159" s="228">
        <v>2.5499999999999998</v>
      </c>
      <c r="AI159" s="228">
        <v>-0.05</v>
      </c>
      <c r="AJ159" s="229">
        <v>4.4000000000000003E-3</v>
      </c>
      <c r="AK159" s="228">
        <v>4.7</v>
      </c>
      <c r="AL159" s="228">
        <v>6.2</v>
      </c>
      <c r="AM159" s="228">
        <v>-1.5</v>
      </c>
      <c r="AN159" s="229">
        <v>8.3000000000000001E-3</v>
      </c>
      <c r="AO159" s="228">
        <v>564.66999999999996</v>
      </c>
      <c r="AP159" s="228">
        <v>566.37</v>
      </c>
      <c r="AQ159" s="228">
        <v>0</v>
      </c>
      <c r="AR159" s="230">
        <v>2127300</v>
      </c>
      <c r="AS159" s="230">
        <v>1470000</v>
      </c>
      <c r="AT159" s="230">
        <v>657300</v>
      </c>
      <c r="AU159" s="229">
        <v>0.4471</v>
      </c>
      <c r="AV159" s="230">
        <v>1481900</v>
      </c>
      <c r="AW159" s="230">
        <v>1291500</v>
      </c>
      <c r="AX159" s="230">
        <v>190400</v>
      </c>
      <c r="AY159" s="229">
        <v>0.1474</v>
      </c>
      <c r="AZ159" s="230">
        <v>463400</v>
      </c>
      <c r="BA159" s="230">
        <v>165200</v>
      </c>
      <c r="BB159" s="230">
        <v>298200</v>
      </c>
      <c r="BC159" s="229">
        <v>1.8050999999999999</v>
      </c>
      <c r="BD159" s="230">
        <v>182000</v>
      </c>
      <c r="BE159" s="230">
        <v>13300</v>
      </c>
      <c r="BF159" s="230">
        <v>168700</v>
      </c>
      <c r="BG159" s="229">
        <v>12.684200000000001</v>
      </c>
      <c r="BH159" s="230">
        <v>6244700</v>
      </c>
      <c r="BI159" s="230">
        <v>7431200</v>
      </c>
      <c r="BJ159" s="230">
        <v>-1186500</v>
      </c>
      <c r="BK159" s="229">
        <v>-0.15970000000000001</v>
      </c>
      <c r="BL159" s="230">
        <v>2230900</v>
      </c>
      <c r="BM159" s="230">
        <v>3080000</v>
      </c>
      <c r="BN159" s="230">
        <v>-849100</v>
      </c>
      <c r="BO159" s="229">
        <v>-0.2757</v>
      </c>
      <c r="BP159" s="230">
        <v>10602900</v>
      </c>
      <c r="BQ159" s="230">
        <v>11981200</v>
      </c>
      <c r="BR159" s="230">
        <v>-1378300</v>
      </c>
      <c r="BS159" s="229">
        <v>-0.115</v>
      </c>
      <c r="BT159" s="230">
        <v>1145392</v>
      </c>
      <c r="BU159" s="230">
        <v>1519721</v>
      </c>
      <c r="BV159" s="230">
        <v>-374329</v>
      </c>
      <c r="BW159" s="229">
        <v>-0.24629999999999999</v>
      </c>
      <c r="BX159" s="230">
        <v>10200300</v>
      </c>
      <c r="BY159" s="230">
        <v>9993850</v>
      </c>
      <c r="BZ159" s="230">
        <v>206450</v>
      </c>
      <c r="CA159" s="229">
        <v>2.07E-2</v>
      </c>
      <c r="CB159" s="230">
        <v>9474500</v>
      </c>
      <c r="CC159" s="230">
        <v>9464700</v>
      </c>
      <c r="CD159" s="230">
        <v>9800</v>
      </c>
      <c r="CE159" s="229">
        <v>1E-3</v>
      </c>
      <c r="CF159" s="230">
        <v>549100</v>
      </c>
      <c r="CG159" s="230">
        <v>464550</v>
      </c>
      <c r="CH159" s="230">
        <v>84550</v>
      </c>
      <c r="CI159" s="229">
        <v>0.182</v>
      </c>
      <c r="CJ159" s="230">
        <v>176700</v>
      </c>
      <c r="CK159" s="230">
        <v>64600</v>
      </c>
      <c r="CL159" s="230">
        <v>112100</v>
      </c>
      <c r="CM159" s="229">
        <v>1.7353000000000001</v>
      </c>
      <c r="CN159" s="230">
        <v>8486650</v>
      </c>
      <c r="CO159" s="230">
        <v>8940150</v>
      </c>
      <c r="CP159" s="230">
        <v>-453500</v>
      </c>
      <c r="CQ159" s="229">
        <v>-5.0700000000000002E-2</v>
      </c>
      <c r="CR159" s="230">
        <v>5563250</v>
      </c>
      <c r="CS159" s="230">
        <v>5629650</v>
      </c>
      <c r="CT159" s="230">
        <v>-66400</v>
      </c>
      <c r="CU159" s="229">
        <v>-1.18E-2</v>
      </c>
      <c r="CV159" s="230">
        <v>24250200</v>
      </c>
      <c r="CW159" s="230">
        <v>24563650</v>
      </c>
      <c r="CX159" s="230">
        <v>-313450</v>
      </c>
      <c r="CY159" s="229">
        <v>-1.2800000000000001E-2</v>
      </c>
      <c r="CZ159" s="228">
        <v>36.130000000000003</v>
      </c>
      <c r="DA159" s="228">
        <v>37.03</v>
      </c>
      <c r="DB159" s="228">
        <v>-0.9</v>
      </c>
      <c r="DC159" s="228">
        <v>-0.9</v>
      </c>
      <c r="DD159" s="228">
        <v>66.12</v>
      </c>
      <c r="DE159" s="228">
        <v>66.28</v>
      </c>
      <c r="DF159" s="228">
        <v>-29.99</v>
      </c>
      <c r="DG159" s="228">
        <v>-0.16</v>
      </c>
      <c r="DH159" s="228">
        <v>36.26</v>
      </c>
      <c r="DI159" s="228">
        <v>37.44</v>
      </c>
      <c r="DJ159" s="228">
        <v>-1.18</v>
      </c>
      <c r="DK159" s="228">
        <v>-1.18</v>
      </c>
      <c r="DL159" s="228">
        <v>35.76</v>
      </c>
      <c r="DM159" s="228">
        <v>36.06</v>
      </c>
      <c r="DN159" s="228">
        <v>-0.3</v>
      </c>
      <c r="DO159" s="228">
        <v>-0.3</v>
      </c>
      <c r="DP159" s="228">
        <v>0.66</v>
      </c>
      <c r="DQ159" s="228">
        <v>0.63</v>
      </c>
      <c r="DR159" s="228">
        <v>0.03</v>
      </c>
      <c r="DS159" s="229">
        <v>4.7600000000000003E-2</v>
      </c>
      <c r="DT159" s="228">
        <v>600</v>
      </c>
      <c r="DU159" s="228">
        <v>540</v>
      </c>
      <c r="DV159" s="228">
        <v>0.36</v>
      </c>
      <c r="DW159" s="228">
        <v>0.41</v>
      </c>
      <c r="DX159" s="228">
        <v>-0.05</v>
      </c>
      <c r="DY159" s="229">
        <v>-0.122</v>
      </c>
      <c r="DZ159" s="229">
        <v>7.1199999999999999E-2</v>
      </c>
      <c r="EA159" s="230">
        <v>529150</v>
      </c>
      <c r="EB159" s="229">
        <v>4.4999999999999997E-3</v>
      </c>
      <c r="EC159" s="229">
        <v>7.1199999999999999E-2</v>
      </c>
      <c r="ED159" s="228">
        <v>1.7</v>
      </c>
      <c r="EE159" s="229">
        <v>3.0000000000000001E-3</v>
      </c>
      <c r="EF159" s="230">
        <v>402970</v>
      </c>
      <c r="EG159" s="230">
        <v>558667</v>
      </c>
      <c r="EH159" s="229">
        <v>-0.2787</v>
      </c>
      <c r="EI159" s="229">
        <v>0.3518</v>
      </c>
      <c r="EJ159" s="231">
        <v>37257.78</v>
      </c>
      <c r="EK159" s="231">
        <v>12447.91</v>
      </c>
      <c r="EL159" s="231">
        <v>13332.24</v>
      </c>
      <c r="EM159" s="231">
        <v>3564</v>
      </c>
      <c r="EN159" s="231">
        <v>63037.93</v>
      </c>
      <c r="EO159" s="231">
        <v>70175.850000000006</v>
      </c>
      <c r="EP159" s="231">
        <v>-7137.92</v>
      </c>
      <c r="EQ159" s="229">
        <v>-0.1017</v>
      </c>
      <c r="ER159" s="231">
        <v>50590</v>
      </c>
      <c r="ES159" s="231">
        <v>29795</v>
      </c>
      <c r="ET159" s="231">
        <v>57787</v>
      </c>
      <c r="EU159" s="231">
        <v>23897684</v>
      </c>
      <c r="EV159" s="231">
        <v>138171</v>
      </c>
      <c r="EW159" s="231">
        <v>139787</v>
      </c>
      <c r="EX159" s="231">
        <v>-1616</v>
      </c>
      <c r="EY159" s="229">
        <v>-1.1599999999999999E-2</v>
      </c>
      <c r="EZ159" s="229">
        <v>1.0147999999999999</v>
      </c>
      <c r="FA159" s="227" t="s">
        <v>555</v>
      </c>
      <c r="FB159" s="161">
        <f t="shared" si="3"/>
        <v>0</v>
      </c>
    </row>
    <row r="160" spans="1:158" ht="17.25" thickBot="1" x14ac:dyDescent="0.3">
      <c r="A160" s="226">
        <v>46009</v>
      </c>
      <c r="B160" s="227" t="s">
        <v>206</v>
      </c>
      <c r="C160" s="227" t="s">
        <v>645</v>
      </c>
      <c r="D160" s="228">
        <v>350</v>
      </c>
      <c r="E160" s="231">
        <v>1802.6</v>
      </c>
      <c r="F160" s="231">
        <v>1782.5</v>
      </c>
      <c r="G160" s="228">
        <v>20.100000000000001</v>
      </c>
      <c r="H160" s="229">
        <v>1.1299999999999999E-2</v>
      </c>
      <c r="I160" s="231">
        <v>1798</v>
      </c>
      <c r="J160" s="231">
        <v>1781.5</v>
      </c>
      <c r="K160" s="228">
        <v>16.5</v>
      </c>
      <c r="L160" s="229">
        <v>9.2999999999999992E-3</v>
      </c>
      <c r="M160" s="231">
        <v>1802.6</v>
      </c>
      <c r="N160" s="231">
        <v>1782.5</v>
      </c>
      <c r="O160" s="228">
        <v>20.100000000000001</v>
      </c>
      <c r="P160" s="229">
        <v>1.1299999999999999E-2</v>
      </c>
      <c r="Q160" s="231">
        <v>1814.1</v>
      </c>
      <c r="R160" s="231">
        <v>1791.4</v>
      </c>
      <c r="S160" s="228">
        <v>22.7</v>
      </c>
      <c r="T160" s="229">
        <v>1.2699999999999999E-2</v>
      </c>
      <c r="U160" s="231">
        <v>1813.8</v>
      </c>
      <c r="V160" s="231">
        <v>1800.9</v>
      </c>
      <c r="W160" s="228">
        <v>12.9</v>
      </c>
      <c r="X160" s="229">
        <v>7.1999999999999998E-3</v>
      </c>
      <c r="Y160" s="228">
        <v>4.5999999999999996</v>
      </c>
      <c r="Z160" s="228">
        <v>1</v>
      </c>
      <c r="AA160" s="228">
        <v>3.6</v>
      </c>
      <c r="AB160" s="229">
        <v>2.5999999999999999E-3</v>
      </c>
      <c r="AC160" s="228">
        <v>4.5999999999999996</v>
      </c>
      <c r="AD160" s="228">
        <v>1</v>
      </c>
      <c r="AE160" s="228">
        <v>3.6</v>
      </c>
      <c r="AF160" s="229">
        <v>2.5999999999999999E-3</v>
      </c>
      <c r="AG160" s="228">
        <v>16.100000000000001</v>
      </c>
      <c r="AH160" s="228">
        <v>9.9</v>
      </c>
      <c r="AI160" s="228">
        <v>6.2</v>
      </c>
      <c r="AJ160" s="229">
        <v>8.9999999999999993E-3</v>
      </c>
      <c r="AK160" s="228">
        <v>15.8</v>
      </c>
      <c r="AL160" s="228">
        <v>19.399999999999999</v>
      </c>
      <c r="AM160" s="228">
        <v>-3.6</v>
      </c>
      <c r="AN160" s="229">
        <v>8.8000000000000005E-3</v>
      </c>
      <c r="AO160" s="231">
        <v>1792.8</v>
      </c>
      <c r="AP160" s="231">
        <v>1805.32</v>
      </c>
      <c r="AQ160" s="228">
        <v>0</v>
      </c>
      <c r="AR160" s="230">
        <v>471450</v>
      </c>
      <c r="AS160" s="230">
        <v>362250</v>
      </c>
      <c r="AT160" s="230">
        <v>109200</v>
      </c>
      <c r="AU160" s="229">
        <v>0.3014</v>
      </c>
      <c r="AV160" s="230">
        <v>394450</v>
      </c>
      <c r="AW160" s="230">
        <v>315350</v>
      </c>
      <c r="AX160" s="230">
        <v>79100</v>
      </c>
      <c r="AY160" s="229">
        <v>0.25080000000000002</v>
      </c>
      <c r="AZ160" s="230">
        <v>73150</v>
      </c>
      <c r="BA160" s="230">
        <v>45500</v>
      </c>
      <c r="BB160" s="230">
        <v>27650</v>
      </c>
      <c r="BC160" s="229">
        <v>0.60770000000000002</v>
      </c>
      <c r="BD160" s="230">
        <v>3850</v>
      </c>
      <c r="BE160" s="230">
        <v>1400</v>
      </c>
      <c r="BF160" s="230">
        <v>2450</v>
      </c>
      <c r="BG160" s="229">
        <v>1.75</v>
      </c>
      <c r="BH160" s="230">
        <v>841050</v>
      </c>
      <c r="BI160" s="230">
        <v>618800</v>
      </c>
      <c r="BJ160" s="230">
        <v>222250</v>
      </c>
      <c r="BK160" s="229">
        <v>0.35920000000000002</v>
      </c>
      <c r="BL160" s="230">
        <v>307650</v>
      </c>
      <c r="BM160" s="230">
        <v>258300</v>
      </c>
      <c r="BN160" s="230">
        <v>49350</v>
      </c>
      <c r="BO160" s="229">
        <v>0.19109999999999999</v>
      </c>
      <c r="BP160" s="230">
        <v>1620150</v>
      </c>
      <c r="BQ160" s="230">
        <v>1239350</v>
      </c>
      <c r="BR160" s="230">
        <v>380800</v>
      </c>
      <c r="BS160" s="229">
        <v>0.30730000000000002</v>
      </c>
      <c r="BT160" s="230">
        <v>394252</v>
      </c>
      <c r="BU160" s="230">
        <v>920375</v>
      </c>
      <c r="BV160" s="230">
        <v>-526123</v>
      </c>
      <c r="BW160" s="229">
        <v>-0.5716</v>
      </c>
      <c r="BX160" s="230">
        <v>3302250</v>
      </c>
      <c r="BY160" s="230">
        <v>3266900</v>
      </c>
      <c r="BZ160" s="230">
        <v>35350</v>
      </c>
      <c r="CA160" s="229">
        <v>1.0800000000000001E-2</v>
      </c>
      <c r="CB160" s="230">
        <v>3180450</v>
      </c>
      <c r="CC160" s="230">
        <v>3168900</v>
      </c>
      <c r="CD160" s="230">
        <v>11550</v>
      </c>
      <c r="CE160" s="229">
        <v>3.5999999999999999E-3</v>
      </c>
      <c r="CF160" s="230">
        <v>114800</v>
      </c>
      <c r="CG160" s="230">
        <v>92050</v>
      </c>
      <c r="CH160" s="230">
        <v>22750</v>
      </c>
      <c r="CI160" s="229">
        <v>0.24709999999999999</v>
      </c>
      <c r="CJ160" s="230">
        <v>7000</v>
      </c>
      <c r="CK160" s="230">
        <v>5950</v>
      </c>
      <c r="CL160" s="230">
        <v>1050</v>
      </c>
      <c r="CM160" s="229">
        <v>0.17649999999999999</v>
      </c>
      <c r="CN160" s="230">
        <v>1333150</v>
      </c>
      <c r="CO160" s="230">
        <v>1387400</v>
      </c>
      <c r="CP160" s="230">
        <v>-54250</v>
      </c>
      <c r="CQ160" s="229">
        <v>-3.9100000000000003E-2</v>
      </c>
      <c r="CR160" s="230">
        <v>710500</v>
      </c>
      <c r="CS160" s="230">
        <v>700700</v>
      </c>
      <c r="CT160" s="230">
        <v>9800</v>
      </c>
      <c r="CU160" s="229">
        <v>1.4E-2</v>
      </c>
      <c r="CV160" s="230">
        <v>5345900</v>
      </c>
      <c r="CW160" s="230">
        <v>5355000</v>
      </c>
      <c r="CX160" s="230">
        <v>-9100</v>
      </c>
      <c r="CY160" s="229">
        <v>-1.6999999999999999E-3</v>
      </c>
      <c r="CZ160" s="228">
        <v>21.86</v>
      </c>
      <c r="DA160" s="228">
        <v>22.95</v>
      </c>
      <c r="DB160" s="228">
        <v>-1.0900000000000001</v>
      </c>
      <c r="DC160" s="228">
        <v>-1.0900000000000001</v>
      </c>
      <c r="DD160" s="228">
        <v>41.14</v>
      </c>
      <c r="DE160" s="228">
        <v>41.22</v>
      </c>
      <c r="DF160" s="228">
        <v>-19.28</v>
      </c>
      <c r="DG160" s="228">
        <v>-0.08</v>
      </c>
      <c r="DH160" s="228">
        <v>20.63</v>
      </c>
      <c r="DI160" s="228">
        <v>22.44</v>
      </c>
      <c r="DJ160" s="228">
        <v>-1.81</v>
      </c>
      <c r="DK160" s="228">
        <v>-1.81</v>
      </c>
      <c r="DL160" s="228">
        <v>25.23</v>
      </c>
      <c r="DM160" s="228">
        <v>24.16</v>
      </c>
      <c r="DN160" s="228">
        <v>1.07</v>
      </c>
      <c r="DO160" s="228">
        <v>1.07</v>
      </c>
      <c r="DP160" s="228">
        <v>0.53</v>
      </c>
      <c r="DQ160" s="228">
        <v>0.51</v>
      </c>
      <c r="DR160" s="228">
        <v>0.02</v>
      </c>
      <c r="DS160" s="229">
        <v>3.9199999999999999E-2</v>
      </c>
      <c r="DT160" s="231">
        <v>1800</v>
      </c>
      <c r="DU160" s="231">
        <v>1600</v>
      </c>
      <c r="DV160" s="228">
        <v>0.37</v>
      </c>
      <c r="DW160" s="228">
        <v>0.42</v>
      </c>
      <c r="DX160" s="228">
        <v>-0.05</v>
      </c>
      <c r="DY160" s="229">
        <v>-0.11899999999999999</v>
      </c>
      <c r="DZ160" s="229">
        <v>3.6900000000000002E-2</v>
      </c>
      <c r="EA160" s="230">
        <v>98000</v>
      </c>
      <c r="EB160" s="229">
        <v>6.4000000000000003E-3</v>
      </c>
      <c r="EC160" s="229">
        <v>3.6900000000000002E-2</v>
      </c>
      <c r="ED160" s="228">
        <v>12.52</v>
      </c>
      <c r="EE160" s="229">
        <v>7.0000000000000001E-3</v>
      </c>
      <c r="EF160" s="230">
        <v>251055</v>
      </c>
      <c r="EG160" s="230">
        <v>766579</v>
      </c>
      <c r="EH160" s="229">
        <v>-0.67249999999999999</v>
      </c>
      <c r="EI160" s="229">
        <v>0.63680000000000003</v>
      </c>
      <c r="EJ160" s="231">
        <v>15474.54</v>
      </c>
      <c r="EK160" s="231">
        <v>5287.67</v>
      </c>
      <c r="EL160" s="231">
        <v>8461.81</v>
      </c>
      <c r="EM160" s="231">
        <v>2139</v>
      </c>
      <c r="EN160" s="231">
        <v>29224.02</v>
      </c>
      <c r="EO160" s="231">
        <v>22366.76</v>
      </c>
      <c r="EP160" s="231">
        <v>6857.26</v>
      </c>
      <c r="EQ160" s="229">
        <v>0.30659999999999998</v>
      </c>
      <c r="ER160" s="231">
        <v>24461</v>
      </c>
      <c r="ES160" s="231">
        <v>12212</v>
      </c>
      <c r="ET160" s="231">
        <v>59540</v>
      </c>
      <c r="EU160" s="231">
        <v>28283155</v>
      </c>
      <c r="EV160" s="231">
        <v>96214</v>
      </c>
      <c r="EW160" s="231">
        <v>95713</v>
      </c>
      <c r="EX160" s="228">
        <v>501</v>
      </c>
      <c r="EY160" s="229">
        <v>5.1999999999999998E-3</v>
      </c>
      <c r="EZ160" s="229">
        <v>0.189</v>
      </c>
      <c r="FA160" s="227" t="s">
        <v>555</v>
      </c>
      <c r="FB160" s="161">
        <f t="shared" si="3"/>
        <v>0</v>
      </c>
    </row>
    <row r="161" spans="1:158" ht="17.25" thickBot="1" x14ac:dyDescent="0.3">
      <c r="A161" s="226">
        <v>46009</v>
      </c>
      <c r="B161" s="227" t="s">
        <v>168</v>
      </c>
      <c r="C161" s="227" t="s">
        <v>274</v>
      </c>
      <c r="D161" s="228">
        <v>500</v>
      </c>
      <c r="E161" s="231">
        <v>1455</v>
      </c>
      <c r="F161" s="231">
        <v>1452.6</v>
      </c>
      <c r="G161" s="228">
        <v>2.4</v>
      </c>
      <c r="H161" s="229">
        <v>1.6999999999999999E-3</v>
      </c>
      <c r="I161" s="231">
        <v>1451.6</v>
      </c>
      <c r="J161" s="231">
        <v>1450.7</v>
      </c>
      <c r="K161" s="228">
        <v>0.9</v>
      </c>
      <c r="L161" s="229">
        <v>5.9999999999999995E-4</v>
      </c>
      <c r="M161" s="231">
        <v>1455</v>
      </c>
      <c r="N161" s="231">
        <v>1452.6</v>
      </c>
      <c r="O161" s="228">
        <v>2.4</v>
      </c>
      <c r="P161" s="229">
        <v>1.6999999999999999E-3</v>
      </c>
      <c r="Q161" s="231">
        <v>1464.6</v>
      </c>
      <c r="R161" s="231">
        <v>1461.3</v>
      </c>
      <c r="S161" s="228">
        <v>3.3</v>
      </c>
      <c r="T161" s="229">
        <v>2.3E-3</v>
      </c>
      <c r="U161" s="231">
        <v>1473</v>
      </c>
      <c r="V161" s="231">
        <v>1470.2</v>
      </c>
      <c r="W161" s="228">
        <v>2.8</v>
      </c>
      <c r="X161" s="229">
        <v>1.9E-3</v>
      </c>
      <c r="Y161" s="228">
        <v>3.4</v>
      </c>
      <c r="Z161" s="228">
        <v>1.9</v>
      </c>
      <c r="AA161" s="228">
        <v>1.5</v>
      </c>
      <c r="AB161" s="229">
        <v>2.3E-3</v>
      </c>
      <c r="AC161" s="228">
        <v>3.4</v>
      </c>
      <c r="AD161" s="228">
        <v>1.9</v>
      </c>
      <c r="AE161" s="228">
        <v>1.5</v>
      </c>
      <c r="AF161" s="229">
        <v>2.3E-3</v>
      </c>
      <c r="AG161" s="228">
        <v>13</v>
      </c>
      <c r="AH161" s="228">
        <v>10.6</v>
      </c>
      <c r="AI161" s="228">
        <v>2.4</v>
      </c>
      <c r="AJ161" s="229">
        <v>8.9999999999999993E-3</v>
      </c>
      <c r="AK161" s="228">
        <v>21.4</v>
      </c>
      <c r="AL161" s="228">
        <v>19.5</v>
      </c>
      <c r="AM161" s="228">
        <v>1.9</v>
      </c>
      <c r="AN161" s="229">
        <v>1.47E-2</v>
      </c>
      <c r="AO161" s="231">
        <v>1451.5</v>
      </c>
      <c r="AP161" s="231">
        <v>1459.61</v>
      </c>
      <c r="AQ161" s="228">
        <v>0</v>
      </c>
      <c r="AR161" s="230">
        <v>991000</v>
      </c>
      <c r="AS161" s="230">
        <v>1406000</v>
      </c>
      <c r="AT161" s="230">
        <v>-415000</v>
      </c>
      <c r="AU161" s="229">
        <v>-0.29520000000000002</v>
      </c>
      <c r="AV161" s="230">
        <v>637500</v>
      </c>
      <c r="AW161" s="230">
        <v>947000</v>
      </c>
      <c r="AX161" s="230">
        <v>-309500</v>
      </c>
      <c r="AY161" s="229">
        <v>-0.32679999999999998</v>
      </c>
      <c r="AZ161" s="230">
        <v>348000</v>
      </c>
      <c r="BA161" s="230">
        <v>452500</v>
      </c>
      <c r="BB161" s="230">
        <v>-104500</v>
      </c>
      <c r="BC161" s="229">
        <v>-0.23089999999999999</v>
      </c>
      <c r="BD161" s="230">
        <v>5500</v>
      </c>
      <c r="BE161" s="230">
        <v>6500</v>
      </c>
      <c r="BF161" s="230">
        <v>-1000</v>
      </c>
      <c r="BG161" s="229">
        <v>-0.15379999999999999</v>
      </c>
      <c r="BH161" s="230">
        <v>750500</v>
      </c>
      <c r="BI161" s="230">
        <v>1232500</v>
      </c>
      <c r="BJ161" s="230">
        <v>-482000</v>
      </c>
      <c r="BK161" s="229">
        <v>-0.3911</v>
      </c>
      <c r="BL161" s="230">
        <v>374000</v>
      </c>
      <c r="BM161" s="230">
        <v>923000</v>
      </c>
      <c r="BN161" s="230">
        <v>-549000</v>
      </c>
      <c r="BO161" s="229">
        <v>-0.5948</v>
      </c>
      <c r="BP161" s="230">
        <v>2115500</v>
      </c>
      <c r="BQ161" s="230">
        <v>3561500</v>
      </c>
      <c r="BR161" s="230">
        <v>-1446000</v>
      </c>
      <c r="BS161" s="229">
        <v>-0.40600000000000003</v>
      </c>
      <c r="BT161" s="230">
        <v>268718</v>
      </c>
      <c r="BU161" s="230">
        <v>264249</v>
      </c>
      <c r="BV161" s="230">
        <v>4469</v>
      </c>
      <c r="BW161" s="229">
        <v>1.6899999999999998E-2</v>
      </c>
      <c r="BX161" s="230">
        <v>7368500</v>
      </c>
      <c r="BY161" s="230">
        <v>7235000</v>
      </c>
      <c r="BZ161" s="230">
        <v>133500</v>
      </c>
      <c r="CA161" s="229">
        <v>1.8499999999999999E-2</v>
      </c>
      <c r="CB161" s="230">
        <v>6353000</v>
      </c>
      <c r="CC161" s="230">
        <v>6468000</v>
      </c>
      <c r="CD161" s="230">
        <v>-115000</v>
      </c>
      <c r="CE161" s="229">
        <v>-1.78E-2</v>
      </c>
      <c r="CF161" s="230">
        <v>984000</v>
      </c>
      <c r="CG161" s="230">
        <v>739000</v>
      </c>
      <c r="CH161" s="230">
        <v>245000</v>
      </c>
      <c r="CI161" s="229">
        <v>0.33150000000000002</v>
      </c>
      <c r="CJ161" s="230">
        <v>31500</v>
      </c>
      <c r="CK161" s="230">
        <v>28000</v>
      </c>
      <c r="CL161" s="230">
        <v>3500</v>
      </c>
      <c r="CM161" s="229">
        <v>0.125</v>
      </c>
      <c r="CN161" s="230">
        <v>1456000</v>
      </c>
      <c r="CO161" s="230">
        <v>1411000</v>
      </c>
      <c r="CP161" s="230">
        <v>45000</v>
      </c>
      <c r="CQ161" s="229">
        <v>3.1899999999999998E-2</v>
      </c>
      <c r="CR161" s="230">
        <v>1055000</v>
      </c>
      <c r="CS161" s="230">
        <v>1038000</v>
      </c>
      <c r="CT161" s="230">
        <v>17000</v>
      </c>
      <c r="CU161" s="229">
        <v>1.6400000000000001E-2</v>
      </c>
      <c r="CV161" s="230">
        <v>9879500</v>
      </c>
      <c r="CW161" s="230">
        <v>9684000</v>
      </c>
      <c r="CX161" s="230">
        <v>195500</v>
      </c>
      <c r="CY161" s="229">
        <v>2.0199999999999999E-2</v>
      </c>
      <c r="CZ161" s="228">
        <v>16.02</v>
      </c>
      <c r="DA161" s="228">
        <v>16.829999999999998</v>
      </c>
      <c r="DB161" s="228">
        <v>-0.81</v>
      </c>
      <c r="DC161" s="228">
        <v>-0.81</v>
      </c>
      <c r="DD161" s="228">
        <v>21.32</v>
      </c>
      <c r="DE161" s="228">
        <v>21.37</v>
      </c>
      <c r="DF161" s="228">
        <v>-5.3</v>
      </c>
      <c r="DG161" s="228">
        <v>-0.05</v>
      </c>
      <c r="DH161" s="228">
        <v>15.83</v>
      </c>
      <c r="DI161" s="228">
        <v>16.91</v>
      </c>
      <c r="DJ161" s="228">
        <v>-1.08</v>
      </c>
      <c r="DK161" s="228">
        <v>-1.08</v>
      </c>
      <c r="DL161" s="228">
        <v>16.420000000000002</v>
      </c>
      <c r="DM161" s="228">
        <v>16.73</v>
      </c>
      <c r="DN161" s="228">
        <v>-0.31</v>
      </c>
      <c r="DO161" s="228">
        <v>-0.31</v>
      </c>
      <c r="DP161" s="228">
        <v>0.72</v>
      </c>
      <c r="DQ161" s="228">
        <v>0.74</v>
      </c>
      <c r="DR161" s="228">
        <v>-0.02</v>
      </c>
      <c r="DS161" s="229">
        <v>-2.7E-2</v>
      </c>
      <c r="DT161" s="231">
        <v>1500</v>
      </c>
      <c r="DU161" s="231">
        <v>1400</v>
      </c>
      <c r="DV161" s="228">
        <v>0.5</v>
      </c>
      <c r="DW161" s="228">
        <v>0.75</v>
      </c>
      <c r="DX161" s="228">
        <v>-0.25</v>
      </c>
      <c r="DY161" s="229">
        <v>-0.33329999999999999</v>
      </c>
      <c r="DZ161" s="229">
        <v>0.13780000000000001</v>
      </c>
      <c r="EA161" s="230">
        <v>767000</v>
      </c>
      <c r="EB161" s="229">
        <v>6.6E-3</v>
      </c>
      <c r="EC161" s="229">
        <v>0.13780000000000001</v>
      </c>
      <c r="ED161" s="228">
        <v>8.11</v>
      </c>
      <c r="EE161" s="229">
        <v>5.5999999999999999E-3</v>
      </c>
      <c r="EF161" s="230">
        <v>140753</v>
      </c>
      <c r="EG161" s="230">
        <v>157877</v>
      </c>
      <c r="EH161" s="229">
        <v>-0.1085</v>
      </c>
      <c r="EI161" s="229">
        <v>0.52380000000000004</v>
      </c>
      <c r="EJ161" s="231">
        <v>11206.18</v>
      </c>
      <c r="EK161" s="231">
        <v>5373.85</v>
      </c>
      <c r="EL161" s="231">
        <v>14413.62</v>
      </c>
      <c r="EM161" s="231">
        <v>1479</v>
      </c>
      <c r="EN161" s="231">
        <v>30993.65</v>
      </c>
      <c r="EO161" s="231">
        <v>52310.75</v>
      </c>
      <c r="EP161" s="231">
        <v>-21317.1</v>
      </c>
      <c r="EQ161" s="229">
        <v>-0.40749999999999997</v>
      </c>
      <c r="ER161" s="231">
        <v>22028</v>
      </c>
      <c r="ES161" s="231">
        <v>15175</v>
      </c>
      <c r="ET161" s="231">
        <v>107312</v>
      </c>
      <c r="EU161" s="231">
        <v>31170515</v>
      </c>
      <c r="EV161" s="231">
        <v>144515</v>
      </c>
      <c r="EW161" s="231">
        <v>141450</v>
      </c>
      <c r="EX161" s="231">
        <v>3065</v>
      </c>
      <c r="EY161" s="229">
        <v>2.1700000000000001E-2</v>
      </c>
      <c r="EZ161" s="229">
        <v>0.317</v>
      </c>
      <c r="FA161" s="227" t="s">
        <v>555</v>
      </c>
      <c r="FB161" s="161">
        <f t="shared" si="3"/>
        <v>0</v>
      </c>
    </row>
    <row r="162" spans="1:158" ht="17.25" thickBot="1" x14ac:dyDescent="0.3">
      <c r="A162" s="226">
        <v>46009</v>
      </c>
      <c r="B162" s="227" t="s">
        <v>498</v>
      </c>
      <c r="C162" s="227" t="s">
        <v>483</v>
      </c>
      <c r="D162" s="228">
        <v>175</v>
      </c>
      <c r="E162" s="231">
        <v>3225.3</v>
      </c>
      <c r="F162" s="231">
        <v>3216.6</v>
      </c>
      <c r="G162" s="228">
        <v>8.6999999999999993</v>
      </c>
      <c r="H162" s="229">
        <v>2.7000000000000001E-3</v>
      </c>
      <c r="I162" s="231">
        <v>3213.8</v>
      </c>
      <c r="J162" s="231">
        <v>3206.2</v>
      </c>
      <c r="K162" s="228">
        <v>7.6</v>
      </c>
      <c r="L162" s="229">
        <v>2.3999999999999998E-3</v>
      </c>
      <c r="M162" s="231">
        <v>3225.3</v>
      </c>
      <c r="N162" s="231">
        <v>3216.6</v>
      </c>
      <c r="O162" s="228">
        <v>8.6999999999999993</v>
      </c>
      <c r="P162" s="229">
        <v>2.7000000000000001E-3</v>
      </c>
      <c r="Q162" s="231">
        <v>3231.2</v>
      </c>
      <c r="R162" s="231">
        <v>3221.9</v>
      </c>
      <c r="S162" s="228">
        <v>9.3000000000000007</v>
      </c>
      <c r="T162" s="229">
        <v>2.8999999999999998E-3</v>
      </c>
      <c r="U162" s="231">
        <v>3215.7</v>
      </c>
      <c r="V162" s="231">
        <v>3220.7</v>
      </c>
      <c r="W162" s="228">
        <v>-5</v>
      </c>
      <c r="X162" s="229">
        <v>-1.6000000000000001E-3</v>
      </c>
      <c r="Y162" s="228">
        <v>11.5</v>
      </c>
      <c r="Z162" s="228">
        <v>10.4</v>
      </c>
      <c r="AA162" s="228">
        <v>1.1000000000000001</v>
      </c>
      <c r="AB162" s="229">
        <v>3.5999999999999999E-3</v>
      </c>
      <c r="AC162" s="228">
        <v>11.5</v>
      </c>
      <c r="AD162" s="228">
        <v>10.4</v>
      </c>
      <c r="AE162" s="228">
        <v>1.1000000000000001</v>
      </c>
      <c r="AF162" s="229">
        <v>3.5999999999999999E-3</v>
      </c>
      <c r="AG162" s="228">
        <v>17.399999999999999</v>
      </c>
      <c r="AH162" s="228">
        <v>15.7</v>
      </c>
      <c r="AI162" s="228">
        <v>1.7</v>
      </c>
      <c r="AJ162" s="229">
        <v>5.4000000000000003E-3</v>
      </c>
      <c r="AK162" s="228">
        <v>1.9</v>
      </c>
      <c r="AL162" s="228">
        <v>14.5</v>
      </c>
      <c r="AM162" s="228">
        <v>-12.6</v>
      </c>
      <c r="AN162" s="229">
        <v>5.9999999999999995E-4</v>
      </c>
      <c r="AO162" s="231">
        <v>3215.8</v>
      </c>
      <c r="AP162" s="231">
        <v>3223.17</v>
      </c>
      <c r="AQ162" s="228">
        <v>0</v>
      </c>
      <c r="AR162" s="230">
        <v>322875</v>
      </c>
      <c r="AS162" s="230">
        <v>342825</v>
      </c>
      <c r="AT162" s="230">
        <v>-19950</v>
      </c>
      <c r="AU162" s="229">
        <v>-5.8200000000000002E-2</v>
      </c>
      <c r="AV162" s="230">
        <v>283500</v>
      </c>
      <c r="AW162" s="230">
        <v>303975</v>
      </c>
      <c r="AX162" s="230">
        <v>-20475</v>
      </c>
      <c r="AY162" s="229">
        <v>-6.7400000000000002E-2</v>
      </c>
      <c r="AZ162" s="230">
        <v>38675</v>
      </c>
      <c r="BA162" s="230">
        <v>37625</v>
      </c>
      <c r="BB162" s="230">
        <v>1050</v>
      </c>
      <c r="BC162" s="229">
        <v>2.7900000000000001E-2</v>
      </c>
      <c r="BD162" s="228">
        <v>700</v>
      </c>
      <c r="BE162" s="230">
        <v>1225</v>
      </c>
      <c r="BF162" s="228">
        <v>-525</v>
      </c>
      <c r="BG162" s="229">
        <v>-0.42859999999999998</v>
      </c>
      <c r="BH162" s="230">
        <v>595000</v>
      </c>
      <c r="BI162" s="230">
        <v>864850</v>
      </c>
      <c r="BJ162" s="230">
        <v>-269850</v>
      </c>
      <c r="BK162" s="229">
        <v>-0.312</v>
      </c>
      <c r="BL162" s="230">
        <v>461825</v>
      </c>
      <c r="BM162" s="230">
        <v>570675</v>
      </c>
      <c r="BN162" s="230">
        <v>-108850</v>
      </c>
      <c r="BO162" s="229">
        <v>-0.19070000000000001</v>
      </c>
      <c r="BP162" s="230">
        <v>1379700</v>
      </c>
      <c r="BQ162" s="230">
        <v>1778350</v>
      </c>
      <c r="BR162" s="230">
        <v>-398650</v>
      </c>
      <c r="BS162" s="229">
        <v>-0.22420000000000001</v>
      </c>
      <c r="BT162" s="230">
        <v>182235</v>
      </c>
      <c r="BU162" s="230">
        <v>216958</v>
      </c>
      <c r="BV162" s="230">
        <v>-34723</v>
      </c>
      <c r="BW162" s="229">
        <v>-0.16</v>
      </c>
      <c r="BX162" s="230">
        <v>2695350</v>
      </c>
      <c r="BY162" s="230">
        <v>2742250</v>
      </c>
      <c r="BZ162" s="230">
        <v>-46900</v>
      </c>
      <c r="CA162" s="229">
        <v>-1.7100000000000001E-2</v>
      </c>
      <c r="CB162" s="230">
        <v>2392250</v>
      </c>
      <c r="CC162" s="230">
        <v>2448250</v>
      </c>
      <c r="CD162" s="230">
        <v>-56000</v>
      </c>
      <c r="CE162" s="229">
        <v>-2.29E-2</v>
      </c>
      <c r="CF162" s="230">
        <v>281050</v>
      </c>
      <c r="CG162" s="230">
        <v>271950</v>
      </c>
      <c r="CH162" s="230">
        <v>9100</v>
      </c>
      <c r="CI162" s="229">
        <v>3.3500000000000002E-2</v>
      </c>
      <c r="CJ162" s="230">
        <v>22050</v>
      </c>
      <c r="CK162" s="230">
        <v>22050</v>
      </c>
      <c r="CL162" s="228">
        <v>0</v>
      </c>
      <c r="CM162" s="229">
        <v>0</v>
      </c>
      <c r="CN162" s="230">
        <v>1039150</v>
      </c>
      <c r="CO162" s="230">
        <v>1065750</v>
      </c>
      <c r="CP162" s="230">
        <v>-26600</v>
      </c>
      <c r="CQ162" s="229">
        <v>-2.5000000000000001E-2</v>
      </c>
      <c r="CR162" s="230">
        <v>717500</v>
      </c>
      <c r="CS162" s="230">
        <v>674800</v>
      </c>
      <c r="CT162" s="230">
        <v>42700</v>
      </c>
      <c r="CU162" s="229">
        <v>6.3299999999999995E-2</v>
      </c>
      <c r="CV162" s="230">
        <v>4452000</v>
      </c>
      <c r="CW162" s="230">
        <v>4482800</v>
      </c>
      <c r="CX162" s="230">
        <v>-30800</v>
      </c>
      <c r="CY162" s="229">
        <v>-6.8999999999999999E-3</v>
      </c>
      <c r="CZ162" s="228">
        <v>23.47</v>
      </c>
      <c r="DA162" s="228">
        <v>24.41</v>
      </c>
      <c r="DB162" s="228">
        <v>-0.94</v>
      </c>
      <c r="DC162" s="228">
        <v>-0.94</v>
      </c>
      <c r="DD162" s="228">
        <v>29.35</v>
      </c>
      <c r="DE162" s="228">
        <v>29.42</v>
      </c>
      <c r="DF162" s="228">
        <v>-5.88</v>
      </c>
      <c r="DG162" s="228">
        <v>-7.0000000000000007E-2</v>
      </c>
      <c r="DH162" s="228">
        <v>22.8</v>
      </c>
      <c r="DI162" s="228">
        <v>24.34</v>
      </c>
      <c r="DJ162" s="228">
        <v>-1.54</v>
      </c>
      <c r="DK162" s="228">
        <v>-1.54</v>
      </c>
      <c r="DL162" s="228">
        <v>24.32</v>
      </c>
      <c r="DM162" s="228">
        <v>24.52</v>
      </c>
      <c r="DN162" s="228">
        <v>-0.2</v>
      </c>
      <c r="DO162" s="228">
        <v>-0.2</v>
      </c>
      <c r="DP162" s="228">
        <v>0.69</v>
      </c>
      <c r="DQ162" s="228">
        <v>0.63</v>
      </c>
      <c r="DR162" s="228">
        <v>0.06</v>
      </c>
      <c r="DS162" s="229">
        <v>9.5200000000000007E-2</v>
      </c>
      <c r="DT162" s="231">
        <v>3400</v>
      </c>
      <c r="DU162" s="231">
        <v>3150</v>
      </c>
      <c r="DV162" s="228">
        <v>0.78</v>
      </c>
      <c r="DW162" s="228">
        <v>0.66</v>
      </c>
      <c r="DX162" s="228">
        <v>0.12</v>
      </c>
      <c r="DY162" s="229">
        <v>0.18179999999999999</v>
      </c>
      <c r="DZ162" s="229">
        <v>0.1125</v>
      </c>
      <c r="EA162" s="230">
        <v>294000</v>
      </c>
      <c r="EB162" s="229">
        <v>1.8E-3</v>
      </c>
      <c r="EC162" s="229">
        <v>0.1125</v>
      </c>
      <c r="ED162" s="228">
        <v>7.37</v>
      </c>
      <c r="EE162" s="229">
        <v>2.3E-3</v>
      </c>
      <c r="EF162" s="230">
        <v>107442</v>
      </c>
      <c r="EG162" s="230">
        <v>128476</v>
      </c>
      <c r="EH162" s="229">
        <v>-0.16370000000000001</v>
      </c>
      <c r="EI162" s="229">
        <v>0.58960000000000001</v>
      </c>
      <c r="EJ162" s="231">
        <v>19966.59</v>
      </c>
      <c r="EK162" s="231">
        <v>14509.85</v>
      </c>
      <c r="EL162" s="231">
        <v>10385.77</v>
      </c>
      <c r="EM162" s="231">
        <v>3569</v>
      </c>
      <c r="EN162" s="231">
        <v>44862.21</v>
      </c>
      <c r="EO162" s="231">
        <v>58547.839999999997</v>
      </c>
      <c r="EP162" s="231">
        <v>-13685.63</v>
      </c>
      <c r="EQ162" s="229">
        <v>-0.23380000000000001</v>
      </c>
      <c r="ER162" s="231">
        <v>36078</v>
      </c>
      <c r="ES162" s="231">
        <v>23249</v>
      </c>
      <c r="ET162" s="231">
        <v>86948</v>
      </c>
      <c r="EU162" s="231">
        <v>8178275</v>
      </c>
      <c r="EV162" s="231">
        <v>146275</v>
      </c>
      <c r="EW162" s="231">
        <v>147150</v>
      </c>
      <c r="EX162" s="228">
        <v>-875</v>
      </c>
      <c r="EY162" s="229">
        <v>-5.8999999999999999E-3</v>
      </c>
      <c r="EZ162" s="229">
        <v>0.5444</v>
      </c>
      <c r="FA162" s="227" t="s">
        <v>556</v>
      </c>
      <c r="FB162" s="161">
        <f t="shared" ref="FB162:FB194" si="4">BX228-CB228</f>
        <v>0</v>
      </c>
    </row>
    <row r="163" spans="1:158" ht="17.25" thickBot="1" x14ac:dyDescent="0.3">
      <c r="A163" s="226">
        <v>46009</v>
      </c>
      <c r="B163" s="227" t="s">
        <v>172</v>
      </c>
      <c r="C163" s="227" t="s">
        <v>275</v>
      </c>
      <c r="D163" s="228">
        <v>8000</v>
      </c>
      <c r="E163" s="228">
        <v>119.06</v>
      </c>
      <c r="F163" s="228">
        <v>119.75</v>
      </c>
      <c r="G163" s="228">
        <v>-0.69</v>
      </c>
      <c r="H163" s="229">
        <v>-5.7999999999999996E-3</v>
      </c>
      <c r="I163" s="228">
        <v>118.9</v>
      </c>
      <c r="J163" s="228">
        <v>119.33</v>
      </c>
      <c r="K163" s="228">
        <v>-0.43</v>
      </c>
      <c r="L163" s="229">
        <v>-3.5999999999999999E-3</v>
      </c>
      <c r="M163" s="228">
        <v>119.06</v>
      </c>
      <c r="N163" s="228">
        <v>119.75</v>
      </c>
      <c r="O163" s="228">
        <v>-0.69</v>
      </c>
      <c r="P163" s="229">
        <v>-5.7999999999999996E-3</v>
      </c>
      <c r="Q163" s="228">
        <v>119.81</v>
      </c>
      <c r="R163" s="228">
        <v>120.42</v>
      </c>
      <c r="S163" s="228">
        <v>-0.61</v>
      </c>
      <c r="T163" s="229">
        <v>-5.1000000000000004E-3</v>
      </c>
      <c r="U163" s="228">
        <v>120.48</v>
      </c>
      <c r="V163" s="228">
        <v>121.06</v>
      </c>
      <c r="W163" s="228">
        <v>-0.57999999999999996</v>
      </c>
      <c r="X163" s="229">
        <v>-4.7999999999999996E-3</v>
      </c>
      <c r="Y163" s="228">
        <v>0.16</v>
      </c>
      <c r="Z163" s="228">
        <v>0.42</v>
      </c>
      <c r="AA163" s="228">
        <v>-0.26</v>
      </c>
      <c r="AB163" s="229">
        <v>1.2999999999999999E-3</v>
      </c>
      <c r="AC163" s="228">
        <v>0.16</v>
      </c>
      <c r="AD163" s="228">
        <v>0.42</v>
      </c>
      <c r="AE163" s="228">
        <v>-0.26</v>
      </c>
      <c r="AF163" s="229">
        <v>1.2999999999999999E-3</v>
      </c>
      <c r="AG163" s="228">
        <v>0.91</v>
      </c>
      <c r="AH163" s="228">
        <v>1.0900000000000001</v>
      </c>
      <c r="AI163" s="228">
        <v>-0.18</v>
      </c>
      <c r="AJ163" s="229">
        <v>7.7000000000000002E-3</v>
      </c>
      <c r="AK163" s="228">
        <v>1.58</v>
      </c>
      <c r="AL163" s="228">
        <v>1.73</v>
      </c>
      <c r="AM163" s="228">
        <v>-0.15</v>
      </c>
      <c r="AN163" s="229">
        <v>1.3299999999999999E-2</v>
      </c>
      <c r="AO163" s="228">
        <v>119.03</v>
      </c>
      <c r="AP163" s="228">
        <v>119.71</v>
      </c>
      <c r="AQ163" s="228">
        <v>0</v>
      </c>
      <c r="AR163" s="230">
        <v>37032000</v>
      </c>
      <c r="AS163" s="230">
        <v>49816000</v>
      </c>
      <c r="AT163" s="230">
        <v>-12784000</v>
      </c>
      <c r="AU163" s="229">
        <v>-0.25659999999999999</v>
      </c>
      <c r="AV163" s="230">
        <v>28624000</v>
      </c>
      <c r="AW163" s="230">
        <v>37600000</v>
      </c>
      <c r="AX163" s="230">
        <v>-8976000</v>
      </c>
      <c r="AY163" s="229">
        <v>-0.2387</v>
      </c>
      <c r="AZ163" s="230">
        <v>7976000</v>
      </c>
      <c r="BA163" s="230">
        <v>11648000</v>
      </c>
      <c r="BB163" s="230">
        <v>-3672000</v>
      </c>
      <c r="BC163" s="229">
        <v>-0.31519999999999998</v>
      </c>
      <c r="BD163" s="230">
        <v>432000</v>
      </c>
      <c r="BE163" s="230">
        <v>568000</v>
      </c>
      <c r="BF163" s="230">
        <v>-136000</v>
      </c>
      <c r="BG163" s="229">
        <v>-0.2394</v>
      </c>
      <c r="BH163" s="230">
        <v>130520000</v>
      </c>
      <c r="BI163" s="230">
        <v>202672000</v>
      </c>
      <c r="BJ163" s="230">
        <v>-72152000</v>
      </c>
      <c r="BK163" s="229">
        <v>-0.35599999999999998</v>
      </c>
      <c r="BL163" s="230">
        <v>64680000</v>
      </c>
      <c r="BM163" s="230">
        <v>84888000</v>
      </c>
      <c r="BN163" s="230">
        <v>-20208000</v>
      </c>
      <c r="BO163" s="229">
        <v>-0.23810000000000001</v>
      </c>
      <c r="BP163" s="230">
        <v>232232000</v>
      </c>
      <c r="BQ163" s="230">
        <v>337376000</v>
      </c>
      <c r="BR163" s="230">
        <v>-105144000</v>
      </c>
      <c r="BS163" s="229">
        <v>-0.31169999999999998</v>
      </c>
      <c r="BT163" s="230">
        <v>10542960</v>
      </c>
      <c r="BU163" s="230">
        <v>15639468</v>
      </c>
      <c r="BV163" s="230">
        <v>-5096508</v>
      </c>
      <c r="BW163" s="229">
        <v>-0.32590000000000002</v>
      </c>
      <c r="BX163" s="230">
        <v>245792000</v>
      </c>
      <c r="BY163" s="230">
        <v>245896000</v>
      </c>
      <c r="BZ163" s="230">
        <v>-104000</v>
      </c>
      <c r="CA163" s="229">
        <v>-4.0000000000000002E-4</v>
      </c>
      <c r="CB163" s="230">
        <v>208672000</v>
      </c>
      <c r="CC163" s="230">
        <v>211368000</v>
      </c>
      <c r="CD163" s="230">
        <v>-2696000</v>
      </c>
      <c r="CE163" s="229">
        <v>-1.2800000000000001E-2</v>
      </c>
      <c r="CF163" s="230">
        <v>32880000</v>
      </c>
      <c r="CG163" s="230">
        <v>30320000</v>
      </c>
      <c r="CH163" s="230">
        <v>2560000</v>
      </c>
      <c r="CI163" s="229">
        <v>8.4400000000000003E-2</v>
      </c>
      <c r="CJ163" s="230">
        <v>4240000</v>
      </c>
      <c r="CK163" s="230">
        <v>4208000</v>
      </c>
      <c r="CL163" s="230">
        <v>32000</v>
      </c>
      <c r="CM163" s="229">
        <v>7.6E-3</v>
      </c>
      <c r="CN163" s="230">
        <v>186152000</v>
      </c>
      <c r="CO163" s="230">
        <v>183008000</v>
      </c>
      <c r="CP163" s="230">
        <v>3144000</v>
      </c>
      <c r="CQ163" s="229">
        <v>1.72E-2</v>
      </c>
      <c r="CR163" s="230">
        <v>101560000</v>
      </c>
      <c r="CS163" s="230">
        <v>100632000</v>
      </c>
      <c r="CT163" s="230">
        <v>928000</v>
      </c>
      <c r="CU163" s="229">
        <v>9.1999999999999998E-3</v>
      </c>
      <c r="CV163" s="230">
        <v>533504000</v>
      </c>
      <c r="CW163" s="230">
        <v>529536000</v>
      </c>
      <c r="CX163" s="230">
        <v>3968000</v>
      </c>
      <c r="CY163" s="229">
        <v>7.4999999999999997E-3</v>
      </c>
      <c r="CZ163" s="228">
        <v>23.19</v>
      </c>
      <c r="DA163" s="228">
        <v>23.98</v>
      </c>
      <c r="DB163" s="228">
        <v>-0.79</v>
      </c>
      <c r="DC163" s="228">
        <v>-0.79</v>
      </c>
      <c r="DD163" s="228">
        <v>35.81</v>
      </c>
      <c r="DE163" s="228">
        <v>35.9</v>
      </c>
      <c r="DF163" s="228">
        <v>-12.62</v>
      </c>
      <c r="DG163" s="228">
        <v>-0.09</v>
      </c>
      <c r="DH163" s="228">
        <v>23.43</v>
      </c>
      <c r="DI163" s="228">
        <v>24.1</v>
      </c>
      <c r="DJ163" s="228">
        <v>-0.67</v>
      </c>
      <c r="DK163" s="228">
        <v>-0.67</v>
      </c>
      <c r="DL163" s="228">
        <v>22.71</v>
      </c>
      <c r="DM163" s="228">
        <v>23.69</v>
      </c>
      <c r="DN163" s="228">
        <v>-0.98</v>
      </c>
      <c r="DO163" s="228">
        <v>-0.98</v>
      </c>
      <c r="DP163" s="228">
        <v>0.55000000000000004</v>
      </c>
      <c r="DQ163" s="228">
        <v>0.55000000000000004</v>
      </c>
      <c r="DR163" s="228">
        <v>0</v>
      </c>
      <c r="DS163" s="229">
        <v>0</v>
      </c>
      <c r="DT163" s="228">
        <v>125</v>
      </c>
      <c r="DU163" s="228">
        <v>120</v>
      </c>
      <c r="DV163" s="228">
        <v>0.5</v>
      </c>
      <c r="DW163" s="228">
        <v>0.42</v>
      </c>
      <c r="DX163" s="228">
        <v>0.08</v>
      </c>
      <c r="DY163" s="229">
        <v>0.1905</v>
      </c>
      <c r="DZ163" s="229">
        <v>0.151</v>
      </c>
      <c r="EA163" s="230">
        <v>34528000</v>
      </c>
      <c r="EB163" s="229">
        <v>6.3E-3</v>
      </c>
      <c r="EC163" s="229">
        <v>0.151</v>
      </c>
      <c r="ED163" s="228">
        <v>0.68</v>
      </c>
      <c r="EE163" s="229">
        <v>5.7000000000000002E-3</v>
      </c>
      <c r="EF163" s="230">
        <v>3590131</v>
      </c>
      <c r="EG163" s="230">
        <v>5637800</v>
      </c>
      <c r="EH163" s="229">
        <v>-0.36320000000000002</v>
      </c>
      <c r="EI163" s="229">
        <v>0.34050000000000002</v>
      </c>
      <c r="EJ163" s="231">
        <v>161196.79999999999</v>
      </c>
      <c r="EK163" s="231">
        <v>76560.53</v>
      </c>
      <c r="EL163" s="231">
        <v>44139.6</v>
      </c>
      <c r="EM163" s="231">
        <v>4774</v>
      </c>
      <c r="EN163" s="231">
        <v>281896.93</v>
      </c>
      <c r="EO163" s="231">
        <v>410592.03</v>
      </c>
      <c r="EP163" s="231">
        <v>-128695.1</v>
      </c>
      <c r="EQ163" s="229">
        <v>-0.31340000000000001</v>
      </c>
      <c r="ER163" s="231">
        <v>233020</v>
      </c>
      <c r="ES163" s="231">
        <v>120639</v>
      </c>
      <c r="ET163" s="231">
        <v>292947</v>
      </c>
      <c r="EU163" s="231">
        <v>447910372</v>
      </c>
      <c r="EV163" s="231">
        <v>646607</v>
      </c>
      <c r="EW163" s="231">
        <v>643616</v>
      </c>
      <c r="EX163" s="231">
        <v>2991</v>
      </c>
      <c r="EY163" s="229">
        <v>4.5999999999999999E-3</v>
      </c>
      <c r="EZ163" s="229">
        <v>1.1911</v>
      </c>
      <c r="FA163" s="227" t="s">
        <v>568</v>
      </c>
      <c r="FB163" s="161">
        <f t="shared" si="4"/>
        <v>0</v>
      </c>
    </row>
    <row r="164" spans="1:158" ht="17.25" thickBot="1" x14ac:dyDescent="0.3">
      <c r="A164" s="226">
        <v>46009</v>
      </c>
      <c r="B164" s="227" t="s">
        <v>175</v>
      </c>
      <c r="C164" s="227" t="s">
        <v>671</v>
      </c>
      <c r="D164" s="228">
        <v>650</v>
      </c>
      <c r="E164" s="228">
        <v>898.8</v>
      </c>
      <c r="F164" s="228">
        <v>897.8</v>
      </c>
      <c r="G164" s="228">
        <v>1</v>
      </c>
      <c r="H164" s="229">
        <v>1.1000000000000001E-3</v>
      </c>
      <c r="I164" s="228">
        <v>896.15</v>
      </c>
      <c r="J164" s="228">
        <v>894.85</v>
      </c>
      <c r="K164" s="228">
        <v>1.3</v>
      </c>
      <c r="L164" s="229">
        <v>1.5E-3</v>
      </c>
      <c r="M164" s="228">
        <v>898.8</v>
      </c>
      <c r="N164" s="228">
        <v>897.8</v>
      </c>
      <c r="O164" s="228">
        <v>1</v>
      </c>
      <c r="P164" s="229">
        <v>1.1000000000000001E-3</v>
      </c>
      <c r="Q164" s="228">
        <v>903.65</v>
      </c>
      <c r="R164" s="228">
        <v>902.8</v>
      </c>
      <c r="S164" s="228">
        <v>0.85</v>
      </c>
      <c r="T164" s="229">
        <v>8.9999999999999998E-4</v>
      </c>
      <c r="U164" s="228">
        <v>906.2</v>
      </c>
      <c r="V164" s="228">
        <v>906.1</v>
      </c>
      <c r="W164" s="228">
        <v>0.1</v>
      </c>
      <c r="X164" s="229">
        <v>1E-4</v>
      </c>
      <c r="Y164" s="228">
        <v>2.65</v>
      </c>
      <c r="Z164" s="228">
        <v>2.95</v>
      </c>
      <c r="AA164" s="228">
        <v>-0.3</v>
      </c>
      <c r="AB164" s="229">
        <v>3.0000000000000001E-3</v>
      </c>
      <c r="AC164" s="228">
        <v>2.65</v>
      </c>
      <c r="AD164" s="228">
        <v>2.95</v>
      </c>
      <c r="AE164" s="228">
        <v>-0.3</v>
      </c>
      <c r="AF164" s="229">
        <v>3.0000000000000001E-3</v>
      </c>
      <c r="AG164" s="228">
        <v>7.5</v>
      </c>
      <c r="AH164" s="228">
        <v>7.95</v>
      </c>
      <c r="AI164" s="228">
        <v>-0.45</v>
      </c>
      <c r="AJ164" s="229">
        <v>8.3999999999999995E-3</v>
      </c>
      <c r="AK164" s="228">
        <v>10.050000000000001</v>
      </c>
      <c r="AL164" s="228">
        <v>11.25</v>
      </c>
      <c r="AM164" s="228">
        <v>-1.2</v>
      </c>
      <c r="AN164" s="229">
        <v>1.12E-2</v>
      </c>
      <c r="AO164" s="228">
        <v>897.26</v>
      </c>
      <c r="AP164" s="228">
        <v>902.65</v>
      </c>
      <c r="AQ164" s="228">
        <v>0</v>
      </c>
      <c r="AR164" s="230">
        <v>2215850</v>
      </c>
      <c r="AS164" s="230">
        <v>1706250</v>
      </c>
      <c r="AT164" s="230">
        <v>509600</v>
      </c>
      <c r="AU164" s="229">
        <v>0.29870000000000002</v>
      </c>
      <c r="AV164" s="230">
        <v>1878500</v>
      </c>
      <c r="AW164" s="230">
        <v>1498250</v>
      </c>
      <c r="AX164" s="230">
        <v>380250</v>
      </c>
      <c r="AY164" s="229">
        <v>0.25380000000000003</v>
      </c>
      <c r="AZ164" s="230">
        <v>321750</v>
      </c>
      <c r="BA164" s="230">
        <v>202150</v>
      </c>
      <c r="BB164" s="230">
        <v>119600</v>
      </c>
      <c r="BC164" s="229">
        <v>0.59160000000000001</v>
      </c>
      <c r="BD164" s="230">
        <v>15600</v>
      </c>
      <c r="BE164" s="230">
        <v>5850</v>
      </c>
      <c r="BF164" s="230">
        <v>9750</v>
      </c>
      <c r="BG164" s="229">
        <v>1.6667000000000001</v>
      </c>
      <c r="BH164" s="230">
        <v>7319000</v>
      </c>
      <c r="BI164" s="230">
        <v>6043700</v>
      </c>
      <c r="BJ164" s="230">
        <v>1275300</v>
      </c>
      <c r="BK164" s="229">
        <v>0.21099999999999999</v>
      </c>
      <c r="BL164" s="230">
        <v>3885050</v>
      </c>
      <c r="BM164" s="230">
        <v>2936700</v>
      </c>
      <c r="BN164" s="230">
        <v>948350</v>
      </c>
      <c r="BO164" s="229">
        <v>0.32290000000000002</v>
      </c>
      <c r="BP164" s="230">
        <v>13419900</v>
      </c>
      <c r="BQ164" s="230">
        <v>10686650</v>
      </c>
      <c r="BR164" s="230">
        <v>2733250</v>
      </c>
      <c r="BS164" s="229">
        <v>0.25580000000000003</v>
      </c>
      <c r="BT164" s="230">
        <v>806683</v>
      </c>
      <c r="BU164" s="230">
        <v>762153</v>
      </c>
      <c r="BV164" s="230">
        <v>44530</v>
      </c>
      <c r="BW164" s="229">
        <v>5.8400000000000001E-2</v>
      </c>
      <c r="BX164" s="230">
        <v>16302650</v>
      </c>
      <c r="BY164" s="230">
        <v>16359850</v>
      </c>
      <c r="BZ164" s="230">
        <v>-57200</v>
      </c>
      <c r="CA164" s="229">
        <v>-3.5000000000000001E-3</v>
      </c>
      <c r="CB164" s="230">
        <v>15593500</v>
      </c>
      <c r="CC164" s="230">
        <v>15721550</v>
      </c>
      <c r="CD164" s="230">
        <v>-128050</v>
      </c>
      <c r="CE164" s="229">
        <v>-8.0999999999999996E-3</v>
      </c>
      <c r="CF164" s="230">
        <v>669500</v>
      </c>
      <c r="CG164" s="230">
        <v>604500</v>
      </c>
      <c r="CH164" s="230">
        <v>65000</v>
      </c>
      <c r="CI164" s="229">
        <v>0.1075</v>
      </c>
      <c r="CJ164" s="230">
        <v>39650</v>
      </c>
      <c r="CK164" s="230">
        <v>33800</v>
      </c>
      <c r="CL164" s="230">
        <v>5850</v>
      </c>
      <c r="CM164" s="229">
        <v>0.1731</v>
      </c>
      <c r="CN164" s="230">
        <v>7969650</v>
      </c>
      <c r="CO164" s="230">
        <v>7615400</v>
      </c>
      <c r="CP164" s="230">
        <v>354250</v>
      </c>
      <c r="CQ164" s="229">
        <v>4.65E-2</v>
      </c>
      <c r="CR164" s="230">
        <v>4608500</v>
      </c>
      <c r="CS164" s="230">
        <v>4704700</v>
      </c>
      <c r="CT164" s="230">
        <v>-96200</v>
      </c>
      <c r="CU164" s="229">
        <v>-2.0400000000000001E-2</v>
      </c>
      <c r="CV164" s="230">
        <v>28880800</v>
      </c>
      <c r="CW164" s="230">
        <v>28679950</v>
      </c>
      <c r="CX164" s="230">
        <v>200850</v>
      </c>
      <c r="CY164" s="229">
        <v>7.0000000000000001E-3</v>
      </c>
      <c r="CZ164" s="228">
        <v>27.79</v>
      </c>
      <c r="DA164" s="228">
        <v>28.92</v>
      </c>
      <c r="DB164" s="228">
        <v>-1.1299999999999999</v>
      </c>
      <c r="DC164" s="228">
        <v>-1.1299999999999999</v>
      </c>
      <c r="DD164" s="228">
        <v>46.22</v>
      </c>
      <c r="DE164" s="228">
        <v>46.33</v>
      </c>
      <c r="DF164" s="228">
        <v>-18.43</v>
      </c>
      <c r="DG164" s="228">
        <v>-0.11</v>
      </c>
      <c r="DH164" s="228">
        <v>28.47</v>
      </c>
      <c r="DI164" s="228">
        <v>29.5</v>
      </c>
      <c r="DJ164" s="228">
        <v>-1.03</v>
      </c>
      <c r="DK164" s="228">
        <v>-1.03</v>
      </c>
      <c r="DL164" s="228">
        <v>26.5</v>
      </c>
      <c r="DM164" s="228">
        <v>27.74</v>
      </c>
      <c r="DN164" s="228">
        <v>-1.24</v>
      </c>
      <c r="DO164" s="228">
        <v>-1.24</v>
      </c>
      <c r="DP164" s="228">
        <v>0.57999999999999996</v>
      </c>
      <c r="DQ164" s="228">
        <v>0.62</v>
      </c>
      <c r="DR164" s="228">
        <v>-0.04</v>
      </c>
      <c r="DS164" s="229">
        <v>-6.4500000000000002E-2</v>
      </c>
      <c r="DT164" s="228">
        <v>920</v>
      </c>
      <c r="DU164" s="228">
        <v>900</v>
      </c>
      <c r="DV164" s="228">
        <v>0.53</v>
      </c>
      <c r="DW164" s="228">
        <v>0.49</v>
      </c>
      <c r="DX164" s="228">
        <v>0.04</v>
      </c>
      <c r="DY164" s="229">
        <v>8.1600000000000006E-2</v>
      </c>
      <c r="DZ164" s="229">
        <v>4.3499999999999997E-2</v>
      </c>
      <c r="EA164" s="230">
        <v>638300</v>
      </c>
      <c r="EB164" s="229">
        <v>5.4000000000000003E-3</v>
      </c>
      <c r="EC164" s="229">
        <v>4.3499999999999997E-2</v>
      </c>
      <c r="ED164" s="228">
        <v>5.39</v>
      </c>
      <c r="EE164" s="229">
        <v>6.0000000000000001E-3</v>
      </c>
      <c r="EF164" s="230">
        <v>255833</v>
      </c>
      <c r="EG164" s="230">
        <v>303878</v>
      </c>
      <c r="EH164" s="229">
        <v>-0.15809999999999999</v>
      </c>
      <c r="EI164" s="229">
        <v>0.31709999999999999</v>
      </c>
      <c r="EJ164" s="231">
        <v>69069.429999999993</v>
      </c>
      <c r="EK164" s="231">
        <v>34063.19</v>
      </c>
      <c r="EL164" s="231">
        <v>19900.810000000001</v>
      </c>
      <c r="EM164" s="231">
        <v>6058</v>
      </c>
      <c r="EN164" s="231">
        <v>123033.43</v>
      </c>
      <c r="EO164" s="231">
        <v>99375.98</v>
      </c>
      <c r="EP164" s="231">
        <v>23657.45</v>
      </c>
      <c r="EQ164" s="229">
        <v>0.23810000000000001</v>
      </c>
      <c r="ER164" s="231">
        <v>75380</v>
      </c>
      <c r="ES164" s="231">
        <v>40455</v>
      </c>
      <c r="ET164" s="231">
        <v>146564</v>
      </c>
      <c r="EU164" s="231">
        <v>28062406</v>
      </c>
      <c r="EV164" s="231">
        <v>262399</v>
      </c>
      <c r="EW164" s="231">
        <v>260548</v>
      </c>
      <c r="EX164" s="231">
        <v>1851</v>
      </c>
      <c r="EY164" s="229">
        <v>7.1000000000000004E-3</v>
      </c>
      <c r="EZ164" s="229">
        <v>1.0291999999999999</v>
      </c>
      <c r="FA164" s="227" t="s">
        <v>556</v>
      </c>
      <c r="FB164" s="161">
        <f t="shared" si="4"/>
        <v>0</v>
      </c>
    </row>
    <row r="165" spans="1:158" ht="17.25" thickBot="1" x14ac:dyDescent="0.3">
      <c r="A165" s="226">
        <v>46009</v>
      </c>
      <c r="B165" s="227" t="s">
        <v>615</v>
      </c>
      <c r="C165" s="227" t="s">
        <v>573</v>
      </c>
      <c r="D165" s="228">
        <v>350</v>
      </c>
      <c r="E165" s="231">
        <v>1839.4</v>
      </c>
      <c r="F165" s="231">
        <v>1770.4</v>
      </c>
      <c r="G165" s="228">
        <v>69</v>
      </c>
      <c r="H165" s="229">
        <v>3.9E-2</v>
      </c>
      <c r="I165" s="231">
        <v>1834.4</v>
      </c>
      <c r="J165" s="231">
        <v>1765</v>
      </c>
      <c r="K165" s="228">
        <v>69.400000000000006</v>
      </c>
      <c r="L165" s="229">
        <v>3.9300000000000002E-2</v>
      </c>
      <c r="M165" s="231">
        <v>1839.4</v>
      </c>
      <c r="N165" s="231">
        <v>1770.4</v>
      </c>
      <c r="O165" s="228">
        <v>69</v>
      </c>
      <c r="P165" s="229">
        <v>3.9E-2</v>
      </c>
      <c r="Q165" s="231">
        <v>1850.4</v>
      </c>
      <c r="R165" s="231">
        <v>1783.2</v>
      </c>
      <c r="S165" s="228">
        <v>67.2</v>
      </c>
      <c r="T165" s="229">
        <v>3.7699999999999997E-2</v>
      </c>
      <c r="U165" s="231">
        <v>1856.3</v>
      </c>
      <c r="V165" s="231">
        <v>1790.8</v>
      </c>
      <c r="W165" s="228">
        <v>65.5</v>
      </c>
      <c r="X165" s="229">
        <v>3.6600000000000001E-2</v>
      </c>
      <c r="Y165" s="228">
        <v>5</v>
      </c>
      <c r="Z165" s="228">
        <v>5.4</v>
      </c>
      <c r="AA165" s="228">
        <v>-0.4</v>
      </c>
      <c r="AB165" s="229">
        <v>2.7000000000000001E-3</v>
      </c>
      <c r="AC165" s="228">
        <v>5</v>
      </c>
      <c r="AD165" s="228">
        <v>5.4</v>
      </c>
      <c r="AE165" s="228">
        <v>-0.4</v>
      </c>
      <c r="AF165" s="229">
        <v>2.7000000000000001E-3</v>
      </c>
      <c r="AG165" s="228">
        <v>16</v>
      </c>
      <c r="AH165" s="228">
        <v>18.2</v>
      </c>
      <c r="AI165" s="228">
        <v>-2.2000000000000002</v>
      </c>
      <c r="AJ165" s="229">
        <v>8.6999999999999994E-3</v>
      </c>
      <c r="AK165" s="228">
        <v>21.9</v>
      </c>
      <c r="AL165" s="228">
        <v>25.8</v>
      </c>
      <c r="AM165" s="228">
        <v>-3.9</v>
      </c>
      <c r="AN165" s="229">
        <v>1.1900000000000001E-2</v>
      </c>
      <c r="AO165" s="231">
        <v>1817.33</v>
      </c>
      <c r="AP165" s="231">
        <v>1829.25</v>
      </c>
      <c r="AQ165" s="228">
        <v>0</v>
      </c>
      <c r="AR165" s="230">
        <v>1530550</v>
      </c>
      <c r="AS165" s="230">
        <v>2955050</v>
      </c>
      <c r="AT165" s="230">
        <v>-1424500</v>
      </c>
      <c r="AU165" s="229">
        <v>-0.48209999999999997</v>
      </c>
      <c r="AV165" s="230">
        <v>1298150</v>
      </c>
      <c r="AW165" s="230">
        <v>2604700</v>
      </c>
      <c r="AX165" s="230">
        <v>-1306550</v>
      </c>
      <c r="AY165" s="229">
        <v>-0.50160000000000005</v>
      </c>
      <c r="AZ165" s="230">
        <v>224000</v>
      </c>
      <c r="BA165" s="230">
        <v>340200</v>
      </c>
      <c r="BB165" s="230">
        <v>-116200</v>
      </c>
      <c r="BC165" s="229">
        <v>-0.34160000000000001</v>
      </c>
      <c r="BD165" s="230">
        <v>8400</v>
      </c>
      <c r="BE165" s="230">
        <v>10150</v>
      </c>
      <c r="BF165" s="230">
        <v>-1750</v>
      </c>
      <c r="BG165" s="229">
        <v>-0.1724</v>
      </c>
      <c r="BH165" s="230">
        <v>8060500</v>
      </c>
      <c r="BI165" s="230">
        <v>10082800</v>
      </c>
      <c r="BJ165" s="230">
        <v>-2022300</v>
      </c>
      <c r="BK165" s="229">
        <v>-0.2006</v>
      </c>
      <c r="BL165" s="230">
        <v>4872700</v>
      </c>
      <c r="BM165" s="230">
        <v>11159400</v>
      </c>
      <c r="BN165" s="230">
        <v>-6286700</v>
      </c>
      <c r="BO165" s="229">
        <v>-0.56340000000000001</v>
      </c>
      <c r="BP165" s="230">
        <v>14463750</v>
      </c>
      <c r="BQ165" s="230">
        <v>24197250</v>
      </c>
      <c r="BR165" s="230">
        <v>-9733500</v>
      </c>
      <c r="BS165" s="229">
        <v>-0.40229999999999999</v>
      </c>
      <c r="BT165" s="230">
        <v>1663593</v>
      </c>
      <c r="BU165" s="230">
        <v>1929981</v>
      </c>
      <c r="BV165" s="230">
        <v>-266388</v>
      </c>
      <c r="BW165" s="229">
        <v>-0.13800000000000001</v>
      </c>
      <c r="BX165" s="230">
        <v>6603100</v>
      </c>
      <c r="BY165" s="230">
        <v>6598900</v>
      </c>
      <c r="BZ165" s="230">
        <v>4200</v>
      </c>
      <c r="CA165" s="229">
        <v>5.9999999999999995E-4</v>
      </c>
      <c r="CB165" s="230">
        <v>6077750</v>
      </c>
      <c r="CC165" s="230">
        <v>6081250</v>
      </c>
      <c r="CD165" s="230">
        <v>-3500</v>
      </c>
      <c r="CE165" s="229">
        <v>-5.9999999999999995E-4</v>
      </c>
      <c r="CF165" s="230">
        <v>509600</v>
      </c>
      <c r="CG165" s="230">
        <v>500500</v>
      </c>
      <c r="CH165" s="230">
        <v>9100</v>
      </c>
      <c r="CI165" s="229">
        <v>1.8200000000000001E-2</v>
      </c>
      <c r="CJ165" s="230">
        <v>15750</v>
      </c>
      <c r="CK165" s="230">
        <v>17150</v>
      </c>
      <c r="CL165" s="230">
        <v>-1400</v>
      </c>
      <c r="CM165" s="229">
        <v>-8.1600000000000006E-2</v>
      </c>
      <c r="CN165" s="230">
        <v>3137750</v>
      </c>
      <c r="CO165" s="230">
        <v>3489500</v>
      </c>
      <c r="CP165" s="230">
        <v>-351750</v>
      </c>
      <c r="CQ165" s="229">
        <v>-0.1008</v>
      </c>
      <c r="CR165" s="230">
        <v>2195900</v>
      </c>
      <c r="CS165" s="230">
        <v>2178400</v>
      </c>
      <c r="CT165" s="230">
        <v>17500</v>
      </c>
      <c r="CU165" s="229">
        <v>8.0000000000000002E-3</v>
      </c>
      <c r="CV165" s="230">
        <v>11936750</v>
      </c>
      <c r="CW165" s="230">
        <v>12266800</v>
      </c>
      <c r="CX165" s="230">
        <v>-330050</v>
      </c>
      <c r="CY165" s="229">
        <v>-2.69E-2</v>
      </c>
      <c r="CZ165" s="228">
        <v>29.98</v>
      </c>
      <c r="DA165" s="228">
        <v>32.68</v>
      </c>
      <c r="DB165" s="228">
        <v>-2.7</v>
      </c>
      <c r="DC165" s="228">
        <v>-2.7</v>
      </c>
      <c r="DD165" s="228">
        <v>47.07</v>
      </c>
      <c r="DE165" s="228">
        <v>46.9</v>
      </c>
      <c r="DF165" s="228">
        <v>-17.09</v>
      </c>
      <c r="DG165" s="228">
        <v>0.17</v>
      </c>
      <c r="DH165" s="228">
        <v>28.78</v>
      </c>
      <c r="DI165" s="228">
        <v>33.35</v>
      </c>
      <c r="DJ165" s="228">
        <v>-4.57</v>
      </c>
      <c r="DK165" s="228">
        <v>-4.57</v>
      </c>
      <c r="DL165" s="228">
        <v>31.96</v>
      </c>
      <c r="DM165" s="228">
        <v>32.07</v>
      </c>
      <c r="DN165" s="228">
        <v>-0.11</v>
      </c>
      <c r="DO165" s="228">
        <v>-0.11</v>
      </c>
      <c r="DP165" s="228">
        <v>0.7</v>
      </c>
      <c r="DQ165" s="228">
        <v>0.62</v>
      </c>
      <c r="DR165" s="228">
        <v>0.08</v>
      </c>
      <c r="DS165" s="229">
        <v>0.129</v>
      </c>
      <c r="DT165" s="231">
        <v>1900</v>
      </c>
      <c r="DU165" s="231">
        <v>1700</v>
      </c>
      <c r="DV165" s="228">
        <v>0.6</v>
      </c>
      <c r="DW165" s="228">
        <v>1.1100000000000001</v>
      </c>
      <c r="DX165" s="228">
        <v>-0.51</v>
      </c>
      <c r="DY165" s="229">
        <v>-0.45950000000000002</v>
      </c>
      <c r="DZ165" s="229">
        <v>7.9600000000000004E-2</v>
      </c>
      <c r="EA165" s="230">
        <v>517650</v>
      </c>
      <c r="EB165" s="229">
        <v>6.0000000000000001E-3</v>
      </c>
      <c r="EC165" s="229">
        <v>7.9600000000000004E-2</v>
      </c>
      <c r="ED165" s="228">
        <v>11.92</v>
      </c>
      <c r="EE165" s="229">
        <v>6.6E-3</v>
      </c>
      <c r="EF165" s="230">
        <v>748244</v>
      </c>
      <c r="EG165" s="230">
        <v>848570</v>
      </c>
      <c r="EH165" s="229">
        <v>-0.1182</v>
      </c>
      <c r="EI165" s="229">
        <v>0.44979999999999998</v>
      </c>
      <c r="EJ165" s="231">
        <v>152587.17000000001</v>
      </c>
      <c r="EK165" s="231">
        <v>86363.97</v>
      </c>
      <c r="EL165" s="231">
        <v>27843.7</v>
      </c>
      <c r="EM165" s="231">
        <v>6997</v>
      </c>
      <c r="EN165" s="231">
        <v>266794.84000000003</v>
      </c>
      <c r="EO165" s="231">
        <v>444138.28</v>
      </c>
      <c r="EP165" s="231">
        <v>-177343.44</v>
      </c>
      <c r="EQ165" s="229">
        <v>-0.39929999999999999</v>
      </c>
      <c r="ER165" s="231">
        <v>60695</v>
      </c>
      <c r="ES165" s="231">
        <v>38698</v>
      </c>
      <c r="ET165" s="231">
        <v>121516</v>
      </c>
      <c r="EU165" s="231">
        <v>51720057</v>
      </c>
      <c r="EV165" s="231">
        <v>220909</v>
      </c>
      <c r="EW165" s="231">
        <v>222396</v>
      </c>
      <c r="EX165" s="231">
        <v>-1487</v>
      </c>
      <c r="EY165" s="229">
        <v>-6.7000000000000002E-3</v>
      </c>
      <c r="EZ165" s="229">
        <v>0.23080000000000001</v>
      </c>
      <c r="FA165" s="227" t="s">
        <v>555</v>
      </c>
      <c r="FB165" s="161">
        <f t="shared" si="4"/>
        <v>0</v>
      </c>
    </row>
    <row r="166" spans="1:158" ht="17.25" thickBot="1" x14ac:dyDescent="0.3">
      <c r="A166" s="226">
        <v>46009</v>
      </c>
      <c r="B166" s="227" t="s">
        <v>184</v>
      </c>
      <c r="C166" s="227" t="s">
        <v>519</v>
      </c>
      <c r="D166" s="228">
        <v>125</v>
      </c>
      <c r="E166" s="231">
        <v>7122</v>
      </c>
      <c r="F166" s="231">
        <v>7103</v>
      </c>
      <c r="G166" s="228">
        <v>19</v>
      </c>
      <c r="H166" s="229">
        <v>2.7000000000000001E-3</v>
      </c>
      <c r="I166" s="231">
        <v>7099</v>
      </c>
      <c r="J166" s="231">
        <v>7079.5</v>
      </c>
      <c r="K166" s="228">
        <v>19.5</v>
      </c>
      <c r="L166" s="229">
        <v>2.8E-3</v>
      </c>
      <c r="M166" s="231">
        <v>7122</v>
      </c>
      <c r="N166" s="231">
        <v>7103</v>
      </c>
      <c r="O166" s="228">
        <v>19</v>
      </c>
      <c r="P166" s="229">
        <v>2.7000000000000001E-3</v>
      </c>
      <c r="Q166" s="231">
        <v>7165</v>
      </c>
      <c r="R166" s="231">
        <v>7139</v>
      </c>
      <c r="S166" s="228">
        <v>26</v>
      </c>
      <c r="T166" s="229">
        <v>3.5999999999999999E-3</v>
      </c>
      <c r="U166" s="231">
        <v>7198</v>
      </c>
      <c r="V166" s="231">
        <v>7188.5</v>
      </c>
      <c r="W166" s="228">
        <v>9.5</v>
      </c>
      <c r="X166" s="229">
        <v>1.2999999999999999E-3</v>
      </c>
      <c r="Y166" s="228">
        <v>23</v>
      </c>
      <c r="Z166" s="228">
        <v>23.5</v>
      </c>
      <c r="AA166" s="228">
        <v>-0.5</v>
      </c>
      <c r="AB166" s="229">
        <v>3.2000000000000002E-3</v>
      </c>
      <c r="AC166" s="228">
        <v>23</v>
      </c>
      <c r="AD166" s="228">
        <v>23.5</v>
      </c>
      <c r="AE166" s="228">
        <v>-0.5</v>
      </c>
      <c r="AF166" s="229">
        <v>3.2000000000000002E-3</v>
      </c>
      <c r="AG166" s="228">
        <v>66</v>
      </c>
      <c r="AH166" s="228">
        <v>59.5</v>
      </c>
      <c r="AI166" s="228">
        <v>6.5</v>
      </c>
      <c r="AJ166" s="229">
        <v>9.2999999999999992E-3</v>
      </c>
      <c r="AK166" s="228">
        <v>99</v>
      </c>
      <c r="AL166" s="228">
        <v>109</v>
      </c>
      <c r="AM166" s="228">
        <v>-10</v>
      </c>
      <c r="AN166" s="229">
        <v>1.3899999999999999E-2</v>
      </c>
      <c r="AO166" s="231">
        <v>7106.44</v>
      </c>
      <c r="AP166" s="231">
        <v>7152</v>
      </c>
      <c r="AQ166" s="228">
        <v>0</v>
      </c>
      <c r="AR166" s="230">
        <v>438000</v>
      </c>
      <c r="AS166" s="230">
        <v>1149750</v>
      </c>
      <c r="AT166" s="230">
        <v>-711750</v>
      </c>
      <c r="AU166" s="229">
        <v>-0.61899999999999999</v>
      </c>
      <c r="AV166" s="230">
        <v>357000</v>
      </c>
      <c r="AW166" s="230">
        <v>994125</v>
      </c>
      <c r="AX166" s="230">
        <v>-637125</v>
      </c>
      <c r="AY166" s="229">
        <v>-0.64090000000000003</v>
      </c>
      <c r="AZ166" s="230">
        <v>78750</v>
      </c>
      <c r="BA166" s="230">
        <v>148000</v>
      </c>
      <c r="BB166" s="230">
        <v>-69250</v>
      </c>
      <c r="BC166" s="229">
        <v>-0.46789999999999998</v>
      </c>
      <c r="BD166" s="230">
        <v>2250</v>
      </c>
      <c r="BE166" s="230">
        <v>7625</v>
      </c>
      <c r="BF166" s="230">
        <v>-5375</v>
      </c>
      <c r="BG166" s="229">
        <v>-0.70489999999999997</v>
      </c>
      <c r="BH166" s="230">
        <v>1741250</v>
      </c>
      <c r="BI166" s="230">
        <v>4545125</v>
      </c>
      <c r="BJ166" s="230">
        <v>-2803875</v>
      </c>
      <c r="BK166" s="229">
        <v>-0.6169</v>
      </c>
      <c r="BL166" s="230">
        <v>1387250</v>
      </c>
      <c r="BM166" s="230">
        <v>5497875</v>
      </c>
      <c r="BN166" s="230">
        <v>-4110625</v>
      </c>
      <c r="BO166" s="229">
        <v>-0.74770000000000003</v>
      </c>
      <c r="BP166" s="230">
        <v>3566500</v>
      </c>
      <c r="BQ166" s="230">
        <v>11192750</v>
      </c>
      <c r="BR166" s="230">
        <v>-7626250</v>
      </c>
      <c r="BS166" s="229">
        <v>-0.68140000000000001</v>
      </c>
      <c r="BT166" s="230">
        <v>201958</v>
      </c>
      <c r="BU166" s="230">
        <v>1980056</v>
      </c>
      <c r="BV166" s="230">
        <v>-1778098</v>
      </c>
      <c r="BW166" s="229">
        <v>-0.89800000000000002</v>
      </c>
      <c r="BX166" s="230">
        <v>2269000</v>
      </c>
      <c r="BY166" s="230">
        <v>2228750</v>
      </c>
      <c r="BZ166" s="230">
        <v>40250</v>
      </c>
      <c r="CA166" s="229">
        <v>1.8100000000000002E-2</v>
      </c>
      <c r="CB166" s="230">
        <v>2065375</v>
      </c>
      <c r="CC166" s="230">
        <v>2065000</v>
      </c>
      <c r="CD166" s="228">
        <v>375</v>
      </c>
      <c r="CE166" s="229">
        <v>2.0000000000000001E-4</v>
      </c>
      <c r="CF166" s="230">
        <v>192875</v>
      </c>
      <c r="CG166" s="230">
        <v>153000</v>
      </c>
      <c r="CH166" s="230">
        <v>39875</v>
      </c>
      <c r="CI166" s="229">
        <v>0.2606</v>
      </c>
      <c r="CJ166" s="230">
        <v>10750</v>
      </c>
      <c r="CK166" s="230">
        <v>10750</v>
      </c>
      <c r="CL166" s="228">
        <v>0</v>
      </c>
      <c r="CM166" s="229">
        <v>0</v>
      </c>
      <c r="CN166" s="230">
        <v>987375</v>
      </c>
      <c r="CO166" s="230">
        <v>1079375</v>
      </c>
      <c r="CP166" s="230">
        <v>-92000</v>
      </c>
      <c r="CQ166" s="229">
        <v>-8.5199999999999998E-2</v>
      </c>
      <c r="CR166" s="230">
        <v>602000</v>
      </c>
      <c r="CS166" s="230">
        <v>707625</v>
      </c>
      <c r="CT166" s="230">
        <v>-105625</v>
      </c>
      <c r="CU166" s="229">
        <v>-0.14929999999999999</v>
      </c>
      <c r="CV166" s="230">
        <v>3858375</v>
      </c>
      <c r="CW166" s="230">
        <v>4015750</v>
      </c>
      <c r="CX166" s="230">
        <v>-157375</v>
      </c>
      <c r="CY166" s="229">
        <v>-3.9199999999999999E-2</v>
      </c>
      <c r="CZ166" s="228">
        <v>23.97</v>
      </c>
      <c r="DA166" s="228">
        <v>26.06</v>
      </c>
      <c r="DB166" s="228">
        <v>-2.09</v>
      </c>
      <c r="DC166" s="228">
        <v>-2.09</v>
      </c>
      <c r="DD166" s="228">
        <v>38.69</v>
      </c>
      <c r="DE166" s="228">
        <v>38.79</v>
      </c>
      <c r="DF166" s="228">
        <v>-14.72</v>
      </c>
      <c r="DG166" s="228">
        <v>-0.1</v>
      </c>
      <c r="DH166" s="228">
        <v>23.25</v>
      </c>
      <c r="DI166" s="228">
        <v>25.81</v>
      </c>
      <c r="DJ166" s="228">
        <v>-2.56</v>
      </c>
      <c r="DK166" s="228">
        <v>-2.56</v>
      </c>
      <c r="DL166" s="228">
        <v>24.88</v>
      </c>
      <c r="DM166" s="228">
        <v>26.27</v>
      </c>
      <c r="DN166" s="228">
        <v>-1.39</v>
      </c>
      <c r="DO166" s="228">
        <v>-1.39</v>
      </c>
      <c r="DP166" s="228">
        <v>0.61</v>
      </c>
      <c r="DQ166" s="228">
        <v>0.66</v>
      </c>
      <c r="DR166" s="228">
        <v>-0.05</v>
      </c>
      <c r="DS166" s="229">
        <v>-7.5800000000000006E-2</v>
      </c>
      <c r="DT166" s="231">
        <v>7500</v>
      </c>
      <c r="DU166" s="231">
        <v>7000</v>
      </c>
      <c r="DV166" s="228">
        <v>0.8</v>
      </c>
      <c r="DW166" s="228">
        <v>1.21</v>
      </c>
      <c r="DX166" s="228">
        <v>-0.41</v>
      </c>
      <c r="DY166" s="229">
        <v>-0.33879999999999999</v>
      </c>
      <c r="DZ166" s="229">
        <v>8.9700000000000002E-2</v>
      </c>
      <c r="EA166" s="230">
        <v>163750</v>
      </c>
      <c r="EB166" s="229">
        <v>6.0000000000000001E-3</v>
      </c>
      <c r="EC166" s="229">
        <v>8.9700000000000002E-2</v>
      </c>
      <c r="ED166" s="228">
        <v>45.56</v>
      </c>
      <c r="EE166" s="229">
        <v>6.4000000000000003E-3</v>
      </c>
      <c r="EF166" s="230">
        <v>100113</v>
      </c>
      <c r="EG166" s="230">
        <v>1072835</v>
      </c>
      <c r="EH166" s="229">
        <v>-0.90669999999999995</v>
      </c>
      <c r="EI166" s="229">
        <v>0.49569999999999997</v>
      </c>
      <c r="EJ166" s="231">
        <v>128479.54</v>
      </c>
      <c r="EK166" s="231">
        <v>96746.44</v>
      </c>
      <c r="EL166" s="231">
        <v>31163.83</v>
      </c>
      <c r="EM166" s="231">
        <v>4178</v>
      </c>
      <c r="EN166" s="231">
        <v>256389.81</v>
      </c>
      <c r="EO166" s="231">
        <v>806567.99</v>
      </c>
      <c r="EP166" s="231">
        <v>-550178.18000000005</v>
      </c>
      <c r="EQ166" s="229">
        <v>-0.68210000000000004</v>
      </c>
      <c r="ER166" s="231">
        <v>73968</v>
      </c>
      <c r="ES166" s="231">
        <v>42193</v>
      </c>
      <c r="ET166" s="231">
        <v>161689</v>
      </c>
      <c r="EU166" s="231">
        <v>8350688</v>
      </c>
      <c r="EV166" s="231">
        <v>277850</v>
      </c>
      <c r="EW166" s="231">
        <v>288585</v>
      </c>
      <c r="EX166" s="231">
        <v>-10735</v>
      </c>
      <c r="EY166" s="229">
        <v>-3.7199999999999997E-2</v>
      </c>
      <c r="EZ166" s="229">
        <v>0.46200000000000002</v>
      </c>
      <c r="FA166" s="227" t="s">
        <v>555</v>
      </c>
      <c r="FB166" s="161">
        <f t="shared" si="4"/>
        <v>0</v>
      </c>
    </row>
    <row r="167" spans="1:158" ht="17.25" thickBot="1" x14ac:dyDescent="0.3">
      <c r="A167" s="226">
        <v>46009</v>
      </c>
      <c r="B167" s="227" t="s">
        <v>161</v>
      </c>
      <c r="C167" s="227" t="s">
        <v>276</v>
      </c>
      <c r="D167" s="228">
        <v>1900</v>
      </c>
      <c r="E167" s="228">
        <v>258.75</v>
      </c>
      <c r="F167" s="228">
        <v>261.89999999999998</v>
      </c>
      <c r="G167" s="228">
        <v>-3.15</v>
      </c>
      <c r="H167" s="229">
        <v>-1.2E-2</v>
      </c>
      <c r="I167" s="228">
        <v>257.95</v>
      </c>
      <c r="J167" s="228">
        <v>261.10000000000002</v>
      </c>
      <c r="K167" s="228">
        <v>-3.15</v>
      </c>
      <c r="L167" s="229">
        <v>-1.21E-2</v>
      </c>
      <c r="M167" s="228">
        <v>258.75</v>
      </c>
      <c r="N167" s="228">
        <v>261.89999999999998</v>
      </c>
      <c r="O167" s="228">
        <v>-3.15</v>
      </c>
      <c r="P167" s="229">
        <v>-1.2E-2</v>
      </c>
      <c r="Q167" s="228">
        <v>260.35000000000002</v>
      </c>
      <c r="R167" s="228">
        <v>263.45</v>
      </c>
      <c r="S167" s="228">
        <v>-3.1</v>
      </c>
      <c r="T167" s="229">
        <v>-1.18E-2</v>
      </c>
      <c r="U167" s="228">
        <v>259.3</v>
      </c>
      <c r="V167" s="228">
        <v>262.39999999999998</v>
      </c>
      <c r="W167" s="228">
        <v>-3.1</v>
      </c>
      <c r="X167" s="229">
        <v>-1.18E-2</v>
      </c>
      <c r="Y167" s="228">
        <v>0.8</v>
      </c>
      <c r="Z167" s="228">
        <v>0.8</v>
      </c>
      <c r="AA167" s="228">
        <v>0</v>
      </c>
      <c r="AB167" s="229">
        <v>3.0999999999999999E-3</v>
      </c>
      <c r="AC167" s="228">
        <v>0.8</v>
      </c>
      <c r="AD167" s="228">
        <v>0.8</v>
      </c>
      <c r="AE167" s="228">
        <v>0</v>
      </c>
      <c r="AF167" s="229">
        <v>3.0999999999999999E-3</v>
      </c>
      <c r="AG167" s="228">
        <v>2.4</v>
      </c>
      <c r="AH167" s="228">
        <v>2.35</v>
      </c>
      <c r="AI167" s="228">
        <v>0.05</v>
      </c>
      <c r="AJ167" s="229">
        <v>9.2999999999999992E-3</v>
      </c>
      <c r="AK167" s="228">
        <v>1.35</v>
      </c>
      <c r="AL167" s="228">
        <v>1.3</v>
      </c>
      <c r="AM167" s="228">
        <v>0.05</v>
      </c>
      <c r="AN167" s="229">
        <v>5.1999999999999998E-3</v>
      </c>
      <c r="AO167" s="228">
        <v>258.54000000000002</v>
      </c>
      <c r="AP167" s="228">
        <v>260</v>
      </c>
      <c r="AQ167" s="228">
        <v>0</v>
      </c>
      <c r="AR167" s="230">
        <v>18667500</v>
      </c>
      <c r="AS167" s="230">
        <v>7421400</v>
      </c>
      <c r="AT167" s="230">
        <v>11246100</v>
      </c>
      <c r="AU167" s="229">
        <v>1.5154000000000001</v>
      </c>
      <c r="AV167" s="230">
        <v>12310100</v>
      </c>
      <c r="AW167" s="230">
        <v>6374500</v>
      </c>
      <c r="AX167" s="230">
        <v>5935600</v>
      </c>
      <c r="AY167" s="229">
        <v>0.93110000000000004</v>
      </c>
      <c r="AZ167" s="230">
        <v>5986900</v>
      </c>
      <c r="BA167" s="230">
        <v>961400</v>
      </c>
      <c r="BB167" s="230">
        <v>5025500</v>
      </c>
      <c r="BC167" s="229">
        <v>5.2272999999999996</v>
      </c>
      <c r="BD167" s="230">
        <v>370500</v>
      </c>
      <c r="BE167" s="230">
        <v>85500</v>
      </c>
      <c r="BF167" s="230">
        <v>285000</v>
      </c>
      <c r="BG167" s="229">
        <v>3.3332999999999999</v>
      </c>
      <c r="BH167" s="230">
        <v>31405100</v>
      </c>
      <c r="BI167" s="230">
        <v>15916300</v>
      </c>
      <c r="BJ167" s="230">
        <v>15488800</v>
      </c>
      <c r="BK167" s="229">
        <v>0.97309999999999997</v>
      </c>
      <c r="BL167" s="230">
        <v>15633200</v>
      </c>
      <c r="BM167" s="230">
        <v>5504300</v>
      </c>
      <c r="BN167" s="230">
        <v>10128900</v>
      </c>
      <c r="BO167" s="229">
        <v>1.8402000000000001</v>
      </c>
      <c r="BP167" s="230">
        <v>65705800</v>
      </c>
      <c r="BQ167" s="230">
        <v>28842000</v>
      </c>
      <c r="BR167" s="230">
        <v>36863800</v>
      </c>
      <c r="BS167" s="229">
        <v>1.2781</v>
      </c>
      <c r="BT167" s="230">
        <v>11622455</v>
      </c>
      <c r="BU167" s="230">
        <v>11180427</v>
      </c>
      <c r="BV167" s="230">
        <v>442028</v>
      </c>
      <c r="BW167" s="229">
        <v>3.95E-2</v>
      </c>
      <c r="BX167" s="230">
        <v>87183400</v>
      </c>
      <c r="BY167" s="230">
        <v>82860900</v>
      </c>
      <c r="BZ167" s="230">
        <v>4322500</v>
      </c>
      <c r="CA167" s="229">
        <v>5.2200000000000003E-2</v>
      </c>
      <c r="CB167" s="230">
        <v>73303900</v>
      </c>
      <c r="CC167" s="230">
        <v>73545200</v>
      </c>
      <c r="CD167" s="230">
        <v>-241300</v>
      </c>
      <c r="CE167" s="229">
        <v>-3.3E-3</v>
      </c>
      <c r="CF167" s="230">
        <v>12773700</v>
      </c>
      <c r="CG167" s="230">
        <v>8417000</v>
      </c>
      <c r="CH167" s="230">
        <v>4356700</v>
      </c>
      <c r="CI167" s="229">
        <v>0.51759999999999995</v>
      </c>
      <c r="CJ167" s="230">
        <v>1105800</v>
      </c>
      <c r="CK167" s="230">
        <v>898700</v>
      </c>
      <c r="CL167" s="230">
        <v>207100</v>
      </c>
      <c r="CM167" s="229">
        <v>0.23039999999999999</v>
      </c>
      <c r="CN167" s="230">
        <v>36903700</v>
      </c>
      <c r="CO167" s="230">
        <v>34751000</v>
      </c>
      <c r="CP167" s="230">
        <v>2152700</v>
      </c>
      <c r="CQ167" s="229">
        <v>6.1899999999999997E-2</v>
      </c>
      <c r="CR167" s="230">
        <v>21777800</v>
      </c>
      <c r="CS167" s="230">
        <v>21072900</v>
      </c>
      <c r="CT167" s="230">
        <v>704900</v>
      </c>
      <c r="CU167" s="229">
        <v>3.3500000000000002E-2</v>
      </c>
      <c r="CV167" s="230">
        <v>145864900</v>
      </c>
      <c r="CW167" s="230">
        <v>138684800</v>
      </c>
      <c r="CX167" s="230">
        <v>7180100</v>
      </c>
      <c r="CY167" s="229">
        <v>5.1799999999999999E-2</v>
      </c>
      <c r="CZ167" s="228">
        <v>17.93</v>
      </c>
      <c r="DA167" s="228">
        <v>17.27</v>
      </c>
      <c r="DB167" s="228">
        <v>0.66</v>
      </c>
      <c r="DC167" s="228">
        <v>0.66</v>
      </c>
      <c r="DD167" s="228">
        <v>27.75</v>
      </c>
      <c r="DE167" s="228">
        <v>27.77</v>
      </c>
      <c r="DF167" s="228">
        <v>-9.82</v>
      </c>
      <c r="DG167" s="228">
        <v>-0.02</v>
      </c>
      <c r="DH167" s="228">
        <v>18.170000000000002</v>
      </c>
      <c r="DI167" s="228">
        <v>17.45</v>
      </c>
      <c r="DJ167" s="228">
        <v>0.72</v>
      </c>
      <c r="DK167" s="228">
        <v>0.72</v>
      </c>
      <c r="DL167" s="228">
        <v>17.440000000000001</v>
      </c>
      <c r="DM167" s="228">
        <v>16.72</v>
      </c>
      <c r="DN167" s="228">
        <v>0.72</v>
      </c>
      <c r="DO167" s="228">
        <v>0.72</v>
      </c>
      <c r="DP167" s="228">
        <v>0.59</v>
      </c>
      <c r="DQ167" s="228">
        <v>0.61</v>
      </c>
      <c r="DR167" s="228">
        <v>-0.02</v>
      </c>
      <c r="DS167" s="229">
        <v>-3.2800000000000003E-2</v>
      </c>
      <c r="DT167" s="228">
        <v>280</v>
      </c>
      <c r="DU167" s="228">
        <v>260</v>
      </c>
      <c r="DV167" s="228">
        <v>0.5</v>
      </c>
      <c r="DW167" s="228">
        <v>0.35</v>
      </c>
      <c r="DX167" s="228">
        <v>0.15</v>
      </c>
      <c r="DY167" s="229">
        <v>0.42859999999999998</v>
      </c>
      <c r="DZ167" s="229">
        <v>0.15920000000000001</v>
      </c>
      <c r="EA167" s="230">
        <v>9315700</v>
      </c>
      <c r="EB167" s="229">
        <v>6.1999999999999998E-3</v>
      </c>
      <c r="EC167" s="229">
        <v>0.15920000000000001</v>
      </c>
      <c r="ED167" s="228">
        <v>1.46</v>
      </c>
      <c r="EE167" s="229">
        <v>5.5999999999999999E-3</v>
      </c>
      <c r="EF167" s="230">
        <v>7849245</v>
      </c>
      <c r="EG167" s="230">
        <v>8722909</v>
      </c>
      <c r="EH167" s="229">
        <v>-0.1002</v>
      </c>
      <c r="EI167" s="229">
        <v>0.6754</v>
      </c>
      <c r="EJ167" s="231">
        <v>84117.07</v>
      </c>
      <c r="EK167" s="231">
        <v>40475.56</v>
      </c>
      <c r="EL167" s="231">
        <v>48351.88</v>
      </c>
      <c r="EM167" s="231">
        <v>3787</v>
      </c>
      <c r="EN167" s="231">
        <v>172944.51</v>
      </c>
      <c r="EO167" s="231">
        <v>76921.399999999994</v>
      </c>
      <c r="EP167" s="231">
        <v>96023.11</v>
      </c>
      <c r="EQ167" s="229">
        <v>1.2483</v>
      </c>
      <c r="ER167" s="231">
        <v>103297</v>
      </c>
      <c r="ES167" s="231">
        <v>58669</v>
      </c>
      <c r="ET167" s="231">
        <v>225798</v>
      </c>
      <c r="EU167" s="231">
        <v>488832949</v>
      </c>
      <c r="EV167" s="231">
        <v>387764</v>
      </c>
      <c r="EW167" s="231">
        <v>371929</v>
      </c>
      <c r="EX167" s="231">
        <v>15835</v>
      </c>
      <c r="EY167" s="229">
        <v>4.2599999999999999E-2</v>
      </c>
      <c r="EZ167" s="229">
        <v>0.2984</v>
      </c>
      <c r="FA167" s="227" t="s">
        <v>567</v>
      </c>
      <c r="FB167" s="161">
        <f t="shared" si="4"/>
        <v>0</v>
      </c>
    </row>
    <row r="168" spans="1:158" ht="17.25" thickBot="1" x14ac:dyDescent="0.3">
      <c r="A168" s="226">
        <v>46009</v>
      </c>
      <c r="B168" s="227" t="s">
        <v>184</v>
      </c>
      <c r="C168" s="227" t="s">
        <v>688</v>
      </c>
      <c r="D168" s="228">
        <v>50</v>
      </c>
      <c r="E168" s="231">
        <v>18210</v>
      </c>
      <c r="F168" s="231">
        <v>19215</v>
      </c>
      <c r="G168" s="231">
        <v>-1005</v>
      </c>
      <c r="H168" s="229">
        <v>-5.2299999999999999E-2</v>
      </c>
      <c r="I168" s="231">
        <v>18160</v>
      </c>
      <c r="J168" s="231">
        <v>19150</v>
      </c>
      <c r="K168" s="228">
        <v>-990</v>
      </c>
      <c r="L168" s="229">
        <v>-5.1700000000000003E-2</v>
      </c>
      <c r="M168" s="231">
        <v>18210</v>
      </c>
      <c r="N168" s="231">
        <v>19215</v>
      </c>
      <c r="O168" s="231">
        <v>-1005</v>
      </c>
      <c r="P168" s="229">
        <v>-5.2299999999999999E-2</v>
      </c>
      <c r="Q168" s="231">
        <v>18305</v>
      </c>
      <c r="R168" s="231">
        <v>19290</v>
      </c>
      <c r="S168" s="228">
        <v>-985</v>
      </c>
      <c r="T168" s="229">
        <v>-5.11E-2</v>
      </c>
      <c r="U168" s="231">
        <v>18350</v>
      </c>
      <c r="V168" s="231">
        <v>19365</v>
      </c>
      <c r="W168" s="231">
        <v>-1015</v>
      </c>
      <c r="X168" s="229">
        <v>-5.2400000000000002E-2</v>
      </c>
      <c r="Y168" s="228">
        <v>50</v>
      </c>
      <c r="Z168" s="228">
        <v>65</v>
      </c>
      <c r="AA168" s="228">
        <v>-15</v>
      </c>
      <c r="AB168" s="229">
        <v>2.8E-3</v>
      </c>
      <c r="AC168" s="228">
        <v>50</v>
      </c>
      <c r="AD168" s="228">
        <v>65</v>
      </c>
      <c r="AE168" s="228">
        <v>-15</v>
      </c>
      <c r="AF168" s="229">
        <v>2.8E-3</v>
      </c>
      <c r="AG168" s="228">
        <v>145</v>
      </c>
      <c r="AH168" s="228">
        <v>140</v>
      </c>
      <c r="AI168" s="228">
        <v>5</v>
      </c>
      <c r="AJ168" s="229">
        <v>8.0000000000000002E-3</v>
      </c>
      <c r="AK168" s="228">
        <v>190</v>
      </c>
      <c r="AL168" s="228">
        <v>215</v>
      </c>
      <c r="AM168" s="228">
        <v>-25</v>
      </c>
      <c r="AN168" s="229">
        <v>1.0500000000000001E-2</v>
      </c>
      <c r="AO168" s="231">
        <v>18486.900000000001</v>
      </c>
      <c r="AP168" s="231">
        <v>18540.68</v>
      </c>
      <c r="AQ168" s="228">
        <v>0</v>
      </c>
      <c r="AR168" s="230">
        <v>171550</v>
      </c>
      <c r="AS168" s="230">
        <v>65650</v>
      </c>
      <c r="AT168" s="230">
        <v>105900</v>
      </c>
      <c r="AU168" s="229">
        <v>1.6131</v>
      </c>
      <c r="AV168" s="230">
        <v>137200</v>
      </c>
      <c r="AW168" s="230">
        <v>58050</v>
      </c>
      <c r="AX168" s="230">
        <v>79150</v>
      </c>
      <c r="AY168" s="229">
        <v>1.3634999999999999</v>
      </c>
      <c r="AZ168" s="230">
        <v>32550</v>
      </c>
      <c r="BA168" s="230">
        <v>7400</v>
      </c>
      <c r="BB168" s="230">
        <v>25150</v>
      </c>
      <c r="BC168" s="229">
        <v>3.3986000000000001</v>
      </c>
      <c r="BD168" s="230">
        <v>1800</v>
      </c>
      <c r="BE168" s="228">
        <v>200</v>
      </c>
      <c r="BF168" s="230">
        <v>1600</v>
      </c>
      <c r="BG168" s="229">
        <v>8</v>
      </c>
      <c r="BH168" s="230">
        <v>1604050</v>
      </c>
      <c r="BI168" s="230">
        <v>428600</v>
      </c>
      <c r="BJ168" s="230">
        <v>1175450</v>
      </c>
      <c r="BK168" s="229">
        <v>2.7425000000000002</v>
      </c>
      <c r="BL168" s="230">
        <v>1262000</v>
      </c>
      <c r="BM168" s="230">
        <v>118950</v>
      </c>
      <c r="BN168" s="230">
        <v>1143050</v>
      </c>
      <c r="BO168" s="229">
        <v>9.6095000000000006</v>
      </c>
      <c r="BP168" s="230">
        <v>3037600</v>
      </c>
      <c r="BQ168" s="230">
        <v>613200</v>
      </c>
      <c r="BR168" s="230">
        <v>2424400</v>
      </c>
      <c r="BS168" s="229">
        <v>3.9537</v>
      </c>
      <c r="BT168" s="230">
        <v>165741</v>
      </c>
      <c r="BU168" s="230">
        <v>76919</v>
      </c>
      <c r="BV168" s="230">
        <v>88822</v>
      </c>
      <c r="BW168" s="229">
        <v>1.1547000000000001</v>
      </c>
      <c r="BX168" s="230">
        <v>288400</v>
      </c>
      <c r="BY168" s="230">
        <v>268300</v>
      </c>
      <c r="BZ168" s="230">
        <v>20100</v>
      </c>
      <c r="CA168" s="229">
        <v>7.4899999999999994E-2</v>
      </c>
      <c r="CB168" s="230">
        <v>264250</v>
      </c>
      <c r="CC168" s="230">
        <v>254100</v>
      </c>
      <c r="CD168" s="230">
        <v>10150</v>
      </c>
      <c r="CE168" s="229">
        <v>3.9899999999999998E-2</v>
      </c>
      <c r="CF168" s="230">
        <v>21800</v>
      </c>
      <c r="CG168" s="230">
        <v>12900</v>
      </c>
      <c r="CH168" s="230">
        <v>8900</v>
      </c>
      <c r="CI168" s="229">
        <v>0.68989999999999996</v>
      </c>
      <c r="CJ168" s="230">
        <v>2350</v>
      </c>
      <c r="CK168" s="230">
        <v>1300</v>
      </c>
      <c r="CL168" s="230">
        <v>1050</v>
      </c>
      <c r="CM168" s="229">
        <v>0.80769999999999997</v>
      </c>
      <c r="CN168" s="230">
        <v>660000</v>
      </c>
      <c r="CO168" s="230">
        <v>522200</v>
      </c>
      <c r="CP168" s="230">
        <v>137800</v>
      </c>
      <c r="CQ168" s="229">
        <v>0.26390000000000002</v>
      </c>
      <c r="CR168" s="230">
        <v>208650</v>
      </c>
      <c r="CS168" s="230">
        <v>198250</v>
      </c>
      <c r="CT168" s="230">
        <v>10400</v>
      </c>
      <c r="CU168" s="229">
        <v>5.2499999999999998E-2</v>
      </c>
      <c r="CV168" s="230">
        <v>1157050</v>
      </c>
      <c r="CW168" s="230">
        <v>988750</v>
      </c>
      <c r="CX168" s="230">
        <v>168300</v>
      </c>
      <c r="CY168" s="229">
        <v>0.17019999999999999</v>
      </c>
      <c r="CZ168" s="228">
        <v>37.299999999999997</v>
      </c>
      <c r="DA168" s="228">
        <v>35.520000000000003</v>
      </c>
      <c r="DB168" s="228">
        <v>1.78</v>
      </c>
      <c r="DC168" s="228">
        <v>1.78</v>
      </c>
      <c r="DD168" s="228">
        <v>58.51</v>
      </c>
      <c r="DE168" s="228">
        <v>58.22</v>
      </c>
      <c r="DF168" s="228">
        <v>-21.21</v>
      </c>
      <c r="DG168" s="228">
        <v>0.28999999999999998</v>
      </c>
      <c r="DH168" s="228">
        <v>39.76</v>
      </c>
      <c r="DI168" s="228">
        <v>36.67</v>
      </c>
      <c r="DJ168" s="228">
        <v>3.09</v>
      </c>
      <c r="DK168" s="228">
        <v>3.09</v>
      </c>
      <c r="DL168" s="228">
        <v>34.17</v>
      </c>
      <c r="DM168" s="228">
        <v>31.36</v>
      </c>
      <c r="DN168" s="228">
        <v>2.81</v>
      </c>
      <c r="DO168" s="228">
        <v>2.81</v>
      </c>
      <c r="DP168" s="228">
        <v>0.32</v>
      </c>
      <c r="DQ168" s="228">
        <v>0.38</v>
      </c>
      <c r="DR168" s="228">
        <v>-0.06</v>
      </c>
      <c r="DS168" s="229">
        <v>-0.15790000000000001</v>
      </c>
      <c r="DT168" s="231">
        <v>22000</v>
      </c>
      <c r="DU168" s="231">
        <v>17000</v>
      </c>
      <c r="DV168" s="228">
        <v>0.79</v>
      </c>
      <c r="DW168" s="228">
        <v>0.28000000000000003</v>
      </c>
      <c r="DX168" s="228">
        <v>0.51</v>
      </c>
      <c r="DY168" s="229">
        <v>1.8213999999999999</v>
      </c>
      <c r="DZ168" s="229">
        <v>8.3699999999999997E-2</v>
      </c>
      <c r="EA168" s="230">
        <v>14200</v>
      </c>
      <c r="EB168" s="229">
        <v>5.1999999999999998E-3</v>
      </c>
      <c r="EC168" s="229">
        <v>8.3699999999999997E-2</v>
      </c>
      <c r="ED168" s="228">
        <v>53.78</v>
      </c>
      <c r="EE168" s="229">
        <v>2.8999999999999998E-3</v>
      </c>
      <c r="EF168" s="230">
        <v>49759</v>
      </c>
      <c r="EG168" s="230">
        <v>24436</v>
      </c>
      <c r="EH168" s="229">
        <v>1.0363</v>
      </c>
      <c r="EI168" s="229">
        <v>0.30020000000000002</v>
      </c>
      <c r="EJ168" s="231">
        <v>329257.84999999998</v>
      </c>
      <c r="EK168" s="231">
        <v>228869.18</v>
      </c>
      <c r="EL168" s="231">
        <v>31736.13</v>
      </c>
      <c r="EM168" s="231">
        <v>1384</v>
      </c>
      <c r="EN168" s="231">
        <v>589863.16</v>
      </c>
      <c r="EO168" s="231">
        <v>126633.17</v>
      </c>
      <c r="EP168" s="231">
        <v>463229.99</v>
      </c>
      <c r="EQ168" s="229">
        <v>3.6579999999999999</v>
      </c>
      <c r="ER168" s="231">
        <v>139119</v>
      </c>
      <c r="ES168" s="231">
        <v>38843</v>
      </c>
      <c r="ET168" s="231">
        <v>52542</v>
      </c>
      <c r="EU168" s="231">
        <v>1917916</v>
      </c>
      <c r="EV168" s="231">
        <v>230504</v>
      </c>
      <c r="EW168" s="231">
        <v>202286</v>
      </c>
      <c r="EX168" s="231">
        <v>28218</v>
      </c>
      <c r="EY168" s="229">
        <v>0.13950000000000001</v>
      </c>
      <c r="EZ168" s="229">
        <v>0.60329999999999995</v>
      </c>
      <c r="FA168" s="227" t="s">
        <v>567</v>
      </c>
      <c r="FB168" s="161">
        <f t="shared" si="4"/>
        <v>0</v>
      </c>
    </row>
    <row r="169" spans="1:158" ht="17.25" thickBot="1" x14ac:dyDescent="0.3">
      <c r="A169" s="226">
        <v>46009</v>
      </c>
      <c r="B169" s="227" t="s">
        <v>170</v>
      </c>
      <c r="C169" s="227" t="s">
        <v>679</v>
      </c>
      <c r="D169" s="228">
        <v>2500</v>
      </c>
      <c r="E169" s="228">
        <v>167.19</v>
      </c>
      <c r="F169" s="228">
        <v>168.2</v>
      </c>
      <c r="G169" s="228">
        <v>-1.01</v>
      </c>
      <c r="H169" s="229">
        <v>-6.0000000000000001E-3</v>
      </c>
      <c r="I169" s="228">
        <v>166.52</v>
      </c>
      <c r="J169" s="228">
        <v>167.9</v>
      </c>
      <c r="K169" s="228">
        <v>-1.38</v>
      </c>
      <c r="L169" s="229">
        <v>-8.2000000000000007E-3</v>
      </c>
      <c r="M169" s="228">
        <v>167.19</v>
      </c>
      <c r="N169" s="228">
        <v>168.2</v>
      </c>
      <c r="O169" s="228">
        <v>-1.01</v>
      </c>
      <c r="P169" s="229">
        <v>-6.0000000000000001E-3</v>
      </c>
      <c r="Q169" s="228">
        <v>168</v>
      </c>
      <c r="R169" s="228">
        <v>169.05</v>
      </c>
      <c r="S169" s="228">
        <v>-1.05</v>
      </c>
      <c r="T169" s="229">
        <v>-6.1999999999999998E-3</v>
      </c>
      <c r="U169" s="228">
        <v>169</v>
      </c>
      <c r="V169" s="228">
        <v>170.02</v>
      </c>
      <c r="W169" s="228">
        <v>-1.02</v>
      </c>
      <c r="X169" s="229">
        <v>-6.0000000000000001E-3</v>
      </c>
      <c r="Y169" s="228">
        <v>0.67</v>
      </c>
      <c r="Z169" s="228">
        <v>0.3</v>
      </c>
      <c r="AA169" s="228">
        <v>0.37</v>
      </c>
      <c r="AB169" s="229">
        <v>4.0000000000000001E-3</v>
      </c>
      <c r="AC169" s="228">
        <v>0.67</v>
      </c>
      <c r="AD169" s="228">
        <v>0.3</v>
      </c>
      <c r="AE169" s="228">
        <v>0.37</v>
      </c>
      <c r="AF169" s="229">
        <v>4.0000000000000001E-3</v>
      </c>
      <c r="AG169" s="228">
        <v>1.48</v>
      </c>
      <c r="AH169" s="228">
        <v>1.1499999999999999</v>
      </c>
      <c r="AI169" s="228">
        <v>0.33</v>
      </c>
      <c r="AJ169" s="229">
        <v>8.8999999999999999E-3</v>
      </c>
      <c r="AK169" s="228">
        <v>2.48</v>
      </c>
      <c r="AL169" s="228">
        <v>2.12</v>
      </c>
      <c r="AM169" s="228">
        <v>0.36</v>
      </c>
      <c r="AN169" s="229">
        <v>1.49E-2</v>
      </c>
      <c r="AO169" s="228">
        <v>166.88</v>
      </c>
      <c r="AP169" s="228">
        <v>167.72</v>
      </c>
      <c r="AQ169" s="228">
        <v>0</v>
      </c>
      <c r="AR169" s="230">
        <v>3767500</v>
      </c>
      <c r="AS169" s="230">
        <v>3997500</v>
      </c>
      <c r="AT169" s="230">
        <v>-230000</v>
      </c>
      <c r="AU169" s="229">
        <v>-5.7500000000000002E-2</v>
      </c>
      <c r="AV169" s="230">
        <v>2547500</v>
      </c>
      <c r="AW169" s="230">
        <v>3270000</v>
      </c>
      <c r="AX169" s="230">
        <v>-722500</v>
      </c>
      <c r="AY169" s="229">
        <v>-0.22090000000000001</v>
      </c>
      <c r="AZ169" s="230">
        <v>1125000</v>
      </c>
      <c r="BA169" s="230">
        <v>717500</v>
      </c>
      <c r="BB169" s="230">
        <v>407500</v>
      </c>
      <c r="BC169" s="229">
        <v>0.56789999999999996</v>
      </c>
      <c r="BD169" s="230">
        <v>95000</v>
      </c>
      <c r="BE169" s="230">
        <v>10000</v>
      </c>
      <c r="BF169" s="230">
        <v>85000</v>
      </c>
      <c r="BG169" s="229">
        <v>8.5</v>
      </c>
      <c r="BH169" s="230">
        <v>10212500</v>
      </c>
      <c r="BI169" s="230">
        <v>8145000</v>
      </c>
      <c r="BJ169" s="230">
        <v>2067500</v>
      </c>
      <c r="BK169" s="229">
        <v>0.25380000000000003</v>
      </c>
      <c r="BL169" s="230">
        <v>2710000</v>
      </c>
      <c r="BM169" s="230">
        <v>3242500</v>
      </c>
      <c r="BN169" s="230">
        <v>-532500</v>
      </c>
      <c r="BO169" s="229">
        <v>-0.16420000000000001</v>
      </c>
      <c r="BP169" s="230">
        <v>16690000</v>
      </c>
      <c r="BQ169" s="230">
        <v>15385000</v>
      </c>
      <c r="BR169" s="230">
        <v>1305000</v>
      </c>
      <c r="BS169" s="229">
        <v>8.48E-2</v>
      </c>
      <c r="BT169" s="230">
        <v>2815670</v>
      </c>
      <c r="BU169" s="230">
        <v>2764784</v>
      </c>
      <c r="BV169" s="230">
        <v>50886</v>
      </c>
      <c r="BW169" s="229">
        <v>1.84E-2</v>
      </c>
      <c r="BX169" s="230">
        <v>28325125</v>
      </c>
      <c r="BY169" s="230">
        <v>28399125</v>
      </c>
      <c r="BZ169" s="230">
        <v>-74000</v>
      </c>
      <c r="CA169" s="229">
        <v>-2.5999999999999999E-3</v>
      </c>
      <c r="CB169" s="230">
        <v>24437500</v>
      </c>
      <c r="CC169" s="230">
        <v>24847500</v>
      </c>
      <c r="CD169" s="230">
        <v>-410000</v>
      </c>
      <c r="CE169" s="229">
        <v>-1.6500000000000001E-2</v>
      </c>
      <c r="CF169" s="230">
        <v>3570000</v>
      </c>
      <c r="CG169" s="230">
        <v>3323250</v>
      </c>
      <c r="CH169" s="230">
        <v>246750</v>
      </c>
      <c r="CI169" s="229">
        <v>7.4200000000000002E-2</v>
      </c>
      <c r="CJ169" s="230">
        <v>317625</v>
      </c>
      <c r="CK169" s="230">
        <v>228375</v>
      </c>
      <c r="CL169" s="230">
        <v>89250</v>
      </c>
      <c r="CM169" s="229">
        <v>0.39079999999999998</v>
      </c>
      <c r="CN169" s="230">
        <v>18397375</v>
      </c>
      <c r="CO169" s="230">
        <v>18073000</v>
      </c>
      <c r="CP169" s="230">
        <v>324375</v>
      </c>
      <c r="CQ169" s="229">
        <v>1.7899999999999999E-2</v>
      </c>
      <c r="CR169" s="230">
        <v>7809375</v>
      </c>
      <c r="CS169" s="230">
        <v>7730750</v>
      </c>
      <c r="CT169" s="230">
        <v>78625</v>
      </c>
      <c r="CU169" s="229">
        <v>1.0200000000000001E-2</v>
      </c>
      <c r="CV169" s="230">
        <v>54531875</v>
      </c>
      <c r="CW169" s="230">
        <v>54202875</v>
      </c>
      <c r="CX169" s="230">
        <v>329000</v>
      </c>
      <c r="CY169" s="229">
        <v>6.1000000000000004E-3</v>
      </c>
      <c r="CZ169" s="228">
        <v>27.59</v>
      </c>
      <c r="DA169" s="228">
        <v>30.07</v>
      </c>
      <c r="DB169" s="228">
        <v>-2.48</v>
      </c>
      <c r="DC169" s="228">
        <v>-2.48</v>
      </c>
      <c r="DD169" s="228">
        <v>43.63</v>
      </c>
      <c r="DE169" s="228">
        <v>43.73</v>
      </c>
      <c r="DF169" s="228">
        <v>-16.04</v>
      </c>
      <c r="DG169" s="228">
        <v>-0.1</v>
      </c>
      <c r="DH169" s="228">
        <v>28.25</v>
      </c>
      <c r="DI169" s="228">
        <v>31.07</v>
      </c>
      <c r="DJ169" s="228">
        <v>-2.82</v>
      </c>
      <c r="DK169" s="228">
        <v>-2.82</v>
      </c>
      <c r="DL169" s="228">
        <v>25.11</v>
      </c>
      <c r="DM169" s="228">
        <v>27.55</v>
      </c>
      <c r="DN169" s="228">
        <v>-2.44</v>
      </c>
      <c r="DO169" s="228">
        <v>-2.44</v>
      </c>
      <c r="DP169" s="228">
        <v>0.42</v>
      </c>
      <c r="DQ169" s="228">
        <v>0.43</v>
      </c>
      <c r="DR169" s="228">
        <v>-0.01</v>
      </c>
      <c r="DS169" s="229">
        <v>-2.3300000000000001E-2</v>
      </c>
      <c r="DT169" s="228">
        <v>200</v>
      </c>
      <c r="DU169" s="228">
        <v>160</v>
      </c>
      <c r="DV169" s="228">
        <v>0.27</v>
      </c>
      <c r="DW169" s="228">
        <v>0.4</v>
      </c>
      <c r="DX169" s="228">
        <v>-0.13</v>
      </c>
      <c r="DY169" s="229">
        <v>-0.32500000000000001</v>
      </c>
      <c r="DZ169" s="229">
        <v>0.13730000000000001</v>
      </c>
      <c r="EA169" s="230">
        <v>3551625</v>
      </c>
      <c r="EB169" s="229">
        <v>4.7999999999999996E-3</v>
      </c>
      <c r="EC169" s="229">
        <v>0.13730000000000001</v>
      </c>
      <c r="ED169" s="228">
        <v>0.84</v>
      </c>
      <c r="EE169" s="229">
        <v>5.0000000000000001E-3</v>
      </c>
      <c r="EF169" s="230">
        <v>1289586</v>
      </c>
      <c r="EG169" s="230">
        <v>1249324</v>
      </c>
      <c r="EH169" s="229">
        <v>3.2199999999999999E-2</v>
      </c>
      <c r="EI169" s="229">
        <v>0.45800000000000002</v>
      </c>
      <c r="EJ169" s="231">
        <v>18265.77</v>
      </c>
      <c r="EK169" s="231">
        <v>4573.71</v>
      </c>
      <c r="EL169" s="231">
        <v>6400.89</v>
      </c>
      <c r="EM169" s="231">
        <v>2373</v>
      </c>
      <c r="EN169" s="231">
        <v>29240.37</v>
      </c>
      <c r="EO169" s="231">
        <v>27161.79</v>
      </c>
      <c r="EP169" s="231">
        <v>2078.58</v>
      </c>
      <c r="EQ169" s="229">
        <v>7.6499999999999999E-2</v>
      </c>
      <c r="ER169" s="231">
        <v>34690</v>
      </c>
      <c r="ES169" s="231">
        <v>13749</v>
      </c>
      <c r="ET169" s="231">
        <v>47391</v>
      </c>
      <c r="EU169" s="231">
        <v>120138597</v>
      </c>
      <c r="EV169" s="231">
        <v>95831</v>
      </c>
      <c r="EW169" s="231">
        <v>95740</v>
      </c>
      <c r="EX169" s="228">
        <v>91</v>
      </c>
      <c r="EY169" s="229">
        <v>1E-3</v>
      </c>
      <c r="EZ169" s="229">
        <v>0.45390000000000003</v>
      </c>
      <c r="FA169" s="227" t="s">
        <v>568</v>
      </c>
      <c r="FB169" s="161">
        <f t="shared" si="4"/>
        <v>0</v>
      </c>
    </row>
    <row r="170" spans="1:158" ht="17.25" thickBot="1" x14ac:dyDescent="0.3">
      <c r="A170" s="226">
        <v>46009</v>
      </c>
      <c r="B170" s="227" t="s">
        <v>206</v>
      </c>
      <c r="C170" s="227" t="s">
        <v>605</v>
      </c>
      <c r="D170" s="228">
        <v>450</v>
      </c>
      <c r="E170" s="231">
        <v>1605.1</v>
      </c>
      <c r="F170" s="231">
        <v>1613.2</v>
      </c>
      <c r="G170" s="228">
        <v>-8.1</v>
      </c>
      <c r="H170" s="229">
        <v>-5.0000000000000001E-3</v>
      </c>
      <c r="I170" s="231">
        <v>1600.2</v>
      </c>
      <c r="J170" s="231">
        <v>1607.4</v>
      </c>
      <c r="K170" s="228">
        <v>-7.2</v>
      </c>
      <c r="L170" s="229">
        <v>-4.4999999999999997E-3</v>
      </c>
      <c r="M170" s="231">
        <v>1605.1</v>
      </c>
      <c r="N170" s="231">
        <v>1613.2</v>
      </c>
      <c r="O170" s="228">
        <v>-8.1</v>
      </c>
      <c r="P170" s="229">
        <v>-5.0000000000000001E-3</v>
      </c>
      <c r="Q170" s="231">
        <v>1614.9</v>
      </c>
      <c r="R170" s="231">
        <v>1621.3</v>
      </c>
      <c r="S170" s="228">
        <v>-6.4</v>
      </c>
      <c r="T170" s="229">
        <v>-3.8999999999999998E-3</v>
      </c>
      <c r="U170" s="231">
        <v>1629.1</v>
      </c>
      <c r="V170" s="231">
        <v>1632.5</v>
      </c>
      <c r="W170" s="228">
        <v>-3.4</v>
      </c>
      <c r="X170" s="229">
        <v>-2.0999999999999999E-3</v>
      </c>
      <c r="Y170" s="228">
        <v>4.9000000000000004</v>
      </c>
      <c r="Z170" s="228">
        <v>5.8</v>
      </c>
      <c r="AA170" s="228">
        <v>-0.9</v>
      </c>
      <c r="AB170" s="229">
        <v>3.0999999999999999E-3</v>
      </c>
      <c r="AC170" s="228">
        <v>4.9000000000000004</v>
      </c>
      <c r="AD170" s="228">
        <v>5.8</v>
      </c>
      <c r="AE170" s="228">
        <v>-0.9</v>
      </c>
      <c r="AF170" s="229">
        <v>3.0999999999999999E-3</v>
      </c>
      <c r="AG170" s="228">
        <v>14.7</v>
      </c>
      <c r="AH170" s="228">
        <v>13.9</v>
      </c>
      <c r="AI170" s="228">
        <v>0.8</v>
      </c>
      <c r="AJ170" s="229">
        <v>9.1999999999999998E-3</v>
      </c>
      <c r="AK170" s="228">
        <v>28.9</v>
      </c>
      <c r="AL170" s="228">
        <v>25.1</v>
      </c>
      <c r="AM170" s="228">
        <v>3.8</v>
      </c>
      <c r="AN170" s="229">
        <v>1.8100000000000002E-2</v>
      </c>
      <c r="AO170" s="231">
        <v>1604.39</v>
      </c>
      <c r="AP170" s="231">
        <v>1611.72</v>
      </c>
      <c r="AQ170" s="228">
        <v>0</v>
      </c>
      <c r="AR170" s="230">
        <v>646650</v>
      </c>
      <c r="AS170" s="230">
        <v>381150</v>
      </c>
      <c r="AT170" s="230">
        <v>265500</v>
      </c>
      <c r="AU170" s="229">
        <v>0.6966</v>
      </c>
      <c r="AV170" s="230">
        <v>493200</v>
      </c>
      <c r="AW170" s="230">
        <v>313200</v>
      </c>
      <c r="AX170" s="230">
        <v>180000</v>
      </c>
      <c r="AY170" s="229">
        <v>0.57469999999999999</v>
      </c>
      <c r="AZ170" s="230">
        <v>151650</v>
      </c>
      <c r="BA170" s="230">
        <v>65700</v>
      </c>
      <c r="BB170" s="230">
        <v>85950</v>
      </c>
      <c r="BC170" s="229">
        <v>1.3082</v>
      </c>
      <c r="BD170" s="230">
        <v>1800</v>
      </c>
      <c r="BE170" s="230">
        <v>2250</v>
      </c>
      <c r="BF170" s="228">
        <v>-450</v>
      </c>
      <c r="BG170" s="229">
        <v>-0.2</v>
      </c>
      <c r="BH170" s="230">
        <v>1381950</v>
      </c>
      <c r="BI170" s="230">
        <v>918450</v>
      </c>
      <c r="BJ170" s="230">
        <v>463500</v>
      </c>
      <c r="BK170" s="229">
        <v>0.50470000000000004</v>
      </c>
      <c r="BL170" s="230">
        <v>569250</v>
      </c>
      <c r="BM170" s="230">
        <v>468450</v>
      </c>
      <c r="BN170" s="230">
        <v>100800</v>
      </c>
      <c r="BO170" s="229">
        <v>0.2152</v>
      </c>
      <c r="BP170" s="230">
        <v>2597850</v>
      </c>
      <c r="BQ170" s="230">
        <v>1768050</v>
      </c>
      <c r="BR170" s="230">
        <v>829800</v>
      </c>
      <c r="BS170" s="229">
        <v>0.46929999999999999</v>
      </c>
      <c r="BT170" s="230">
        <v>430489</v>
      </c>
      <c r="BU170" s="230">
        <v>449283</v>
      </c>
      <c r="BV170" s="230">
        <v>-18794</v>
      </c>
      <c r="BW170" s="229">
        <v>-4.1799999999999997E-2</v>
      </c>
      <c r="BX170" s="230">
        <v>4166100</v>
      </c>
      <c r="BY170" s="230">
        <v>4110300</v>
      </c>
      <c r="BZ170" s="230">
        <v>55800</v>
      </c>
      <c r="CA170" s="229">
        <v>1.3599999999999999E-2</v>
      </c>
      <c r="CB170" s="230">
        <v>3968550</v>
      </c>
      <c r="CC170" s="230">
        <v>4010850</v>
      </c>
      <c r="CD170" s="230">
        <v>-42300</v>
      </c>
      <c r="CE170" s="229">
        <v>-1.0500000000000001E-2</v>
      </c>
      <c r="CF170" s="230">
        <v>186750</v>
      </c>
      <c r="CG170" s="230">
        <v>88200</v>
      </c>
      <c r="CH170" s="230">
        <v>98550</v>
      </c>
      <c r="CI170" s="229">
        <v>1.1173</v>
      </c>
      <c r="CJ170" s="230">
        <v>10800</v>
      </c>
      <c r="CK170" s="230">
        <v>11250</v>
      </c>
      <c r="CL170" s="228">
        <v>-450</v>
      </c>
      <c r="CM170" s="229">
        <v>-0.04</v>
      </c>
      <c r="CN170" s="230">
        <v>2018700</v>
      </c>
      <c r="CO170" s="230">
        <v>2034900</v>
      </c>
      <c r="CP170" s="230">
        <v>-16200</v>
      </c>
      <c r="CQ170" s="229">
        <v>-8.0000000000000002E-3</v>
      </c>
      <c r="CR170" s="230">
        <v>1305000</v>
      </c>
      <c r="CS170" s="230">
        <v>1315800</v>
      </c>
      <c r="CT170" s="230">
        <v>-10800</v>
      </c>
      <c r="CU170" s="229">
        <v>-8.2000000000000007E-3</v>
      </c>
      <c r="CV170" s="230">
        <v>7489800</v>
      </c>
      <c r="CW170" s="230">
        <v>7461000</v>
      </c>
      <c r="CX170" s="230">
        <v>28800</v>
      </c>
      <c r="CY170" s="229">
        <v>3.8999999999999998E-3</v>
      </c>
      <c r="CZ170" s="228">
        <v>27.29</v>
      </c>
      <c r="DA170" s="228">
        <v>28.83</v>
      </c>
      <c r="DB170" s="228">
        <v>-1.54</v>
      </c>
      <c r="DC170" s="228">
        <v>-1.54</v>
      </c>
      <c r="DD170" s="228">
        <v>44.69</v>
      </c>
      <c r="DE170" s="228">
        <v>44.8</v>
      </c>
      <c r="DF170" s="228">
        <v>-17.399999999999999</v>
      </c>
      <c r="DG170" s="228">
        <v>-0.11</v>
      </c>
      <c r="DH170" s="228">
        <v>27.82</v>
      </c>
      <c r="DI170" s="228">
        <v>29.43</v>
      </c>
      <c r="DJ170" s="228">
        <v>-1.61</v>
      </c>
      <c r="DK170" s="228">
        <v>-1.61</v>
      </c>
      <c r="DL170" s="228">
        <v>26.02</v>
      </c>
      <c r="DM170" s="228">
        <v>27.66</v>
      </c>
      <c r="DN170" s="228">
        <v>-1.64</v>
      </c>
      <c r="DO170" s="228">
        <v>-1.64</v>
      </c>
      <c r="DP170" s="228">
        <v>0.65</v>
      </c>
      <c r="DQ170" s="228">
        <v>0.65</v>
      </c>
      <c r="DR170" s="228">
        <v>0</v>
      </c>
      <c r="DS170" s="229">
        <v>0</v>
      </c>
      <c r="DT170" s="231">
        <v>1700</v>
      </c>
      <c r="DU170" s="231">
        <v>1540</v>
      </c>
      <c r="DV170" s="228">
        <v>0.41</v>
      </c>
      <c r="DW170" s="228">
        <v>0.51</v>
      </c>
      <c r="DX170" s="228">
        <v>-0.1</v>
      </c>
      <c r="DY170" s="229">
        <v>-0.1961</v>
      </c>
      <c r="DZ170" s="229">
        <v>4.7399999999999998E-2</v>
      </c>
      <c r="EA170" s="230">
        <v>99450</v>
      </c>
      <c r="EB170" s="229">
        <v>6.1000000000000004E-3</v>
      </c>
      <c r="EC170" s="229">
        <v>4.7399999999999998E-2</v>
      </c>
      <c r="ED170" s="228">
        <v>7.33</v>
      </c>
      <c r="EE170" s="229">
        <v>4.5999999999999999E-3</v>
      </c>
      <c r="EF170" s="230">
        <v>311480</v>
      </c>
      <c r="EG170" s="230">
        <v>297662</v>
      </c>
      <c r="EH170" s="229">
        <v>4.6399999999999997E-2</v>
      </c>
      <c r="EI170" s="229">
        <v>0.72350000000000003</v>
      </c>
      <c r="EJ170" s="231">
        <v>23406.31</v>
      </c>
      <c r="EK170" s="231">
        <v>9144.8700000000008</v>
      </c>
      <c r="EL170" s="231">
        <v>10386.26</v>
      </c>
      <c r="EM170" s="231">
        <v>1519</v>
      </c>
      <c r="EN170" s="231">
        <v>42937.440000000002</v>
      </c>
      <c r="EO170" s="231">
        <v>29397.87</v>
      </c>
      <c r="EP170" s="231">
        <v>13539.57</v>
      </c>
      <c r="EQ170" s="229">
        <v>0.46060000000000001</v>
      </c>
      <c r="ER170" s="231">
        <v>34866</v>
      </c>
      <c r="ES170" s="231">
        <v>20670</v>
      </c>
      <c r="ET170" s="231">
        <v>66891</v>
      </c>
      <c r="EU170" s="231">
        <v>25234534</v>
      </c>
      <c r="EV170" s="231">
        <v>122427</v>
      </c>
      <c r="EW170" s="231">
        <v>122420</v>
      </c>
      <c r="EX170" s="228">
        <v>7</v>
      </c>
      <c r="EY170" s="229">
        <v>1E-4</v>
      </c>
      <c r="EZ170" s="229">
        <v>0.29680000000000001</v>
      </c>
      <c r="FA170" s="227" t="s">
        <v>567</v>
      </c>
      <c r="FB170" s="161">
        <f t="shared" si="4"/>
        <v>0</v>
      </c>
    </row>
    <row r="171" spans="1:158" ht="17.25" thickBot="1" x14ac:dyDescent="0.3">
      <c r="A171" s="226">
        <v>46009</v>
      </c>
      <c r="B171" s="227" t="s">
        <v>172</v>
      </c>
      <c r="C171" s="227" t="s">
        <v>279</v>
      </c>
      <c r="D171" s="228">
        <v>3175</v>
      </c>
      <c r="E171" s="228">
        <v>299.05</v>
      </c>
      <c r="F171" s="228">
        <v>298</v>
      </c>
      <c r="G171" s="228">
        <v>1.05</v>
      </c>
      <c r="H171" s="229">
        <v>3.5000000000000001E-3</v>
      </c>
      <c r="I171" s="228">
        <v>298.75</v>
      </c>
      <c r="J171" s="228">
        <v>296.95</v>
      </c>
      <c r="K171" s="228">
        <v>1.8</v>
      </c>
      <c r="L171" s="229">
        <v>6.1000000000000004E-3</v>
      </c>
      <c r="M171" s="228">
        <v>299.05</v>
      </c>
      <c r="N171" s="228">
        <v>298</v>
      </c>
      <c r="O171" s="228">
        <v>1.05</v>
      </c>
      <c r="P171" s="229">
        <v>3.5000000000000001E-3</v>
      </c>
      <c r="Q171" s="228">
        <v>300.7</v>
      </c>
      <c r="R171" s="228">
        <v>299.89999999999998</v>
      </c>
      <c r="S171" s="228">
        <v>0.8</v>
      </c>
      <c r="T171" s="229">
        <v>2.7000000000000001E-3</v>
      </c>
      <c r="U171" s="228">
        <v>302.10000000000002</v>
      </c>
      <c r="V171" s="228">
        <v>301.7</v>
      </c>
      <c r="W171" s="228">
        <v>0.4</v>
      </c>
      <c r="X171" s="229">
        <v>1.2999999999999999E-3</v>
      </c>
      <c r="Y171" s="228">
        <v>0.3</v>
      </c>
      <c r="Z171" s="228">
        <v>1.05</v>
      </c>
      <c r="AA171" s="228">
        <v>-0.75</v>
      </c>
      <c r="AB171" s="229">
        <v>1E-3</v>
      </c>
      <c r="AC171" s="228">
        <v>0.3</v>
      </c>
      <c r="AD171" s="228">
        <v>1.05</v>
      </c>
      <c r="AE171" s="228">
        <v>-0.75</v>
      </c>
      <c r="AF171" s="229">
        <v>1E-3</v>
      </c>
      <c r="AG171" s="228">
        <v>1.95</v>
      </c>
      <c r="AH171" s="228">
        <v>2.95</v>
      </c>
      <c r="AI171" s="228">
        <v>-1</v>
      </c>
      <c r="AJ171" s="229">
        <v>6.4999999999999997E-3</v>
      </c>
      <c r="AK171" s="228">
        <v>3.35</v>
      </c>
      <c r="AL171" s="228">
        <v>4.75</v>
      </c>
      <c r="AM171" s="228">
        <v>-1.4</v>
      </c>
      <c r="AN171" s="229">
        <v>1.12E-2</v>
      </c>
      <c r="AO171" s="228">
        <v>299.18</v>
      </c>
      <c r="AP171" s="228">
        <v>300.39999999999998</v>
      </c>
      <c r="AQ171" s="228">
        <v>0</v>
      </c>
      <c r="AR171" s="230">
        <v>8204200</v>
      </c>
      <c r="AS171" s="230">
        <v>15843250</v>
      </c>
      <c r="AT171" s="230">
        <v>-7639050</v>
      </c>
      <c r="AU171" s="229">
        <v>-0.48220000000000002</v>
      </c>
      <c r="AV171" s="230">
        <v>7105650</v>
      </c>
      <c r="AW171" s="230">
        <v>14004925</v>
      </c>
      <c r="AX171" s="230">
        <v>-6899275</v>
      </c>
      <c r="AY171" s="229">
        <v>-0.49259999999999998</v>
      </c>
      <c r="AZ171" s="230">
        <v>1079500</v>
      </c>
      <c r="BA171" s="230">
        <v>1800225</v>
      </c>
      <c r="BB171" s="230">
        <v>-720725</v>
      </c>
      <c r="BC171" s="229">
        <v>-0.40039999999999998</v>
      </c>
      <c r="BD171" s="230">
        <v>19050</v>
      </c>
      <c r="BE171" s="230">
        <v>38100</v>
      </c>
      <c r="BF171" s="230">
        <v>-19050</v>
      </c>
      <c r="BG171" s="229">
        <v>-0.5</v>
      </c>
      <c r="BH171" s="230">
        <v>9737725</v>
      </c>
      <c r="BI171" s="230">
        <v>15074900</v>
      </c>
      <c r="BJ171" s="230">
        <v>-5337175</v>
      </c>
      <c r="BK171" s="229">
        <v>-0.35399999999999998</v>
      </c>
      <c r="BL171" s="230">
        <v>4759325</v>
      </c>
      <c r="BM171" s="230">
        <v>14601825</v>
      </c>
      <c r="BN171" s="230">
        <v>-9842500</v>
      </c>
      <c r="BO171" s="229">
        <v>-0.67410000000000003</v>
      </c>
      <c r="BP171" s="230">
        <v>22701250</v>
      </c>
      <c r="BQ171" s="230">
        <v>45519975</v>
      </c>
      <c r="BR171" s="230">
        <v>-22818725</v>
      </c>
      <c r="BS171" s="229">
        <v>-0.50129999999999997</v>
      </c>
      <c r="BT171" s="230">
        <v>2943475</v>
      </c>
      <c r="BU171" s="230">
        <v>5630116</v>
      </c>
      <c r="BV171" s="230">
        <v>-2686641</v>
      </c>
      <c r="BW171" s="229">
        <v>-0.47720000000000001</v>
      </c>
      <c r="BX171" s="230">
        <v>77584300</v>
      </c>
      <c r="BY171" s="230">
        <v>77479525</v>
      </c>
      <c r="BZ171" s="230">
        <v>104775</v>
      </c>
      <c r="CA171" s="229">
        <v>1.4E-3</v>
      </c>
      <c r="CB171" s="230">
        <v>74450575</v>
      </c>
      <c r="CC171" s="230">
        <v>74615675</v>
      </c>
      <c r="CD171" s="230">
        <v>-165100</v>
      </c>
      <c r="CE171" s="229">
        <v>-2.2000000000000001E-3</v>
      </c>
      <c r="CF171" s="230">
        <v>3003550</v>
      </c>
      <c r="CG171" s="230">
        <v>2730500</v>
      </c>
      <c r="CH171" s="230">
        <v>273050</v>
      </c>
      <c r="CI171" s="229">
        <v>0.1</v>
      </c>
      <c r="CJ171" s="230">
        <v>130175</v>
      </c>
      <c r="CK171" s="230">
        <v>133350</v>
      </c>
      <c r="CL171" s="230">
        <v>-3175</v>
      </c>
      <c r="CM171" s="229">
        <v>-2.3800000000000002E-2</v>
      </c>
      <c r="CN171" s="230">
        <v>26850975</v>
      </c>
      <c r="CO171" s="230">
        <v>27406600</v>
      </c>
      <c r="CP171" s="230">
        <v>-555625</v>
      </c>
      <c r="CQ171" s="229">
        <v>-2.0299999999999999E-2</v>
      </c>
      <c r="CR171" s="230">
        <v>17294225</v>
      </c>
      <c r="CS171" s="230">
        <v>17211675</v>
      </c>
      <c r="CT171" s="230">
        <v>82550</v>
      </c>
      <c r="CU171" s="229">
        <v>4.7999999999999996E-3</v>
      </c>
      <c r="CV171" s="230">
        <v>121729500</v>
      </c>
      <c r="CW171" s="230">
        <v>122097800</v>
      </c>
      <c r="CX171" s="230">
        <v>-368300</v>
      </c>
      <c r="CY171" s="229">
        <v>-3.0000000000000001E-3</v>
      </c>
      <c r="CZ171" s="228">
        <v>27.4</v>
      </c>
      <c r="DA171" s="228">
        <v>28.68</v>
      </c>
      <c r="DB171" s="228">
        <v>-1.28</v>
      </c>
      <c r="DC171" s="228">
        <v>-1.28</v>
      </c>
      <c r="DD171" s="228">
        <v>44.64</v>
      </c>
      <c r="DE171" s="228">
        <v>44.74</v>
      </c>
      <c r="DF171" s="228">
        <v>-17.239999999999998</v>
      </c>
      <c r="DG171" s="228">
        <v>-0.1</v>
      </c>
      <c r="DH171" s="228">
        <v>27.93</v>
      </c>
      <c r="DI171" s="228">
        <v>29.5</v>
      </c>
      <c r="DJ171" s="228">
        <v>-1.57</v>
      </c>
      <c r="DK171" s="228">
        <v>-1.57</v>
      </c>
      <c r="DL171" s="228">
        <v>26.32</v>
      </c>
      <c r="DM171" s="228">
        <v>27.84</v>
      </c>
      <c r="DN171" s="228">
        <v>-1.52</v>
      </c>
      <c r="DO171" s="228">
        <v>-1.52</v>
      </c>
      <c r="DP171" s="228">
        <v>0.64</v>
      </c>
      <c r="DQ171" s="228">
        <v>0.63</v>
      </c>
      <c r="DR171" s="228">
        <v>0.01</v>
      </c>
      <c r="DS171" s="229">
        <v>1.5900000000000001E-2</v>
      </c>
      <c r="DT171" s="228">
        <v>315</v>
      </c>
      <c r="DU171" s="228">
        <v>300</v>
      </c>
      <c r="DV171" s="228">
        <v>0.49</v>
      </c>
      <c r="DW171" s="228">
        <v>0.97</v>
      </c>
      <c r="DX171" s="228">
        <v>-0.48</v>
      </c>
      <c r="DY171" s="229">
        <v>-0.49480000000000002</v>
      </c>
      <c r="DZ171" s="229">
        <v>4.0399999999999998E-2</v>
      </c>
      <c r="EA171" s="230">
        <v>2863850</v>
      </c>
      <c r="EB171" s="229">
        <v>5.4999999999999997E-3</v>
      </c>
      <c r="EC171" s="229">
        <v>4.0399999999999998E-2</v>
      </c>
      <c r="ED171" s="228">
        <v>1.22</v>
      </c>
      <c r="EE171" s="229">
        <v>4.1000000000000003E-3</v>
      </c>
      <c r="EF171" s="230">
        <v>1032349</v>
      </c>
      <c r="EG171" s="230">
        <v>1642448</v>
      </c>
      <c r="EH171" s="229">
        <v>-0.3715</v>
      </c>
      <c r="EI171" s="229">
        <v>0.35070000000000001</v>
      </c>
      <c r="EJ171" s="231">
        <v>30303.759999999998</v>
      </c>
      <c r="EK171" s="231">
        <v>14182.3</v>
      </c>
      <c r="EL171" s="231">
        <v>24558.99</v>
      </c>
      <c r="EM171" s="231">
        <v>3201</v>
      </c>
      <c r="EN171" s="231">
        <v>69045.05</v>
      </c>
      <c r="EO171" s="231">
        <v>137903.4</v>
      </c>
      <c r="EP171" s="231">
        <v>-68858.350000000006</v>
      </c>
      <c r="EQ171" s="229">
        <v>-0.49930000000000002</v>
      </c>
      <c r="ER171" s="231">
        <v>84727</v>
      </c>
      <c r="ES171" s="231">
        <v>51832</v>
      </c>
      <c r="ET171" s="231">
        <v>232069</v>
      </c>
      <c r="EU171" s="231">
        <v>91351468</v>
      </c>
      <c r="EV171" s="231">
        <v>368628</v>
      </c>
      <c r="EW171" s="231">
        <v>369165</v>
      </c>
      <c r="EX171" s="228">
        <v>-537</v>
      </c>
      <c r="EY171" s="229">
        <v>-1.5E-3</v>
      </c>
      <c r="EZ171" s="229">
        <v>1.3325</v>
      </c>
      <c r="FA171" s="227" t="s">
        <v>555</v>
      </c>
      <c r="FB171" s="161">
        <f t="shared" si="4"/>
        <v>0</v>
      </c>
    </row>
    <row r="172" spans="1:158" ht="17.25" thickBot="1" x14ac:dyDescent="0.3">
      <c r="A172" s="226">
        <v>46009</v>
      </c>
      <c r="B172" s="227" t="s">
        <v>175</v>
      </c>
      <c r="C172" s="227" t="s">
        <v>280</v>
      </c>
      <c r="D172" s="228">
        <v>1275</v>
      </c>
      <c r="E172" s="228">
        <v>337.8</v>
      </c>
      <c r="F172" s="228">
        <v>334.5</v>
      </c>
      <c r="G172" s="228">
        <v>3.3</v>
      </c>
      <c r="H172" s="229">
        <v>9.9000000000000008E-3</v>
      </c>
      <c r="I172" s="228">
        <v>337</v>
      </c>
      <c r="J172" s="228">
        <v>333.95</v>
      </c>
      <c r="K172" s="228">
        <v>3.05</v>
      </c>
      <c r="L172" s="229">
        <v>9.1000000000000004E-3</v>
      </c>
      <c r="M172" s="228">
        <v>337.8</v>
      </c>
      <c r="N172" s="228">
        <v>334.5</v>
      </c>
      <c r="O172" s="228">
        <v>3.3</v>
      </c>
      <c r="P172" s="229">
        <v>9.9000000000000008E-3</v>
      </c>
      <c r="Q172" s="228">
        <v>339.95</v>
      </c>
      <c r="R172" s="228">
        <v>336.5</v>
      </c>
      <c r="S172" s="228">
        <v>3.45</v>
      </c>
      <c r="T172" s="229">
        <v>1.03E-2</v>
      </c>
      <c r="U172" s="228">
        <v>339.05</v>
      </c>
      <c r="V172" s="228">
        <v>335.9</v>
      </c>
      <c r="W172" s="228">
        <v>3.15</v>
      </c>
      <c r="X172" s="229">
        <v>9.4000000000000004E-3</v>
      </c>
      <c r="Y172" s="228">
        <v>0.8</v>
      </c>
      <c r="Z172" s="228">
        <v>0.55000000000000004</v>
      </c>
      <c r="AA172" s="228">
        <v>0.25</v>
      </c>
      <c r="AB172" s="229">
        <v>2.3999999999999998E-3</v>
      </c>
      <c r="AC172" s="228">
        <v>0.8</v>
      </c>
      <c r="AD172" s="228">
        <v>0.55000000000000004</v>
      </c>
      <c r="AE172" s="228">
        <v>0.25</v>
      </c>
      <c r="AF172" s="229">
        <v>2.3999999999999998E-3</v>
      </c>
      <c r="AG172" s="228">
        <v>2.95</v>
      </c>
      <c r="AH172" s="228">
        <v>2.5499999999999998</v>
      </c>
      <c r="AI172" s="228">
        <v>0.4</v>
      </c>
      <c r="AJ172" s="229">
        <v>8.8000000000000005E-3</v>
      </c>
      <c r="AK172" s="228">
        <v>2.0499999999999998</v>
      </c>
      <c r="AL172" s="228">
        <v>1.95</v>
      </c>
      <c r="AM172" s="228">
        <v>0.1</v>
      </c>
      <c r="AN172" s="229">
        <v>6.1000000000000004E-3</v>
      </c>
      <c r="AO172" s="228">
        <v>335.85</v>
      </c>
      <c r="AP172" s="228">
        <v>337.81</v>
      </c>
      <c r="AQ172" s="228">
        <v>0</v>
      </c>
      <c r="AR172" s="230">
        <v>7868025</v>
      </c>
      <c r="AS172" s="230">
        <v>7016325</v>
      </c>
      <c r="AT172" s="230">
        <v>851700</v>
      </c>
      <c r="AU172" s="229">
        <v>0.12139999999999999</v>
      </c>
      <c r="AV172" s="230">
        <v>5677575</v>
      </c>
      <c r="AW172" s="230">
        <v>5119125</v>
      </c>
      <c r="AX172" s="230">
        <v>558450</v>
      </c>
      <c r="AY172" s="229">
        <v>0.1091</v>
      </c>
      <c r="AZ172" s="230">
        <v>1898475</v>
      </c>
      <c r="BA172" s="230">
        <v>1467525</v>
      </c>
      <c r="BB172" s="230">
        <v>430950</v>
      </c>
      <c r="BC172" s="229">
        <v>0.29370000000000002</v>
      </c>
      <c r="BD172" s="230">
        <v>291975</v>
      </c>
      <c r="BE172" s="230">
        <v>429675</v>
      </c>
      <c r="BF172" s="230">
        <v>-137700</v>
      </c>
      <c r="BG172" s="229">
        <v>-0.32050000000000001</v>
      </c>
      <c r="BH172" s="230">
        <v>31765350</v>
      </c>
      <c r="BI172" s="230">
        <v>31229850</v>
      </c>
      <c r="BJ172" s="230">
        <v>535500</v>
      </c>
      <c r="BK172" s="229">
        <v>1.7100000000000001E-2</v>
      </c>
      <c r="BL172" s="230">
        <v>13275300</v>
      </c>
      <c r="BM172" s="230">
        <v>14155050</v>
      </c>
      <c r="BN172" s="230">
        <v>-879750</v>
      </c>
      <c r="BO172" s="229">
        <v>-6.2199999999999998E-2</v>
      </c>
      <c r="BP172" s="230">
        <v>52908675</v>
      </c>
      <c r="BQ172" s="230">
        <v>52401225</v>
      </c>
      <c r="BR172" s="230">
        <v>507450</v>
      </c>
      <c r="BS172" s="229">
        <v>9.7000000000000003E-3</v>
      </c>
      <c r="BT172" s="230">
        <v>7130988</v>
      </c>
      <c r="BU172" s="230">
        <v>4706395</v>
      </c>
      <c r="BV172" s="230">
        <v>2424593</v>
      </c>
      <c r="BW172" s="229">
        <v>0.51519999999999999</v>
      </c>
      <c r="BX172" s="230">
        <v>102591925</v>
      </c>
      <c r="BY172" s="230">
        <v>102975925</v>
      </c>
      <c r="BZ172" s="230">
        <v>-384000</v>
      </c>
      <c r="CA172" s="229">
        <v>-3.7000000000000002E-3</v>
      </c>
      <c r="CB172" s="230">
        <v>90778725</v>
      </c>
      <c r="CC172" s="230">
        <v>91931325</v>
      </c>
      <c r="CD172" s="230">
        <v>-1152600</v>
      </c>
      <c r="CE172" s="229">
        <v>-1.2500000000000001E-2</v>
      </c>
      <c r="CF172" s="230">
        <v>9851800</v>
      </c>
      <c r="CG172" s="230">
        <v>9163000</v>
      </c>
      <c r="CH172" s="230">
        <v>688800</v>
      </c>
      <c r="CI172" s="229">
        <v>7.5200000000000003E-2</v>
      </c>
      <c r="CJ172" s="230">
        <v>1961400</v>
      </c>
      <c r="CK172" s="230">
        <v>1881600</v>
      </c>
      <c r="CL172" s="230">
        <v>79800</v>
      </c>
      <c r="CM172" s="229">
        <v>4.24E-2</v>
      </c>
      <c r="CN172" s="230">
        <v>49555900</v>
      </c>
      <c r="CO172" s="230">
        <v>50973275</v>
      </c>
      <c r="CP172" s="230">
        <v>-1417375</v>
      </c>
      <c r="CQ172" s="229">
        <v>-2.7799999999999998E-2</v>
      </c>
      <c r="CR172" s="230">
        <v>31102875</v>
      </c>
      <c r="CS172" s="230">
        <v>31080275</v>
      </c>
      <c r="CT172" s="230">
        <v>22600</v>
      </c>
      <c r="CU172" s="229">
        <v>6.9999999999999999E-4</v>
      </c>
      <c r="CV172" s="230">
        <v>183250700</v>
      </c>
      <c r="CW172" s="230">
        <v>185029475</v>
      </c>
      <c r="CX172" s="230">
        <v>-1778775</v>
      </c>
      <c r="CY172" s="229">
        <v>-9.5999999999999992E-3</v>
      </c>
      <c r="CZ172" s="228">
        <v>21.19</v>
      </c>
      <c r="DA172" s="228">
        <v>22.9</v>
      </c>
      <c r="DB172" s="228">
        <v>-1.71</v>
      </c>
      <c r="DC172" s="228">
        <v>-1.71</v>
      </c>
      <c r="DD172" s="228">
        <v>42</v>
      </c>
      <c r="DE172" s="228">
        <v>42.08</v>
      </c>
      <c r="DF172" s="228">
        <v>-20.81</v>
      </c>
      <c r="DG172" s="228">
        <v>-0.08</v>
      </c>
      <c r="DH172" s="228">
        <v>21.05</v>
      </c>
      <c r="DI172" s="228">
        <v>23.32</v>
      </c>
      <c r="DJ172" s="228">
        <v>-2.27</v>
      </c>
      <c r="DK172" s="228">
        <v>-2.27</v>
      </c>
      <c r="DL172" s="228">
        <v>21.51</v>
      </c>
      <c r="DM172" s="228">
        <v>21.95</v>
      </c>
      <c r="DN172" s="228">
        <v>-0.44</v>
      </c>
      <c r="DO172" s="228">
        <v>-0.44</v>
      </c>
      <c r="DP172" s="228">
        <v>0.63</v>
      </c>
      <c r="DQ172" s="228">
        <v>0.61</v>
      </c>
      <c r="DR172" s="228">
        <v>0.02</v>
      </c>
      <c r="DS172" s="229">
        <v>3.2800000000000003E-2</v>
      </c>
      <c r="DT172" s="228">
        <v>360</v>
      </c>
      <c r="DU172" s="228">
        <v>360</v>
      </c>
      <c r="DV172" s="228">
        <v>0.42</v>
      </c>
      <c r="DW172" s="228">
        <v>0.45</v>
      </c>
      <c r="DX172" s="228">
        <v>-0.03</v>
      </c>
      <c r="DY172" s="229">
        <v>-6.6699999999999995E-2</v>
      </c>
      <c r="DZ172" s="229">
        <v>0.11509999999999999</v>
      </c>
      <c r="EA172" s="230">
        <v>11044600</v>
      </c>
      <c r="EB172" s="229">
        <v>6.4000000000000003E-3</v>
      </c>
      <c r="EC172" s="229">
        <v>0.11509999999999999</v>
      </c>
      <c r="ED172" s="228">
        <v>1.96</v>
      </c>
      <c r="EE172" s="229">
        <v>5.7999999999999996E-3</v>
      </c>
      <c r="EF172" s="230">
        <v>3646506</v>
      </c>
      <c r="EG172" s="230">
        <v>2456635</v>
      </c>
      <c r="EH172" s="229">
        <v>0.48430000000000001</v>
      </c>
      <c r="EI172" s="229">
        <v>0.51139999999999997</v>
      </c>
      <c r="EJ172" s="231">
        <v>111835.13</v>
      </c>
      <c r="EK172" s="231">
        <v>45067.4</v>
      </c>
      <c r="EL172" s="231">
        <v>27188.68</v>
      </c>
      <c r="EM172" s="231">
        <v>6274</v>
      </c>
      <c r="EN172" s="231">
        <v>184091.21</v>
      </c>
      <c r="EO172" s="231">
        <v>184138.7</v>
      </c>
      <c r="EP172" s="228">
        <v>-47.49</v>
      </c>
      <c r="EQ172" s="229">
        <v>-2.9999999999999997E-4</v>
      </c>
      <c r="ER172" s="231">
        <v>181965</v>
      </c>
      <c r="ES172" s="231">
        <v>109826</v>
      </c>
      <c r="ET172" s="231">
        <v>346792</v>
      </c>
      <c r="EU172" s="231">
        <v>187084550</v>
      </c>
      <c r="EV172" s="231">
        <v>638583</v>
      </c>
      <c r="EW172" s="231">
        <v>641493</v>
      </c>
      <c r="EX172" s="231">
        <v>-2910</v>
      </c>
      <c r="EY172" s="229">
        <v>-4.4999999999999997E-3</v>
      </c>
      <c r="EZ172" s="229">
        <v>0.97950000000000004</v>
      </c>
      <c r="FA172" s="227" t="s">
        <v>556</v>
      </c>
      <c r="FB172" s="161">
        <f t="shared" si="4"/>
        <v>0</v>
      </c>
    </row>
    <row r="173" spans="1:158" ht="17.25" thickBot="1" x14ac:dyDescent="0.3">
      <c r="A173" s="226">
        <v>46009</v>
      </c>
      <c r="B173" s="227" t="s">
        <v>193</v>
      </c>
      <c r="C173" s="227" t="s">
        <v>281</v>
      </c>
      <c r="D173" s="228">
        <v>500</v>
      </c>
      <c r="E173" s="231">
        <v>1548.1</v>
      </c>
      <c r="F173" s="231">
        <v>1548.8</v>
      </c>
      <c r="G173" s="228">
        <v>-0.7</v>
      </c>
      <c r="H173" s="229">
        <v>-5.0000000000000001E-4</v>
      </c>
      <c r="I173" s="231">
        <v>1544.4</v>
      </c>
      <c r="J173" s="231">
        <v>1544.4</v>
      </c>
      <c r="K173" s="228">
        <v>0</v>
      </c>
      <c r="L173" s="229">
        <v>0</v>
      </c>
      <c r="M173" s="231">
        <v>1548.1</v>
      </c>
      <c r="N173" s="231">
        <v>1548.8</v>
      </c>
      <c r="O173" s="228">
        <v>-0.7</v>
      </c>
      <c r="P173" s="229">
        <v>-5.0000000000000001E-4</v>
      </c>
      <c r="Q173" s="231">
        <v>1558.2</v>
      </c>
      <c r="R173" s="231">
        <v>1558.5</v>
      </c>
      <c r="S173" s="228">
        <v>-0.3</v>
      </c>
      <c r="T173" s="229">
        <v>-2.0000000000000001E-4</v>
      </c>
      <c r="U173" s="231">
        <v>1567.6</v>
      </c>
      <c r="V173" s="231">
        <v>1566.4</v>
      </c>
      <c r="W173" s="228">
        <v>1.2</v>
      </c>
      <c r="X173" s="229">
        <v>8.0000000000000004E-4</v>
      </c>
      <c r="Y173" s="228">
        <v>3.7</v>
      </c>
      <c r="Z173" s="228">
        <v>4.4000000000000004</v>
      </c>
      <c r="AA173" s="228">
        <v>-0.7</v>
      </c>
      <c r="AB173" s="229">
        <v>2.3999999999999998E-3</v>
      </c>
      <c r="AC173" s="228">
        <v>3.7</v>
      </c>
      <c r="AD173" s="228">
        <v>4.4000000000000004</v>
      </c>
      <c r="AE173" s="228">
        <v>-0.7</v>
      </c>
      <c r="AF173" s="229">
        <v>2.3999999999999998E-3</v>
      </c>
      <c r="AG173" s="228">
        <v>13.8</v>
      </c>
      <c r="AH173" s="228">
        <v>14.1</v>
      </c>
      <c r="AI173" s="228">
        <v>-0.3</v>
      </c>
      <c r="AJ173" s="229">
        <v>8.8999999999999999E-3</v>
      </c>
      <c r="AK173" s="228">
        <v>23.2</v>
      </c>
      <c r="AL173" s="228">
        <v>22</v>
      </c>
      <c r="AM173" s="228">
        <v>1.2</v>
      </c>
      <c r="AN173" s="229">
        <v>1.4999999999999999E-2</v>
      </c>
      <c r="AO173" s="231">
        <v>1548.65</v>
      </c>
      <c r="AP173" s="231">
        <v>1558.71</v>
      </c>
      <c r="AQ173" s="228">
        <v>0</v>
      </c>
      <c r="AR173" s="230">
        <v>14943000</v>
      </c>
      <c r="AS173" s="230">
        <v>7563500</v>
      </c>
      <c r="AT173" s="230">
        <v>7379500</v>
      </c>
      <c r="AU173" s="229">
        <v>0.97570000000000001</v>
      </c>
      <c r="AV173" s="230">
        <v>9372500</v>
      </c>
      <c r="AW173" s="230">
        <v>5677000</v>
      </c>
      <c r="AX173" s="230">
        <v>3695500</v>
      </c>
      <c r="AY173" s="229">
        <v>0.65100000000000002</v>
      </c>
      <c r="AZ173" s="230">
        <v>5440500</v>
      </c>
      <c r="BA173" s="230">
        <v>1810000</v>
      </c>
      <c r="BB173" s="230">
        <v>3630500</v>
      </c>
      <c r="BC173" s="229">
        <v>2.0057999999999998</v>
      </c>
      <c r="BD173" s="230">
        <v>130000</v>
      </c>
      <c r="BE173" s="230">
        <v>76500</v>
      </c>
      <c r="BF173" s="230">
        <v>53500</v>
      </c>
      <c r="BG173" s="229">
        <v>0.69930000000000003</v>
      </c>
      <c r="BH173" s="230">
        <v>41597500</v>
      </c>
      <c r="BI173" s="230">
        <v>33318000</v>
      </c>
      <c r="BJ173" s="230">
        <v>8279500</v>
      </c>
      <c r="BK173" s="229">
        <v>0.2485</v>
      </c>
      <c r="BL173" s="230">
        <v>24238500</v>
      </c>
      <c r="BM173" s="230">
        <v>20220000</v>
      </c>
      <c r="BN173" s="230">
        <v>4018500</v>
      </c>
      <c r="BO173" s="229">
        <v>0.19869999999999999</v>
      </c>
      <c r="BP173" s="230">
        <v>80779000</v>
      </c>
      <c r="BQ173" s="230">
        <v>61101500</v>
      </c>
      <c r="BR173" s="230">
        <v>19677500</v>
      </c>
      <c r="BS173" s="229">
        <v>0.32200000000000001</v>
      </c>
      <c r="BT173" s="230">
        <v>7598996</v>
      </c>
      <c r="BU173" s="230">
        <v>7357454</v>
      </c>
      <c r="BV173" s="230">
        <v>241542</v>
      </c>
      <c r="BW173" s="229">
        <v>3.2800000000000003E-2</v>
      </c>
      <c r="BX173" s="230">
        <v>99818000</v>
      </c>
      <c r="BY173" s="230">
        <v>99199000</v>
      </c>
      <c r="BZ173" s="230">
        <v>619000</v>
      </c>
      <c r="CA173" s="229">
        <v>6.1999999999999998E-3</v>
      </c>
      <c r="CB173" s="230">
        <v>83377000</v>
      </c>
      <c r="CC173" s="230">
        <v>87623000</v>
      </c>
      <c r="CD173" s="230">
        <v>-4246000</v>
      </c>
      <c r="CE173" s="229">
        <v>-4.8500000000000001E-2</v>
      </c>
      <c r="CF173" s="230">
        <v>15379500</v>
      </c>
      <c r="CG173" s="230">
        <v>10574500</v>
      </c>
      <c r="CH173" s="230">
        <v>4805000</v>
      </c>
      <c r="CI173" s="229">
        <v>0.45440000000000003</v>
      </c>
      <c r="CJ173" s="230">
        <v>1061500</v>
      </c>
      <c r="CK173" s="230">
        <v>1001500</v>
      </c>
      <c r="CL173" s="230">
        <v>60000</v>
      </c>
      <c r="CM173" s="229">
        <v>5.9900000000000002E-2</v>
      </c>
      <c r="CN173" s="230">
        <v>51209000</v>
      </c>
      <c r="CO173" s="230">
        <v>51853000</v>
      </c>
      <c r="CP173" s="230">
        <v>-644000</v>
      </c>
      <c r="CQ173" s="229">
        <v>-1.24E-2</v>
      </c>
      <c r="CR173" s="230">
        <v>27237500</v>
      </c>
      <c r="CS173" s="230">
        <v>27538500</v>
      </c>
      <c r="CT173" s="230">
        <v>-301000</v>
      </c>
      <c r="CU173" s="229">
        <v>-1.09E-2</v>
      </c>
      <c r="CV173" s="230">
        <v>178264500</v>
      </c>
      <c r="CW173" s="230">
        <v>178590500</v>
      </c>
      <c r="CX173" s="230">
        <v>-326000</v>
      </c>
      <c r="CY173" s="229">
        <v>-1.8E-3</v>
      </c>
      <c r="CZ173" s="228">
        <v>14.65</v>
      </c>
      <c r="DA173" s="228">
        <v>15.29</v>
      </c>
      <c r="DB173" s="228">
        <v>-0.64</v>
      </c>
      <c r="DC173" s="228">
        <v>-0.64</v>
      </c>
      <c r="DD173" s="228">
        <v>23.28</v>
      </c>
      <c r="DE173" s="228">
        <v>23.34</v>
      </c>
      <c r="DF173" s="228">
        <v>-8.6300000000000008</v>
      </c>
      <c r="DG173" s="228">
        <v>-0.06</v>
      </c>
      <c r="DH173" s="228">
        <v>14.39</v>
      </c>
      <c r="DI173" s="228">
        <v>15.01</v>
      </c>
      <c r="DJ173" s="228">
        <v>-0.62</v>
      </c>
      <c r="DK173" s="228">
        <v>-0.62</v>
      </c>
      <c r="DL173" s="228">
        <v>15.1</v>
      </c>
      <c r="DM173" s="228">
        <v>15.74</v>
      </c>
      <c r="DN173" s="228">
        <v>-0.64</v>
      </c>
      <c r="DO173" s="228">
        <v>-0.64</v>
      </c>
      <c r="DP173" s="228">
        <v>0.53</v>
      </c>
      <c r="DQ173" s="228">
        <v>0.53</v>
      </c>
      <c r="DR173" s="228">
        <v>0</v>
      </c>
      <c r="DS173" s="229">
        <v>0</v>
      </c>
      <c r="DT173" s="231">
        <v>1600</v>
      </c>
      <c r="DU173" s="231">
        <v>1500</v>
      </c>
      <c r="DV173" s="228">
        <v>0.57999999999999996</v>
      </c>
      <c r="DW173" s="228">
        <v>0.61</v>
      </c>
      <c r="DX173" s="228">
        <v>-0.03</v>
      </c>
      <c r="DY173" s="229">
        <v>-4.9200000000000001E-2</v>
      </c>
      <c r="DZ173" s="229">
        <v>0.16470000000000001</v>
      </c>
      <c r="EA173" s="230">
        <v>11576000</v>
      </c>
      <c r="EB173" s="229">
        <v>6.4999999999999997E-3</v>
      </c>
      <c r="EC173" s="229">
        <v>0.16470000000000001</v>
      </c>
      <c r="ED173" s="228">
        <v>10.06</v>
      </c>
      <c r="EE173" s="229">
        <v>6.4999999999999997E-3</v>
      </c>
      <c r="EF173" s="230">
        <v>3388321</v>
      </c>
      <c r="EG173" s="230">
        <v>3907222</v>
      </c>
      <c r="EH173" s="229">
        <v>-0.1328</v>
      </c>
      <c r="EI173" s="229">
        <v>0.44590000000000002</v>
      </c>
      <c r="EJ173" s="231">
        <v>658619.09</v>
      </c>
      <c r="EK173" s="231">
        <v>372466.71</v>
      </c>
      <c r="EL173" s="231">
        <v>231986.3</v>
      </c>
      <c r="EM173" s="231">
        <v>16299</v>
      </c>
      <c r="EN173" s="231">
        <v>1263072.1000000001</v>
      </c>
      <c r="EO173" s="231">
        <v>955478.68</v>
      </c>
      <c r="EP173" s="231">
        <v>307593.42</v>
      </c>
      <c r="EQ173" s="229">
        <v>0.32190000000000002</v>
      </c>
      <c r="ER173" s="231">
        <v>807609</v>
      </c>
      <c r="ES173" s="231">
        <v>410912</v>
      </c>
      <c r="ET173" s="231">
        <v>1547043</v>
      </c>
      <c r="EU173" s="231">
        <v>662701060</v>
      </c>
      <c r="EV173" s="231">
        <v>2765564</v>
      </c>
      <c r="EW173" s="231">
        <v>2771252</v>
      </c>
      <c r="EX173" s="231">
        <v>-5688</v>
      </c>
      <c r="EY173" s="229">
        <v>-2.0999999999999999E-3</v>
      </c>
      <c r="EZ173" s="229">
        <v>0.26900000000000002</v>
      </c>
      <c r="FA173" s="227" t="s">
        <v>567</v>
      </c>
      <c r="FB173" s="161">
        <f t="shared" si="4"/>
        <v>0</v>
      </c>
    </row>
    <row r="174" spans="1:158" ht="17.25" thickBot="1" x14ac:dyDescent="0.3">
      <c r="A174" s="226">
        <v>46009</v>
      </c>
      <c r="B174" s="227" t="s">
        <v>215</v>
      </c>
      <c r="C174" s="227" t="s">
        <v>676</v>
      </c>
      <c r="D174" s="228">
        <v>1375</v>
      </c>
      <c r="E174" s="228">
        <v>304.60000000000002</v>
      </c>
      <c r="F174" s="228">
        <v>305.39999999999998</v>
      </c>
      <c r="G174" s="228">
        <v>-0.8</v>
      </c>
      <c r="H174" s="229">
        <v>-2.5999999999999999E-3</v>
      </c>
      <c r="I174" s="228">
        <v>305.95</v>
      </c>
      <c r="J174" s="228">
        <v>307.25</v>
      </c>
      <c r="K174" s="228">
        <v>-1.3</v>
      </c>
      <c r="L174" s="229">
        <v>-4.1999999999999997E-3</v>
      </c>
      <c r="M174" s="228">
        <v>304.60000000000002</v>
      </c>
      <c r="N174" s="228">
        <v>305.39999999999998</v>
      </c>
      <c r="O174" s="228">
        <v>-0.8</v>
      </c>
      <c r="P174" s="229">
        <v>-2.5999999999999999E-3</v>
      </c>
      <c r="Q174" s="228">
        <v>299.3</v>
      </c>
      <c r="R174" s="228">
        <v>299.95</v>
      </c>
      <c r="S174" s="228">
        <v>-0.65</v>
      </c>
      <c r="T174" s="229">
        <v>-2.2000000000000001E-3</v>
      </c>
      <c r="U174" s="228">
        <v>294.85000000000002</v>
      </c>
      <c r="V174" s="228">
        <v>295.2</v>
      </c>
      <c r="W174" s="228">
        <v>-0.35</v>
      </c>
      <c r="X174" s="229">
        <v>-1.1999999999999999E-3</v>
      </c>
      <c r="Y174" s="228">
        <v>-1.35</v>
      </c>
      <c r="Z174" s="228">
        <v>-1.85</v>
      </c>
      <c r="AA174" s="228">
        <v>0.5</v>
      </c>
      <c r="AB174" s="229">
        <v>-4.4000000000000003E-3</v>
      </c>
      <c r="AC174" s="228">
        <v>-1.35</v>
      </c>
      <c r="AD174" s="228">
        <v>-1.85</v>
      </c>
      <c r="AE174" s="228">
        <v>0.5</v>
      </c>
      <c r="AF174" s="229">
        <v>-4.4000000000000003E-3</v>
      </c>
      <c r="AG174" s="228">
        <v>-6.65</v>
      </c>
      <c r="AH174" s="228">
        <v>-7.3</v>
      </c>
      <c r="AI174" s="228">
        <v>0.65</v>
      </c>
      <c r="AJ174" s="229">
        <v>-2.1700000000000001E-2</v>
      </c>
      <c r="AK174" s="228">
        <v>-11.1</v>
      </c>
      <c r="AL174" s="228">
        <v>-12.05</v>
      </c>
      <c r="AM174" s="228">
        <v>0.95</v>
      </c>
      <c r="AN174" s="229">
        <v>-3.6299999999999999E-2</v>
      </c>
      <c r="AO174" s="228">
        <v>303.64999999999998</v>
      </c>
      <c r="AP174" s="228">
        <v>297.93</v>
      </c>
      <c r="AQ174" s="228">
        <v>0</v>
      </c>
      <c r="AR174" s="230">
        <v>4430250</v>
      </c>
      <c r="AS174" s="230">
        <v>4434375</v>
      </c>
      <c r="AT174" s="230">
        <v>-4125</v>
      </c>
      <c r="AU174" s="229">
        <v>-8.9999999999999998E-4</v>
      </c>
      <c r="AV174" s="230">
        <v>2917750</v>
      </c>
      <c r="AW174" s="230">
        <v>2832500</v>
      </c>
      <c r="AX174" s="230">
        <v>85250</v>
      </c>
      <c r="AY174" s="229">
        <v>3.0099999999999998E-2</v>
      </c>
      <c r="AZ174" s="230">
        <v>1343375</v>
      </c>
      <c r="BA174" s="230">
        <v>1441000</v>
      </c>
      <c r="BB174" s="230">
        <v>-97625</v>
      </c>
      <c r="BC174" s="229">
        <v>-6.7699999999999996E-2</v>
      </c>
      <c r="BD174" s="230">
        <v>169125</v>
      </c>
      <c r="BE174" s="230">
        <v>160875</v>
      </c>
      <c r="BF174" s="230">
        <v>8250</v>
      </c>
      <c r="BG174" s="229">
        <v>5.1299999999999998E-2</v>
      </c>
      <c r="BH174" s="230">
        <v>9270250</v>
      </c>
      <c r="BI174" s="230">
        <v>9099750</v>
      </c>
      <c r="BJ174" s="230">
        <v>170500</v>
      </c>
      <c r="BK174" s="229">
        <v>1.8700000000000001E-2</v>
      </c>
      <c r="BL174" s="230">
        <v>2530000</v>
      </c>
      <c r="BM174" s="230">
        <v>1988250</v>
      </c>
      <c r="BN174" s="230">
        <v>541750</v>
      </c>
      <c r="BO174" s="229">
        <v>0.27250000000000002</v>
      </c>
      <c r="BP174" s="230">
        <v>16230500</v>
      </c>
      <c r="BQ174" s="230">
        <v>15522375</v>
      </c>
      <c r="BR174" s="230">
        <v>708125</v>
      </c>
      <c r="BS174" s="229">
        <v>4.5600000000000002E-2</v>
      </c>
      <c r="BT174" s="230">
        <v>2313584</v>
      </c>
      <c r="BU174" s="230">
        <v>2155109</v>
      </c>
      <c r="BV174" s="230">
        <v>158475</v>
      </c>
      <c r="BW174" s="229">
        <v>7.3499999999999996E-2</v>
      </c>
      <c r="BX174" s="230">
        <v>48846950</v>
      </c>
      <c r="BY174" s="230">
        <v>48076325</v>
      </c>
      <c r="BZ174" s="230">
        <v>770625</v>
      </c>
      <c r="CA174" s="229">
        <v>1.6E-2</v>
      </c>
      <c r="CB174" s="230">
        <v>39074750</v>
      </c>
      <c r="CC174" s="230">
        <v>39051375</v>
      </c>
      <c r="CD174" s="230">
        <v>23375</v>
      </c>
      <c r="CE174" s="229">
        <v>5.9999999999999995E-4</v>
      </c>
      <c r="CF174" s="230">
        <v>8668100</v>
      </c>
      <c r="CG174" s="230">
        <v>8000150</v>
      </c>
      <c r="CH174" s="230">
        <v>667950</v>
      </c>
      <c r="CI174" s="229">
        <v>8.3500000000000005E-2</v>
      </c>
      <c r="CJ174" s="230">
        <v>1104100</v>
      </c>
      <c r="CK174" s="230">
        <v>1024800</v>
      </c>
      <c r="CL174" s="230">
        <v>79300</v>
      </c>
      <c r="CM174" s="229">
        <v>7.7399999999999997E-2</v>
      </c>
      <c r="CN174" s="230">
        <v>21595750</v>
      </c>
      <c r="CO174" s="230">
        <v>21544725</v>
      </c>
      <c r="CP174" s="230">
        <v>51025</v>
      </c>
      <c r="CQ174" s="229">
        <v>2.3999999999999998E-3</v>
      </c>
      <c r="CR174" s="230">
        <v>9832150</v>
      </c>
      <c r="CS174" s="230">
        <v>9829150</v>
      </c>
      <c r="CT174" s="230">
        <v>3000</v>
      </c>
      <c r="CU174" s="229">
        <v>2.9999999999999997E-4</v>
      </c>
      <c r="CV174" s="230">
        <v>80274850</v>
      </c>
      <c r="CW174" s="230">
        <v>79450200</v>
      </c>
      <c r="CX174" s="230">
        <v>824650</v>
      </c>
      <c r="CY174" s="229">
        <v>1.04E-2</v>
      </c>
      <c r="CZ174" s="228">
        <v>30.68</v>
      </c>
      <c r="DA174" s="228">
        <v>30.68</v>
      </c>
      <c r="DB174" s="228">
        <v>0</v>
      </c>
      <c r="DC174" s="228">
        <v>0</v>
      </c>
      <c r="DD174" s="228">
        <v>53.84</v>
      </c>
      <c r="DE174" s="228">
        <v>53.97</v>
      </c>
      <c r="DF174" s="228">
        <v>-23.16</v>
      </c>
      <c r="DG174" s="228">
        <v>-0.13</v>
      </c>
      <c r="DH174" s="228">
        <v>31.16</v>
      </c>
      <c r="DI174" s="228">
        <v>31.25</v>
      </c>
      <c r="DJ174" s="228">
        <v>-0.09</v>
      </c>
      <c r="DK174" s="228">
        <v>-0.09</v>
      </c>
      <c r="DL174" s="228">
        <v>28.94</v>
      </c>
      <c r="DM174" s="228">
        <v>28.08</v>
      </c>
      <c r="DN174" s="228">
        <v>0.86</v>
      </c>
      <c r="DO174" s="228">
        <v>0.86</v>
      </c>
      <c r="DP174" s="228">
        <v>0.46</v>
      </c>
      <c r="DQ174" s="228">
        <v>0.46</v>
      </c>
      <c r="DR174" s="228">
        <v>0</v>
      </c>
      <c r="DS174" s="229">
        <v>0</v>
      </c>
      <c r="DT174" s="228">
        <v>330</v>
      </c>
      <c r="DU174" s="228">
        <v>290</v>
      </c>
      <c r="DV174" s="228">
        <v>0.27</v>
      </c>
      <c r="DW174" s="228">
        <v>0.22</v>
      </c>
      <c r="DX174" s="228">
        <v>0.05</v>
      </c>
      <c r="DY174" s="229">
        <v>0.2273</v>
      </c>
      <c r="DZ174" s="229">
        <v>0.2001</v>
      </c>
      <c r="EA174" s="230">
        <v>9024950</v>
      </c>
      <c r="EB174" s="229">
        <v>-1.7399999999999999E-2</v>
      </c>
      <c r="EC174" s="229">
        <v>0.2001</v>
      </c>
      <c r="ED174" s="228">
        <v>-5.72</v>
      </c>
      <c r="EE174" s="229">
        <v>-1.8800000000000001E-2</v>
      </c>
      <c r="EF174" s="230">
        <v>747266</v>
      </c>
      <c r="EG174" s="230">
        <v>830614</v>
      </c>
      <c r="EH174" s="229">
        <v>-0.1003</v>
      </c>
      <c r="EI174" s="229">
        <v>0.32300000000000001</v>
      </c>
      <c r="EJ174" s="231">
        <v>30268.52</v>
      </c>
      <c r="EK174" s="231">
        <v>7759.88</v>
      </c>
      <c r="EL174" s="231">
        <v>13849.18</v>
      </c>
      <c r="EM174" s="231">
        <v>2911</v>
      </c>
      <c r="EN174" s="231">
        <v>51877.58</v>
      </c>
      <c r="EO174" s="231">
        <v>50117.5</v>
      </c>
      <c r="EP174" s="231">
        <v>1760.08</v>
      </c>
      <c r="EQ174" s="229">
        <v>3.5099999999999999E-2</v>
      </c>
      <c r="ER174" s="231">
        <v>70841</v>
      </c>
      <c r="ES174" s="231">
        <v>29744</v>
      </c>
      <c r="ET174" s="231">
        <v>148221</v>
      </c>
      <c r="EU174" s="231">
        <v>84941460</v>
      </c>
      <c r="EV174" s="231">
        <v>248806</v>
      </c>
      <c r="EW174" s="231">
        <v>246857</v>
      </c>
      <c r="EX174" s="231">
        <v>1949</v>
      </c>
      <c r="EY174" s="229">
        <v>7.9000000000000008E-3</v>
      </c>
      <c r="EZ174" s="229">
        <v>0.94510000000000005</v>
      </c>
      <c r="FA174" s="227" t="s">
        <v>567</v>
      </c>
      <c r="FB174" s="161">
        <f t="shared" si="4"/>
        <v>0</v>
      </c>
    </row>
    <row r="175" spans="1:158" ht="17.25" thickBot="1" x14ac:dyDescent="0.3">
      <c r="A175" s="226">
        <v>46009</v>
      </c>
      <c r="B175" s="227" t="s">
        <v>227</v>
      </c>
      <c r="C175" s="227" t="s">
        <v>282</v>
      </c>
      <c r="D175" s="228">
        <v>4700</v>
      </c>
      <c r="E175" s="228">
        <v>127.26</v>
      </c>
      <c r="F175" s="228">
        <v>130.31</v>
      </c>
      <c r="G175" s="228">
        <v>-3.05</v>
      </c>
      <c r="H175" s="229">
        <v>-2.3400000000000001E-2</v>
      </c>
      <c r="I175" s="228">
        <v>127.27</v>
      </c>
      <c r="J175" s="228">
        <v>130.19999999999999</v>
      </c>
      <c r="K175" s="228">
        <v>-2.93</v>
      </c>
      <c r="L175" s="229">
        <v>-2.2499999999999999E-2</v>
      </c>
      <c r="M175" s="228">
        <v>127.26</v>
      </c>
      <c r="N175" s="228">
        <v>130.31</v>
      </c>
      <c r="O175" s="228">
        <v>-3.05</v>
      </c>
      <c r="P175" s="229">
        <v>-2.3400000000000001E-2</v>
      </c>
      <c r="Q175" s="228">
        <v>128.05000000000001</v>
      </c>
      <c r="R175" s="228">
        <v>131.13999999999999</v>
      </c>
      <c r="S175" s="228">
        <v>-3.09</v>
      </c>
      <c r="T175" s="229">
        <v>-2.3599999999999999E-2</v>
      </c>
      <c r="U175" s="228">
        <v>128.56</v>
      </c>
      <c r="V175" s="228">
        <v>131.72999999999999</v>
      </c>
      <c r="W175" s="228">
        <v>-3.17</v>
      </c>
      <c r="X175" s="229">
        <v>-2.41E-2</v>
      </c>
      <c r="Y175" s="228">
        <v>-0.01</v>
      </c>
      <c r="Z175" s="228">
        <v>0.11</v>
      </c>
      <c r="AA175" s="228">
        <v>-0.12</v>
      </c>
      <c r="AB175" s="229">
        <v>-1E-4</v>
      </c>
      <c r="AC175" s="228">
        <v>-0.01</v>
      </c>
      <c r="AD175" s="228">
        <v>0.11</v>
      </c>
      <c r="AE175" s="228">
        <v>-0.12</v>
      </c>
      <c r="AF175" s="229">
        <v>-1E-4</v>
      </c>
      <c r="AG175" s="228">
        <v>0.78</v>
      </c>
      <c r="AH175" s="228">
        <v>0.94</v>
      </c>
      <c r="AI175" s="228">
        <v>-0.16</v>
      </c>
      <c r="AJ175" s="229">
        <v>6.1000000000000004E-3</v>
      </c>
      <c r="AK175" s="228">
        <v>1.29</v>
      </c>
      <c r="AL175" s="228">
        <v>1.53</v>
      </c>
      <c r="AM175" s="228">
        <v>-0.24</v>
      </c>
      <c r="AN175" s="229">
        <v>1.01E-2</v>
      </c>
      <c r="AO175" s="228">
        <v>128.51</v>
      </c>
      <c r="AP175" s="228">
        <v>129.37</v>
      </c>
      <c r="AQ175" s="228">
        <v>0</v>
      </c>
      <c r="AR175" s="230">
        <v>23373100</v>
      </c>
      <c r="AS175" s="230">
        <v>14245700</v>
      </c>
      <c r="AT175" s="230">
        <v>9127400</v>
      </c>
      <c r="AU175" s="229">
        <v>0.64070000000000005</v>
      </c>
      <c r="AV175" s="230">
        <v>19105500</v>
      </c>
      <c r="AW175" s="230">
        <v>11073200</v>
      </c>
      <c r="AX175" s="230">
        <v>8032300</v>
      </c>
      <c r="AY175" s="229">
        <v>0.72540000000000004</v>
      </c>
      <c r="AZ175" s="230">
        <v>3722400</v>
      </c>
      <c r="BA175" s="230">
        <v>2603800</v>
      </c>
      <c r="BB175" s="230">
        <v>1118600</v>
      </c>
      <c r="BC175" s="229">
        <v>0.42959999999999998</v>
      </c>
      <c r="BD175" s="230">
        <v>545200</v>
      </c>
      <c r="BE175" s="230">
        <v>568700</v>
      </c>
      <c r="BF175" s="230">
        <v>-23500</v>
      </c>
      <c r="BG175" s="229">
        <v>-4.1300000000000003E-2</v>
      </c>
      <c r="BH175" s="230">
        <v>44889700</v>
      </c>
      <c r="BI175" s="230">
        <v>21695200</v>
      </c>
      <c r="BJ175" s="230">
        <v>23194500</v>
      </c>
      <c r="BK175" s="229">
        <v>1.0690999999999999</v>
      </c>
      <c r="BL175" s="230">
        <v>21027800</v>
      </c>
      <c r="BM175" s="230">
        <v>6688100</v>
      </c>
      <c r="BN175" s="230">
        <v>14339700</v>
      </c>
      <c r="BO175" s="229">
        <v>2.1440999999999999</v>
      </c>
      <c r="BP175" s="230">
        <v>89290600</v>
      </c>
      <c r="BQ175" s="230">
        <v>42629000</v>
      </c>
      <c r="BR175" s="230">
        <v>46661600</v>
      </c>
      <c r="BS175" s="229">
        <v>1.0946</v>
      </c>
      <c r="BT175" s="230">
        <v>13093776</v>
      </c>
      <c r="BU175" s="230">
        <v>8790384</v>
      </c>
      <c r="BV175" s="230">
        <v>4303392</v>
      </c>
      <c r="BW175" s="229">
        <v>0.48959999999999998</v>
      </c>
      <c r="BX175" s="230">
        <v>177692900</v>
      </c>
      <c r="BY175" s="230">
        <v>175822300</v>
      </c>
      <c r="BZ175" s="230">
        <v>1870600</v>
      </c>
      <c r="CA175" s="229">
        <v>1.06E-2</v>
      </c>
      <c r="CB175" s="230">
        <v>157069300</v>
      </c>
      <c r="CC175" s="230">
        <v>156580500</v>
      </c>
      <c r="CD175" s="230">
        <v>488800</v>
      </c>
      <c r="CE175" s="229">
        <v>3.0999999999999999E-3</v>
      </c>
      <c r="CF175" s="230">
        <v>16929400</v>
      </c>
      <c r="CG175" s="230">
        <v>15782600</v>
      </c>
      <c r="CH175" s="230">
        <v>1146800</v>
      </c>
      <c r="CI175" s="229">
        <v>7.2700000000000001E-2</v>
      </c>
      <c r="CJ175" s="230">
        <v>3694200</v>
      </c>
      <c r="CK175" s="230">
        <v>3459200</v>
      </c>
      <c r="CL175" s="230">
        <v>235000</v>
      </c>
      <c r="CM175" s="229">
        <v>6.7900000000000002E-2</v>
      </c>
      <c r="CN175" s="230">
        <v>56089800</v>
      </c>
      <c r="CO175" s="230">
        <v>52846800</v>
      </c>
      <c r="CP175" s="230">
        <v>3243000</v>
      </c>
      <c r="CQ175" s="229">
        <v>6.1400000000000003E-2</v>
      </c>
      <c r="CR175" s="230">
        <v>30841400</v>
      </c>
      <c r="CS175" s="230">
        <v>29812100</v>
      </c>
      <c r="CT175" s="230">
        <v>1029300</v>
      </c>
      <c r="CU175" s="229">
        <v>3.4500000000000003E-2</v>
      </c>
      <c r="CV175" s="230">
        <v>264624100</v>
      </c>
      <c r="CW175" s="230">
        <v>258481200</v>
      </c>
      <c r="CX175" s="230">
        <v>6142900</v>
      </c>
      <c r="CY175" s="229">
        <v>2.3800000000000002E-2</v>
      </c>
      <c r="CZ175" s="228">
        <v>29.54</v>
      </c>
      <c r="DA175" s="228">
        <v>28.21</v>
      </c>
      <c r="DB175" s="228">
        <v>1.33</v>
      </c>
      <c r="DC175" s="228">
        <v>1.33</v>
      </c>
      <c r="DD175" s="228">
        <v>43.36</v>
      </c>
      <c r="DE175" s="228">
        <v>43.35</v>
      </c>
      <c r="DF175" s="228">
        <v>-13.82</v>
      </c>
      <c r="DG175" s="228">
        <v>0.01</v>
      </c>
      <c r="DH175" s="228">
        <v>30.15</v>
      </c>
      <c r="DI175" s="228">
        <v>28.58</v>
      </c>
      <c r="DJ175" s="228">
        <v>1.57</v>
      </c>
      <c r="DK175" s="228">
        <v>1.57</v>
      </c>
      <c r="DL175" s="228">
        <v>28.23</v>
      </c>
      <c r="DM175" s="228">
        <v>27.03</v>
      </c>
      <c r="DN175" s="228">
        <v>1.2</v>
      </c>
      <c r="DO175" s="228">
        <v>1.2</v>
      </c>
      <c r="DP175" s="228">
        <v>0.55000000000000004</v>
      </c>
      <c r="DQ175" s="228">
        <v>0.56000000000000005</v>
      </c>
      <c r="DR175" s="228">
        <v>-0.01</v>
      </c>
      <c r="DS175" s="229">
        <v>-1.7899999999999999E-2</v>
      </c>
      <c r="DT175" s="228">
        <v>140</v>
      </c>
      <c r="DU175" s="228">
        <v>130</v>
      </c>
      <c r="DV175" s="228">
        <v>0.47</v>
      </c>
      <c r="DW175" s="228">
        <v>0.31</v>
      </c>
      <c r="DX175" s="228">
        <v>0.16</v>
      </c>
      <c r="DY175" s="229">
        <v>0.5161</v>
      </c>
      <c r="DZ175" s="229">
        <v>0.11609999999999999</v>
      </c>
      <c r="EA175" s="230">
        <v>19241800</v>
      </c>
      <c r="EB175" s="229">
        <v>6.1999999999999998E-3</v>
      </c>
      <c r="EC175" s="229">
        <v>0.11609999999999999</v>
      </c>
      <c r="ED175" s="228">
        <v>0.86</v>
      </c>
      <c r="EE175" s="229">
        <v>6.7000000000000002E-3</v>
      </c>
      <c r="EF175" s="230">
        <v>5117124</v>
      </c>
      <c r="EG175" s="230">
        <v>4118739</v>
      </c>
      <c r="EH175" s="229">
        <v>0.2424</v>
      </c>
      <c r="EI175" s="229">
        <v>0.39079999999999998</v>
      </c>
      <c r="EJ175" s="231">
        <v>60774.67</v>
      </c>
      <c r="EK175" s="231">
        <v>26881.29</v>
      </c>
      <c r="EL175" s="231">
        <v>30075.55</v>
      </c>
      <c r="EM175" s="231">
        <v>3908</v>
      </c>
      <c r="EN175" s="231">
        <v>117731.51</v>
      </c>
      <c r="EO175" s="231">
        <v>56869.64</v>
      </c>
      <c r="EP175" s="231">
        <v>60861.87</v>
      </c>
      <c r="EQ175" s="229">
        <v>1.0702</v>
      </c>
      <c r="ER175" s="231">
        <v>77663</v>
      </c>
      <c r="ES175" s="231">
        <v>39938</v>
      </c>
      <c r="ET175" s="231">
        <v>226314</v>
      </c>
      <c r="EU175" s="231">
        <v>216861410</v>
      </c>
      <c r="EV175" s="231">
        <v>343915</v>
      </c>
      <c r="EW175" s="231">
        <v>341713</v>
      </c>
      <c r="EX175" s="231">
        <v>2202</v>
      </c>
      <c r="EY175" s="229">
        <v>6.4000000000000003E-3</v>
      </c>
      <c r="EZ175" s="229">
        <v>1.2202</v>
      </c>
      <c r="FA175" s="227" t="s">
        <v>567</v>
      </c>
      <c r="FB175" s="161">
        <f t="shared" si="4"/>
        <v>0</v>
      </c>
    </row>
    <row r="176" spans="1:158" ht="17.25" thickBot="1" x14ac:dyDescent="0.3">
      <c r="A176" s="226">
        <v>46009</v>
      </c>
      <c r="B176" s="227" t="s">
        <v>175</v>
      </c>
      <c r="C176" s="227" t="s">
        <v>687</v>
      </c>
      <c r="D176" s="228">
        <v>4300</v>
      </c>
      <c r="E176" s="228">
        <v>144.03</v>
      </c>
      <c r="F176" s="228">
        <v>146.19</v>
      </c>
      <c r="G176" s="228">
        <v>-2.16</v>
      </c>
      <c r="H176" s="229">
        <v>-1.4800000000000001E-2</v>
      </c>
      <c r="I176" s="228">
        <v>143.47999999999999</v>
      </c>
      <c r="J176" s="228">
        <v>145.78</v>
      </c>
      <c r="K176" s="228">
        <v>-2.2999999999999998</v>
      </c>
      <c r="L176" s="229">
        <v>-1.5800000000000002E-2</v>
      </c>
      <c r="M176" s="228">
        <v>144.03</v>
      </c>
      <c r="N176" s="228">
        <v>146.19</v>
      </c>
      <c r="O176" s="228">
        <v>-2.16</v>
      </c>
      <c r="P176" s="229">
        <v>-1.4800000000000001E-2</v>
      </c>
      <c r="Q176" s="228">
        <v>144.68</v>
      </c>
      <c r="R176" s="228">
        <v>147.16999999999999</v>
      </c>
      <c r="S176" s="228">
        <v>-2.4900000000000002</v>
      </c>
      <c r="T176" s="229">
        <v>-1.6899999999999998E-2</v>
      </c>
      <c r="U176" s="228">
        <v>146.41999999999999</v>
      </c>
      <c r="V176" s="228">
        <v>147.65</v>
      </c>
      <c r="W176" s="228">
        <v>-1.23</v>
      </c>
      <c r="X176" s="229">
        <v>-8.3000000000000001E-3</v>
      </c>
      <c r="Y176" s="228">
        <v>0.55000000000000004</v>
      </c>
      <c r="Z176" s="228">
        <v>0.41</v>
      </c>
      <c r="AA176" s="228">
        <v>0.14000000000000001</v>
      </c>
      <c r="AB176" s="229">
        <v>3.8E-3</v>
      </c>
      <c r="AC176" s="228">
        <v>0.55000000000000004</v>
      </c>
      <c r="AD176" s="228">
        <v>0.41</v>
      </c>
      <c r="AE176" s="228">
        <v>0.14000000000000001</v>
      </c>
      <c r="AF176" s="229">
        <v>3.8E-3</v>
      </c>
      <c r="AG176" s="228">
        <v>1.2</v>
      </c>
      <c r="AH176" s="228">
        <v>1.39</v>
      </c>
      <c r="AI176" s="228">
        <v>-0.19</v>
      </c>
      <c r="AJ176" s="229">
        <v>8.3999999999999995E-3</v>
      </c>
      <c r="AK176" s="228">
        <v>2.94</v>
      </c>
      <c r="AL176" s="228">
        <v>1.87</v>
      </c>
      <c r="AM176" s="228">
        <v>1.07</v>
      </c>
      <c r="AN176" s="229">
        <v>2.0500000000000001E-2</v>
      </c>
      <c r="AO176" s="228">
        <v>142.80000000000001</v>
      </c>
      <c r="AP176" s="228">
        <v>143.54</v>
      </c>
      <c r="AQ176" s="228">
        <v>0</v>
      </c>
      <c r="AR176" s="230">
        <v>54519700</v>
      </c>
      <c r="AS176" s="230">
        <v>81992400</v>
      </c>
      <c r="AT176" s="230">
        <v>-27472700</v>
      </c>
      <c r="AU176" s="229">
        <v>-0.33510000000000001</v>
      </c>
      <c r="AV176" s="230">
        <v>41323000</v>
      </c>
      <c r="AW176" s="230">
        <v>58652000</v>
      </c>
      <c r="AX176" s="230">
        <v>-17329000</v>
      </c>
      <c r="AY176" s="229">
        <v>-0.29549999999999998</v>
      </c>
      <c r="AZ176" s="230">
        <v>12461400</v>
      </c>
      <c r="BA176" s="230">
        <v>22123500</v>
      </c>
      <c r="BB176" s="230">
        <v>-9662100</v>
      </c>
      <c r="BC176" s="229">
        <v>-0.43669999999999998</v>
      </c>
      <c r="BD176" s="230">
        <v>735300</v>
      </c>
      <c r="BE176" s="230">
        <v>1216900</v>
      </c>
      <c r="BF176" s="230">
        <v>-481600</v>
      </c>
      <c r="BG176" s="229">
        <v>-0.39579999999999999</v>
      </c>
      <c r="BH176" s="230">
        <v>117007300</v>
      </c>
      <c r="BI176" s="230">
        <v>215111800</v>
      </c>
      <c r="BJ176" s="230">
        <v>-98104500</v>
      </c>
      <c r="BK176" s="229">
        <v>-0.45610000000000001</v>
      </c>
      <c r="BL176" s="230">
        <v>116147300</v>
      </c>
      <c r="BM176" s="230">
        <v>121991000</v>
      </c>
      <c r="BN176" s="230">
        <v>-5843700</v>
      </c>
      <c r="BO176" s="229">
        <v>-4.7899999999999998E-2</v>
      </c>
      <c r="BP176" s="230">
        <v>287674300</v>
      </c>
      <c r="BQ176" s="230">
        <v>419095200</v>
      </c>
      <c r="BR176" s="230">
        <v>-131420900</v>
      </c>
      <c r="BS176" s="229">
        <v>-0.31359999999999999</v>
      </c>
      <c r="BT176" s="230">
        <v>25594890</v>
      </c>
      <c r="BU176" s="230">
        <v>41847304</v>
      </c>
      <c r="BV176" s="230">
        <v>-16252414</v>
      </c>
      <c r="BW176" s="229">
        <v>-0.38840000000000002</v>
      </c>
      <c r="BX176" s="230">
        <v>118052200</v>
      </c>
      <c r="BY176" s="230">
        <v>114190800</v>
      </c>
      <c r="BZ176" s="230">
        <v>3861400</v>
      </c>
      <c r="CA176" s="229">
        <v>3.3799999999999997E-2</v>
      </c>
      <c r="CB176" s="230">
        <v>85703300</v>
      </c>
      <c r="CC176" s="230">
        <v>85303400</v>
      </c>
      <c r="CD176" s="230">
        <v>399900</v>
      </c>
      <c r="CE176" s="229">
        <v>4.7000000000000002E-3</v>
      </c>
      <c r="CF176" s="230">
        <v>30805200</v>
      </c>
      <c r="CG176" s="230">
        <v>27713500</v>
      </c>
      <c r="CH176" s="230">
        <v>3091700</v>
      </c>
      <c r="CI176" s="229">
        <v>0.1116</v>
      </c>
      <c r="CJ176" s="230">
        <v>1543700</v>
      </c>
      <c r="CK176" s="230">
        <v>1173900</v>
      </c>
      <c r="CL176" s="230">
        <v>369800</v>
      </c>
      <c r="CM176" s="229">
        <v>0.315</v>
      </c>
      <c r="CN176" s="230">
        <v>65368600</v>
      </c>
      <c r="CO176" s="230">
        <v>65299800</v>
      </c>
      <c r="CP176" s="230">
        <v>68800</v>
      </c>
      <c r="CQ176" s="229">
        <v>1.1000000000000001E-3</v>
      </c>
      <c r="CR176" s="230">
        <v>46164800</v>
      </c>
      <c r="CS176" s="230">
        <v>41073600</v>
      </c>
      <c r="CT176" s="230">
        <v>5091200</v>
      </c>
      <c r="CU176" s="229">
        <v>0.124</v>
      </c>
      <c r="CV176" s="230">
        <v>229585600</v>
      </c>
      <c r="CW176" s="230">
        <v>220564200</v>
      </c>
      <c r="CX176" s="230">
        <v>9021400</v>
      </c>
      <c r="CY176" s="229">
        <v>4.0899999999999999E-2</v>
      </c>
      <c r="CZ176" s="228">
        <v>49.41</v>
      </c>
      <c r="DA176" s="228">
        <v>46.62</v>
      </c>
      <c r="DB176" s="228">
        <v>2.79</v>
      </c>
      <c r="DC176" s="228">
        <v>2.79</v>
      </c>
      <c r="DD176" s="228">
        <v>57.39</v>
      </c>
      <c r="DE176" s="228">
        <v>57.49</v>
      </c>
      <c r="DF176" s="228">
        <v>-7.98</v>
      </c>
      <c r="DG176" s="228">
        <v>-0.1</v>
      </c>
      <c r="DH176" s="228">
        <v>46.38</v>
      </c>
      <c r="DI176" s="228">
        <v>47.54</v>
      </c>
      <c r="DJ176" s="228">
        <v>-1.1599999999999999</v>
      </c>
      <c r="DK176" s="228">
        <v>-1.1599999999999999</v>
      </c>
      <c r="DL176" s="228">
        <v>52.46</v>
      </c>
      <c r="DM176" s="228">
        <v>45</v>
      </c>
      <c r="DN176" s="228">
        <v>7.46</v>
      </c>
      <c r="DO176" s="228">
        <v>7.46</v>
      </c>
      <c r="DP176" s="228">
        <v>0.71</v>
      </c>
      <c r="DQ176" s="228">
        <v>0.63</v>
      </c>
      <c r="DR176" s="228">
        <v>0.08</v>
      </c>
      <c r="DS176" s="229">
        <v>0.127</v>
      </c>
      <c r="DT176" s="228">
        <v>155</v>
      </c>
      <c r="DU176" s="228">
        <v>140</v>
      </c>
      <c r="DV176" s="228">
        <v>0.99</v>
      </c>
      <c r="DW176" s="228">
        <v>0.56999999999999995</v>
      </c>
      <c r="DX176" s="228">
        <v>0.42</v>
      </c>
      <c r="DY176" s="229">
        <v>0.73680000000000001</v>
      </c>
      <c r="DZ176" s="229">
        <v>0.27400000000000002</v>
      </c>
      <c r="EA176" s="230">
        <v>28887400</v>
      </c>
      <c r="EB176" s="229">
        <v>4.4999999999999997E-3</v>
      </c>
      <c r="EC176" s="229">
        <v>0.27400000000000002</v>
      </c>
      <c r="ED176" s="228">
        <v>0.74</v>
      </c>
      <c r="EE176" s="229">
        <v>5.1999999999999998E-3</v>
      </c>
      <c r="EF176" s="230">
        <v>4618074</v>
      </c>
      <c r="EG176" s="230">
        <v>8582370</v>
      </c>
      <c r="EH176" s="229">
        <v>-0.46189999999999998</v>
      </c>
      <c r="EI176" s="229">
        <v>0.1804</v>
      </c>
      <c r="EJ176" s="231">
        <v>181701.16</v>
      </c>
      <c r="EK176" s="231">
        <v>161031.01999999999</v>
      </c>
      <c r="EL176" s="231">
        <v>77968.44</v>
      </c>
      <c r="EM176" s="231">
        <v>8356</v>
      </c>
      <c r="EN176" s="231">
        <v>420700.62</v>
      </c>
      <c r="EO176" s="231">
        <v>645519.55000000005</v>
      </c>
      <c r="EP176" s="231">
        <v>-224818.93</v>
      </c>
      <c r="EQ176" s="229">
        <v>-0.3483</v>
      </c>
      <c r="ER176" s="231">
        <v>108479</v>
      </c>
      <c r="ES176" s="231">
        <v>68501</v>
      </c>
      <c r="ET176" s="231">
        <v>170268</v>
      </c>
      <c r="EU176" s="231">
        <v>122326971</v>
      </c>
      <c r="EV176" s="231">
        <v>347248</v>
      </c>
      <c r="EW176" s="231">
        <v>338445</v>
      </c>
      <c r="EX176" s="231">
        <v>8803</v>
      </c>
      <c r="EY176" s="229">
        <v>2.5999999999999999E-2</v>
      </c>
      <c r="EZ176" s="229">
        <v>1.8768</v>
      </c>
      <c r="FA176" s="227" t="s">
        <v>567</v>
      </c>
      <c r="FB176" s="161">
        <f t="shared" si="4"/>
        <v>0</v>
      </c>
    </row>
    <row r="177" spans="1:158" ht="17.25" thickBot="1" x14ac:dyDescent="0.3">
      <c r="A177" s="226">
        <v>46009</v>
      </c>
      <c r="B177" s="227" t="s">
        <v>175</v>
      </c>
      <c r="C177" s="227" t="s">
        <v>536</v>
      </c>
      <c r="D177" s="228">
        <v>800</v>
      </c>
      <c r="E177" s="228">
        <v>851.15</v>
      </c>
      <c r="F177" s="228">
        <v>836.55</v>
      </c>
      <c r="G177" s="228">
        <v>14.6</v>
      </c>
      <c r="H177" s="229">
        <v>1.7500000000000002E-2</v>
      </c>
      <c r="I177" s="228">
        <v>848.15</v>
      </c>
      <c r="J177" s="228">
        <v>834.4</v>
      </c>
      <c r="K177" s="228">
        <v>13.75</v>
      </c>
      <c r="L177" s="229">
        <v>1.6500000000000001E-2</v>
      </c>
      <c r="M177" s="228">
        <v>851.15</v>
      </c>
      <c r="N177" s="228">
        <v>836.55</v>
      </c>
      <c r="O177" s="228">
        <v>14.6</v>
      </c>
      <c r="P177" s="229">
        <v>1.7500000000000002E-2</v>
      </c>
      <c r="Q177" s="228">
        <v>852.6</v>
      </c>
      <c r="R177" s="228">
        <v>836.75</v>
      </c>
      <c r="S177" s="228">
        <v>15.85</v>
      </c>
      <c r="T177" s="229">
        <v>1.89E-2</v>
      </c>
      <c r="U177" s="228">
        <v>852.75</v>
      </c>
      <c r="V177" s="228">
        <v>838</v>
      </c>
      <c r="W177" s="228">
        <v>14.75</v>
      </c>
      <c r="X177" s="229">
        <v>1.7600000000000001E-2</v>
      </c>
      <c r="Y177" s="228">
        <v>3</v>
      </c>
      <c r="Z177" s="228">
        <v>2.15</v>
      </c>
      <c r="AA177" s="228">
        <v>0.85</v>
      </c>
      <c r="AB177" s="229">
        <v>3.5000000000000001E-3</v>
      </c>
      <c r="AC177" s="228">
        <v>3</v>
      </c>
      <c r="AD177" s="228">
        <v>2.15</v>
      </c>
      <c r="AE177" s="228">
        <v>0.85</v>
      </c>
      <c r="AF177" s="229">
        <v>3.5000000000000001E-3</v>
      </c>
      <c r="AG177" s="228">
        <v>4.45</v>
      </c>
      <c r="AH177" s="228">
        <v>2.35</v>
      </c>
      <c r="AI177" s="228">
        <v>2.1</v>
      </c>
      <c r="AJ177" s="229">
        <v>5.1999999999999998E-3</v>
      </c>
      <c r="AK177" s="228">
        <v>4.5999999999999996</v>
      </c>
      <c r="AL177" s="228">
        <v>3.6</v>
      </c>
      <c r="AM177" s="228">
        <v>1</v>
      </c>
      <c r="AN177" s="229">
        <v>5.4000000000000003E-3</v>
      </c>
      <c r="AO177" s="228">
        <v>848.28</v>
      </c>
      <c r="AP177" s="228">
        <v>846.99</v>
      </c>
      <c r="AQ177" s="228">
        <v>0</v>
      </c>
      <c r="AR177" s="230">
        <v>2919200</v>
      </c>
      <c r="AS177" s="230">
        <v>2464800</v>
      </c>
      <c r="AT177" s="230">
        <v>454400</v>
      </c>
      <c r="AU177" s="229">
        <v>0.18440000000000001</v>
      </c>
      <c r="AV177" s="230">
        <v>2500800</v>
      </c>
      <c r="AW177" s="230">
        <v>2014400</v>
      </c>
      <c r="AX177" s="230">
        <v>486400</v>
      </c>
      <c r="AY177" s="229">
        <v>0.24149999999999999</v>
      </c>
      <c r="AZ177" s="230">
        <v>392000</v>
      </c>
      <c r="BA177" s="230">
        <v>428800</v>
      </c>
      <c r="BB177" s="230">
        <v>-36800</v>
      </c>
      <c r="BC177" s="229">
        <v>-8.5800000000000001E-2</v>
      </c>
      <c r="BD177" s="230">
        <v>26400</v>
      </c>
      <c r="BE177" s="230">
        <v>21600</v>
      </c>
      <c r="BF177" s="230">
        <v>4800</v>
      </c>
      <c r="BG177" s="229">
        <v>0.22220000000000001</v>
      </c>
      <c r="BH177" s="230">
        <v>9823200</v>
      </c>
      <c r="BI177" s="230">
        <v>7242400</v>
      </c>
      <c r="BJ177" s="230">
        <v>2580800</v>
      </c>
      <c r="BK177" s="229">
        <v>0.35630000000000001</v>
      </c>
      <c r="BL177" s="230">
        <v>5117600</v>
      </c>
      <c r="BM177" s="230">
        <v>6460800</v>
      </c>
      <c r="BN177" s="230">
        <v>-1343200</v>
      </c>
      <c r="BO177" s="229">
        <v>-0.2079</v>
      </c>
      <c r="BP177" s="230">
        <v>17860000</v>
      </c>
      <c r="BQ177" s="230">
        <v>16168000</v>
      </c>
      <c r="BR177" s="230">
        <v>1692000</v>
      </c>
      <c r="BS177" s="229">
        <v>0.1047</v>
      </c>
      <c r="BT177" s="230">
        <v>991864</v>
      </c>
      <c r="BU177" s="230">
        <v>912830</v>
      </c>
      <c r="BV177" s="230">
        <v>79034</v>
      </c>
      <c r="BW177" s="229">
        <v>8.6599999999999996E-2</v>
      </c>
      <c r="BX177" s="230">
        <v>16547200</v>
      </c>
      <c r="BY177" s="230">
        <v>16902400</v>
      </c>
      <c r="BZ177" s="230">
        <v>-355200</v>
      </c>
      <c r="CA177" s="229">
        <v>-2.1000000000000001E-2</v>
      </c>
      <c r="CB177" s="230">
        <v>15112800</v>
      </c>
      <c r="CC177" s="230">
        <v>15490400</v>
      </c>
      <c r="CD177" s="230">
        <v>-377600</v>
      </c>
      <c r="CE177" s="229">
        <v>-2.4400000000000002E-2</v>
      </c>
      <c r="CF177" s="230">
        <v>1334400</v>
      </c>
      <c r="CG177" s="230">
        <v>1301600</v>
      </c>
      <c r="CH177" s="230">
        <v>32800</v>
      </c>
      <c r="CI177" s="229">
        <v>2.52E-2</v>
      </c>
      <c r="CJ177" s="230">
        <v>100000</v>
      </c>
      <c r="CK177" s="230">
        <v>110400</v>
      </c>
      <c r="CL177" s="230">
        <v>-10400</v>
      </c>
      <c r="CM177" s="229">
        <v>-9.4200000000000006E-2</v>
      </c>
      <c r="CN177" s="230">
        <v>5924000</v>
      </c>
      <c r="CO177" s="230">
        <v>6587200</v>
      </c>
      <c r="CP177" s="230">
        <v>-663200</v>
      </c>
      <c r="CQ177" s="229">
        <v>-0.1007</v>
      </c>
      <c r="CR177" s="230">
        <v>4246400</v>
      </c>
      <c r="CS177" s="230">
        <v>4354400</v>
      </c>
      <c r="CT177" s="230">
        <v>-108000</v>
      </c>
      <c r="CU177" s="229">
        <v>-2.4799999999999999E-2</v>
      </c>
      <c r="CV177" s="230">
        <v>26717600</v>
      </c>
      <c r="CW177" s="230">
        <v>27844000</v>
      </c>
      <c r="CX177" s="230">
        <v>-1126400</v>
      </c>
      <c r="CY177" s="229">
        <v>-4.0500000000000001E-2</v>
      </c>
      <c r="CZ177" s="228">
        <v>22.84</v>
      </c>
      <c r="DA177" s="228">
        <v>23.93</v>
      </c>
      <c r="DB177" s="228">
        <v>-1.0900000000000001</v>
      </c>
      <c r="DC177" s="228">
        <v>-1.0900000000000001</v>
      </c>
      <c r="DD177" s="228">
        <v>29.31</v>
      </c>
      <c r="DE177" s="228">
        <v>29.3</v>
      </c>
      <c r="DF177" s="228">
        <v>-6.47</v>
      </c>
      <c r="DG177" s="228">
        <v>0.01</v>
      </c>
      <c r="DH177" s="228">
        <v>22.8</v>
      </c>
      <c r="DI177" s="228">
        <v>25.19</v>
      </c>
      <c r="DJ177" s="228">
        <v>-2.39</v>
      </c>
      <c r="DK177" s="228">
        <v>-2.39</v>
      </c>
      <c r="DL177" s="228">
        <v>22.94</v>
      </c>
      <c r="DM177" s="228">
        <v>22.53</v>
      </c>
      <c r="DN177" s="228">
        <v>0.41</v>
      </c>
      <c r="DO177" s="228">
        <v>0.41</v>
      </c>
      <c r="DP177" s="228">
        <v>0.72</v>
      </c>
      <c r="DQ177" s="228">
        <v>0.66</v>
      </c>
      <c r="DR177" s="228">
        <v>0.06</v>
      </c>
      <c r="DS177" s="229">
        <v>9.0899999999999995E-2</v>
      </c>
      <c r="DT177" s="228">
        <v>900</v>
      </c>
      <c r="DU177" s="228">
        <v>800</v>
      </c>
      <c r="DV177" s="228">
        <v>0.52</v>
      </c>
      <c r="DW177" s="228">
        <v>0.89</v>
      </c>
      <c r="DX177" s="228">
        <v>-0.37</v>
      </c>
      <c r="DY177" s="229">
        <v>-0.41570000000000001</v>
      </c>
      <c r="DZ177" s="229">
        <v>8.6699999999999999E-2</v>
      </c>
      <c r="EA177" s="230">
        <v>1412000</v>
      </c>
      <c r="EB177" s="229">
        <v>1.6999999999999999E-3</v>
      </c>
      <c r="EC177" s="229">
        <v>8.6699999999999999E-2</v>
      </c>
      <c r="ED177" s="228">
        <v>-1.29</v>
      </c>
      <c r="EE177" s="229">
        <v>-1.5E-3</v>
      </c>
      <c r="EF177" s="230">
        <v>390970</v>
      </c>
      <c r="EG177" s="230">
        <v>536389</v>
      </c>
      <c r="EH177" s="229">
        <v>-0.27110000000000001</v>
      </c>
      <c r="EI177" s="229">
        <v>0.39419999999999999</v>
      </c>
      <c r="EJ177" s="231">
        <v>86392.39</v>
      </c>
      <c r="EK177" s="231">
        <v>42957.83</v>
      </c>
      <c r="EL177" s="231">
        <v>24758.5</v>
      </c>
      <c r="EM177" s="231">
        <v>2808</v>
      </c>
      <c r="EN177" s="231">
        <v>154108.72</v>
      </c>
      <c r="EO177" s="231">
        <v>139131.95000000001</v>
      </c>
      <c r="EP177" s="231">
        <v>14976.77</v>
      </c>
      <c r="EQ177" s="229">
        <v>0.1076</v>
      </c>
      <c r="ER177" s="231">
        <v>53845</v>
      </c>
      <c r="ES177" s="231">
        <v>35336</v>
      </c>
      <c r="ET177" s="231">
        <v>140862</v>
      </c>
      <c r="EU177" s="231">
        <v>39583537</v>
      </c>
      <c r="EV177" s="231">
        <v>230044</v>
      </c>
      <c r="EW177" s="231">
        <v>237413</v>
      </c>
      <c r="EX177" s="231">
        <v>-7369</v>
      </c>
      <c r="EY177" s="229">
        <v>-3.1E-2</v>
      </c>
      <c r="EZ177" s="229">
        <v>0.67500000000000004</v>
      </c>
      <c r="FA177" s="227" t="s">
        <v>556</v>
      </c>
      <c r="FB177" s="161">
        <f t="shared" si="4"/>
        <v>0</v>
      </c>
    </row>
    <row r="178" spans="1:158" ht="17.25" thickBot="1" x14ac:dyDescent="0.3">
      <c r="A178" s="226">
        <v>46009</v>
      </c>
      <c r="B178" s="227" t="s">
        <v>175</v>
      </c>
      <c r="C178" s="227" t="s">
        <v>462</v>
      </c>
      <c r="D178" s="228">
        <v>375</v>
      </c>
      <c r="E178" s="231">
        <v>2018.5</v>
      </c>
      <c r="F178" s="231">
        <v>2016.3</v>
      </c>
      <c r="G178" s="228">
        <v>2.2000000000000002</v>
      </c>
      <c r="H178" s="229">
        <v>1.1000000000000001E-3</v>
      </c>
      <c r="I178" s="231">
        <v>2014.4</v>
      </c>
      <c r="J178" s="231">
        <v>2010.2</v>
      </c>
      <c r="K178" s="228">
        <v>4.2</v>
      </c>
      <c r="L178" s="229">
        <v>2.0999999999999999E-3</v>
      </c>
      <c r="M178" s="231">
        <v>2018.5</v>
      </c>
      <c r="N178" s="231">
        <v>2016.3</v>
      </c>
      <c r="O178" s="228">
        <v>2.2000000000000002</v>
      </c>
      <c r="P178" s="229">
        <v>1.1000000000000001E-3</v>
      </c>
      <c r="Q178" s="231">
        <v>2032.6</v>
      </c>
      <c r="R178" s="231">
        <v>2028.3</v>
      </c>
      <c r="S178" s="228">
        <v>4.3</v>
      </c>
      <c r="T178" s="229">
        <v>2.0999999999999999E-3</v>
      </c>
      <c r="U178" s="231">
        <v>2041.5</v>
      </c>
      <c r="V178" s="231">
        <v>2040.7</v>
      </c>
      <c r="W178" s="228">
        <v>0.8</v>
      </c>
      <c r="X178" s="229">
        <v>4.0000000000000002E-4</v>
      </c>
      <c r="Y178" s="228">
        <v>4.0999999999999996</v>
      </c>
      <c r="Z178" s="228">
        <v>6.1</v>
      </c>
      <c r="AA178" s="228">
        <v>-2</v>
      </c>
      <c r="AB178" s="229">
        <v>2E-3</v>
      </c>
      <c r="AC178" s="228">
        <v>4.0999999999999996</v>
      </c>
      <c r="AD178" s="228">
        <v>6.1</v>
      </c>
      <c r="AE178" s="228">
        <v>-2</v>
      </c>
      <c r="AF178" s="229">
        <v>2E-3</v>
      </c>
      <c r="AG178" s="228">
        <v>18.2</v>
      </c>
      <c r="AH178" s="228">
        <v>18.100000000000001</v>
      </c>
      <c r="AI178" s="228">
        <v>0.1</v>
      </c>
      <c r="AJ178" s="229">
        <v>8.9999999999999993E-3</v>
      </c>
      <c r="AK178" s="228">
        <v>27.1</v>
      </c>
      <c r="AL178" s="228">
        <v>30.5</v>
      </c>
      <c r="AM178" s="228">
        <v>-3.4</v>
      </c>
      <c r="AN178" s="229">
        <v>1.35E-2</v>
      </c>
      <c r="AO178" s="231">
        <v>2016.78</v>
      </c>
      <c r="AP178" s="231">
        <v>2029.95</v>
      </c>
      <c r="AQ178" s="228">
        <v>0</v>
      </c>
      <c r="AR178" s="230">
        <v>880500</v>
      </c>
      <c r="AS178" s="230">
        <v>1524000</v>
      </c>
      <c r="AT178" s="230">
        <v>-643500</v>
      </c>
      <c r="AU178" s="229">
        <v>-0.42220000000000002</v>
      </c>
      <c r="AV178" s="230">
        <v>714375</v>
      </c>
      <c r="AW178" s="230">
        <v>1333125</v>
      </c>
      <c r="AX178" s="230">
        <v>-618750</v>
      </c>
      <c r="AY178" s="229">
        <v>-0.46410000000000001</v>
      </c>
      <c r="AZ178" s="230">
        <v>161250</v>
      </c>
      <c r="BA178" s="230">
        <v>172125</v>
      </c>
      <c r="BB178" s="230">
        <v>-10875</v>
      </c>
      <c r="BC178" s="229">
        <v>-6.3200000000000006E-2</v>
      </c>
      <c r="BD178" s="230">
        <v>4875</v>
      </c>
      <c r="BE178" s="230">
        <v>18750</v>
      </c>
      <c r="BF178" s="230">
        <v>-13875</v>
      </c>
      <c r="BG178" s="229">
        <v>-0.74</v>
      </c>
      <c r="BH178" s="230">
        <v>2469375</v>
      </c>
      <c r="BI178" s="230">
        <v>5845125</v>
      </c>
      <c r="BJ178" s="230">
        <v>-3375750</v>
      </c>
      <c r="BK178" s="229">
        <v>-0.57750000000000001</v>
      </c>
      <c r="BL178" s="230">
        <v>1128750</v>
      </c>
      <c r="BM178" s="230">
        <v>5976000</v>
      </c>
      <c r="BN178" s="230">
        <v>-4847250</v>
      </c>
      <c r="BO178" s="229">
        <v>-0.81110000000000004</v>
      </c>
      <c r="BP178" s="230">
        <v>4478625</v>
      </c>
      <c r="BQ178" s="230">
        <v>13345125</v>
      </c>
      <c r="BR178" s="230">
        <v>-8866500</v>
      </c>
      <c r="BS178" s="229">
        <v>-0.66439999999999999</v>
      </c>
      <c r="BT178" s="230">
        <v>413394</v>
      </c>
      <c r="BU178" s="230">
        <v>1004015</v>
      </c>
      <c r="BV178" s="230">
        <v>-590621</v>
      </c>
      <c r="BW178" s="229">
        <v>-0.58830000000000005</v>
      </c>
      <c r="BX178" s="230">
        <v>7870125</v>
      </c>
      <c r="BY178" s="230">
        <v>7909125</v>
      </c>
      <c r="BZ178" s="230">
        <v>-39000</v>
      </c>
      <c r="CA178" s="229">
        <v>-4.8999999999999998E-3</v>
      </c>
      <c r="CB178" s="230">
        <v>7330875</v>
      </c>
      <c r="CC178" s="230">
        <v>7478625</v>
      </c>
      <c r="CD178" s="230">
        <v>-147750</v>
      </c>
      <c r="CE178" s="229">
        <v>-1.9800000000000002E-2</v>
      </c>
      <c r="CF178" s="230">
        <v>471750</v>
      </c>
      <c r="CG178" s="230">
        <v>364125</v>
      </c>
      <c r="CH178" s="230">
        <v>107625</v>
      </c>
      <c r="CI178" s="229">
        <v>0.29559999999999997</v>
      </c>
      <c r="CJ178" s="230">
        <v>67500</v>
      </c>
      <c r="CK178" s="230">
        <v>66375</v>
      </c>
      <c r="CL178" s="230">
        <v>1125</v>
      </c>
      <c r="CM178" s="229">
        <v>1.6899999999999998E-2</v>
      </c>
      <c r="CN178" s="230">
        <v>4469250</v>
      </c>
      <c r="CO178" s="230">
        <v>4411500</v>
      </c>
      <c r="CP178" s="230">
        <v>57750</v>
      </c>
      <c r="CQ178" s="229">
        <v>1.3100000000000001E-2</v>
      </c>
      <c r="CR178" s="230">
        <v>2169000</v>
      </c>
      <c r="CS178" s="230">
        <v>2124750</v>
      </c>
      <c r="CT178" s="230">
        <v>44250</v>
      </c>
      <c r="CU178" s="229">
        <v>2.0799999999999999E-2</v>
      </c>
      <c r="CV178" s="230">
        <v>14508375</v>
      </c>
      <c r="CW178" s="230">
        <v>14445375</v>
      </c>
      <c r="CX178" s="230">
        <v>63000</v>
      </c>
      <c r="CY178" s="229">
        <v>4.4000000000000003E-3</v>
      </c>
      <c r="CZ178" s="228">
        <v>14.96</v>
      </c>
      <c r="DA178" s="228">
        <v>15.66</v>
      </c>
      <c r="DB178" s="228">
        <v>-0.7</v>
      </c>
      <c r="DC178" s="228">
        <v>-0.7</v>
      </c>
      <c r="DD178" s="228">
        <v>24.32</v>
      </c>
      <c r="DE178" s="228">
        <v>24.38</v>
      </c>
      <c r="DF178" s="228">
        <v>-9.36</v>
      </c>
      <c r="DG178" s="228">
        <v>-0.06</v>
      </c>
      <c r="DH178" s="228">
        <v>14.78</v>
      </c>
      <c r="DI178" s="228">
        <v>15.69</v>
      </c>
      <c r="DJ178" s="228">
        <v>-0.91</v>
      </c>
      <c r="DK178" s="228">
        <v>-0.91</v>
      </c>
      <c r="DL178" s="228">
        <v>15.37</v>
      </c>
      <c r="DM178" s="228">
        <v>15.63</v>
      </c>
      <c r="DN178" s="228">
        <v>-0.26</v>
      </c>
      <c r="DO178" s="228">
        <v>-0.26</v>
      </c>
      <c r="DP178" s="228">
        <v>0.49</v>
      </c>
      <c r="DQ178" s="228">
        <v>0.48</v>
      </c>
      <c r="DR178" s="228">
        <v>0.01</v>
      </c>
      <c r="DS178" s="229">
        <v>2.0799999999999999E-2</v>
      </c>
      <c r="DT178" s="231">
        <v>2040</v>
      </c>
      <c r="DU178" s="231">
        <v>1900</v>
      </c>
      <c r="DV178" s="228">
        <v>0.46</v>
      </c>
      <c r="DW178" s="228">
        <v>1.02</v>
      </c>
      <c r="DX178" s="228">
        <v>-0.56000000000000005</v>
      </c>
      <c r="DY178" s="229">
        <v>-0.54900000000000004</v>
      </c>
      <c r="DZ178" s="229">
        <v>6.8500000000000005E-2</v>
      </c>
      <c r="EA178" s="230">
        <v>430500</v>
      </c>
      <c r="EB178" s="229">
        <v>7.0000000000000001E-3</v>
      </c>
      <c r="EC178" s="229">
        <v>6.8500000000000005E-2</v>
      </c>
      <c r="ED178" s="228">
        <v>13.17</v>
      </c>
      <c r="EE178" s="229">
        <v>6.4999999999999997E-3</v>
      </c>
      <c r="EF178" s="230">
        <v>232279</v>
      </c>
      <c r="EG178" s="230">
        <v>695607</v>
      </c>
      <c r="EH178" s="229">
        <v>-0.66610000000000003</v>
      </c>
      <c r="EI178" s="229">
        <v>0.56189999999999996</v>
      </c>
      <c r="EJ178" s="231">
        <v>50996.68</v>
      </c>
      <c r="EK178" s="231">
        <v>22537.040000000001</v>
      </c>
      <c r="EL178" s="231">
        <v>17780.16</v>
      </c>
      <c r="EM178" s="231">
        <v>2904</v>
      </c>
      <c r="EN178" s="231">
        <v>91313.88</v>
      </c>
      <c r="EO178" s="231">
        <v>272198</v>
      </c>
      <c r="EP178" s="231">
        <v>-180884.12</v>
      </c>
      <c r="EQ178" s="229">
        <v>-0.66449999999999998</v>
      </c>
      <c r="ER178" s="231">
        <v>92863</v>
      </c>
      <c r="ES178" s="231">
        <v>42074</v>
      </c>
      <c r="ET178" s="231">
        <v>158941</v>
      </c>
      <c r="EU178" s="231">
        <v>44735132</v>
      </c>
      <c r="EV178" s="231">
        <v>293878</v>
      </c>
      <c r="EW178" s="231">
        <v>292394</v>
      </c>
      <c r="EX178" s="231">
        <v>1484</v>
      </c>
      <c r="EY178" s="229">
        <v>5.1000000000000004E-3</v>
      </c>
      <c r="EZ178" s="229">
        <v>0.32429999999999998</v>
      </c>
      <c r="FA178" s="227" t="s">
        <v>556</v>
      </c>
      <c r="FB178" s="161">
        <f t="shared" si="4"/>
        <v>0</v>
      </c>
    </row>
    <row r="179" spans="1:158" ht="17.25" thickBot="1" x14ac:dyDescent="0.3">
      <c r="A179" s="226">
        <v>46009</v>
      </c>
      <c r="B179" s="227" t="s">
        <v>172</v>
      </c>
      <c r="C179" s="227" t="s">
        <v>283</v>
      </c>
      <c r="D179" s="228">
        <v>750</v>
      </c>
      <c r="E179" s="228">
        <v>977.85</v>
      </c>
      <c r="F179" s="228">
        <v>977.5</v>
      </c>
      <c r="G179" s="228">
        <v>0.35</v>
      </c>
      <c r="H179" s="229">
        <v>4.0000000000000002E-4</v>
      </c>
      <c r="I179" s="228">
        <v>977.55</v>
      </c>
      <c r="J179" s="228">
        <v>975.85</v>
      </c>
      <c r="K179" s="228">
        <v>1.7</v>
      </c>
      <c r="L179" s="229">
        <v>1.6999999999999999E-3</v>
      </c>
      <c r="M179" s="228">
        <v>977.85</v>
      </c>
      <c r="N179" s="228">
        <v>977.5</v>
      </c>
      <c r="O179" s="228">
        <v>0.35</v>
      </c>
      <c r="P179" s="229">
        <v>4.0000000000000002E-4</v>
      </c>
      <c r="Q179" s="228">
        <v>984.25</v>
      </c>
      <c r="R179" s="228">
        <v>983.55</v>
      </c>
      <c r="S179" s="228">
        <v>0.7</v>
      </c>
      <c r="T179" s="229">
        <v>6.9999999999999999E-4</v>
      </c>
      <c r="U179" s="228">
        <v>989.7</v>
      </c>
      <c r="V179" s="228">
        <v>988.95</v>
      </c>
      <c r="W179" s="228">
        <v>0.75</v>
      </c>
      <c r="X179" s="229">
        <v>8.0000000000000004E-4</v>
      </c>
      <c r="Y179" s="228">
        <v>0.3</v>
      </c>
      <c r="Z179" s="228">
        <v>1.65</v>
      </c>
      <c r="AA179" s="228">
        <v>-1.35</v>
      </c>
      <c r="AB179" s="229">
        <v>2.9999999999999997E-4</v>
      </c>
      <c r="AC179" s="228">
        <v>0.3</v>
      </c>
      <c r="AD179" s="228">
        <v>1.65</v>
      </c>
      <c r="AE179" s="228">
        <v>-1.35</v>
      </c>
      <c r="AF179" s="229">
        <v>2.9999999999999997E-4</v>
      </c>
      <c r="AG179" s="228">
        <v>6.7</v>
      </c>
      <c r="AH179" s="228">
        <v>7.7</v>
      </c>
      <c r="AI179" s="228">
        <v>-1</v>
      </c>
      <c r="AJ179" s="229">
        <v>6.8999999999999999E-3</v>
      </c>
      <c r="AK179" s="228">
        <v>12.15</v>
      </c>
      <c r="AL179" s="228">
        <v>13.1</v>
      </c>
      <c r="AM179" s="228">
        <v>-0.95</v>
      </c>
      <c r="AN179" s="229">
        <v>1.24E-2</v>
      </c>
      <c r="AO179" s="228">
        <v>978.48</v>
      </c>
      <c r="AP179" s="228">
        <v>984.61</v>
      </c>
      <c r="AQ179" s="228">
        <v>0</v>
      </c>
      <c r="AR179" s="230">
        <v>13228500</v>
      </c>
      <c r="AS179" s="230">
        <v>18019500</v>
      </c>
      <c r="AT179" s="230">
        <v>-4791000</v>
      </c>
      <c r="AU179" s="229">
        <v>-0.26590000000000003</v>
      </c>
      <c r="AV179" s="230">
        <v>9582750</v>
      </c>
      <c r="AW179" s="230">
        <v>14348250</v>
      </c>
      <c r="AX179" s="230">
        <v>-4765500</v>
      </c>
      <c r="AY179" s="229">
        <v>-0.33210000000000001</v>
      </c>
      <c r="AZ179" s="230">
        <v>3561000</v>
      </c>
      <c r="BA179" s="230">
        <v>3486000</v>
      </c>
      <c r="BB179" s="230">
        <v>75000</v>
      </c>
      <c r="BC179" s="229">
        <v>2.1499999999999998E-2</v>
      </c>
      <c r="BD179" s="230">
        <v>84750</v>
      </c>
      <c r="BE179" s="230">
        <v>185250</v>
      </c>
      <c r="BF179" s="230">
        <v>-100500</v>
      </c>
      <c r="BG179" s="229">
        <v>-0.54249999999999998</v>
      </c>
      <c r="BH179" s="230">
        <v>58691250</v>
      </c>
      <c r="BI179" s="230">
        <v>104275500</v>
      </c>
      <c r="BJ179" s="230">
        <v>-45584250</v>
      </c>
      <c r="BK179" s="229">
        <v>-0.43719999999999998</v>
      </c>
      <c r="BL179" s="230">
        <v>37841250</v>
      </c>
      <c r="BM179" s="230">
        <v>61443750</v>
      </c>
      <c r="BN179" s="230">
        <v>-23602500</v>
      </c>
      <c r="BO179" s="229">
        <v>-0.3841</v>
      </c>
      <c r="BP179" s="230">
        <v>109761000</v>
      </c>
      <c r="BQ179" s="230">
        <v>183738750</v>
      </c>
      <c r="BR179" s="230">
        <v>-73977750</v>
      </c>
      <c r="BS179" s="229">
        <v>-0.40260000000000001</v>
      </c>
      <c r="BT179" s="230">
        <v>5521453</v>
      </c>
      <c r="BU179" s="230">
        <v>8583243</v>
      </c>
      <c r="BV179" s="230">
        <v>-3061790</v>
      </c>
      <c r="BW179" s="229">
        <v>-0.35670000000000002</v>
      </c>
      <c r="BX179" s="230">
        <v>73932750</v>
      </c>
      <c r="BY179" s="230">
        <v>73964250</v>
      </c>
      <c r="BZ179" s="230">
        <v>-31500</v>
      </c>
      <c r="CA179" s="229">
        <v>-4.0000000000000002E-4</v>
      </c>
      <c r="CB179" s="230">
        <v>57329250</v>
      </c>
      <c r="CC179" s="230">
        <v>60308250</v>
      </c>
      <c r="CD179" s="230">
        <v>-2979000</v>
      </c>
      <c r="CE179" s="229">
        <v>-4.9399999999999999E-2</v>
      </c>
      <c r="CF179" s="230">
        <v>15752250</v>
      </c>
      <c r="CG179" s="230">
        <v>12814500</v>
      </c>
      <c r="CH179" s="230">
        <v>2937750</v>
      </c>
      <c r="CI179" s="229">
        <v>0.2293</v>
      </c>
      <c r="CJ179" s="230">
        <v>851250</v>
      </c>
      <c r="CK179" s="230">
        <v>841500</v>
      </c>
      <c r="CL179" s="230">
        <v>9750</v>
      </c>
      <c r="CM179" s="229">
        <v>1.1599999999999999E-2</v>
      </c>
      <c r="CN179" s="230">
        <v>47121750</v>
      </c>
      <c r="CO179" s="230">
        <v>48264000</v>
      </c>
      <c r="CP179" s="230">
        <v>-1142250</v>
      </c>
      <c r="CQ179" s="229">
        <v>-2.3699999999999999E-2</v>
      </c>
      <c r="CR179" s="230">
        <v>34128750</v>
      </c>
      <c r="CS179" s="230">
        <v>34032000</v>
      </c>
      <c r="CT179" s="230">
        <v>96750</v>
      </c>
      <c r="CU179" s="229">
        <v>2.8E-3</v>
      </c>
      <c r="CV179" s="230">
        <v>155183250</v>
      </c>
      <c r="CW179" s="230">
        <v>156260250</v>
      </c>
      <c r="CX179" s="230">
        <v>-1077000</v>
      </c>
      <c r="CY179" s="229">
        <v>-6.8999999999999999E-3</v>
      </c>
      <c r="CZ179" s="228">
        <v>15</v>
      </c>
      <c r="DA179" s="228">
        <v>15.72</v>
      </c>
      <c r="DB179" s="228">
        <v>-0.72</v>
      </c>
      <c r="DC179" s="228">
        <v>-0.72</v>
      </c>
      <c r="DD179" s="228">
        <v>24.76</v>
      </c>
      <c r="DE179" s="228">
        <v>24.82</v>
      </c>
      <c r="DF179" s="228">
        <v>-9.76</v>
      </c>
      <c r="DG179" s="228">
        <v>-0.06</v>
      </c>
      <c r="DH179" s="228">
        <v>14.97</v>
      </c>
      <c r="DI179" s="228">
        <v>15.62</v>
      </c>
      <c r="DJ179" s="228">
        <v>-0.65</v>
      </c>
      <c r="DK179" s="228">
        <v>-0.65</v>
      </c>
      <c r="DL179" s="228">
        <v>15.04</v>
      </c>
      <c r="DM179" s="228">
        <v>15.9</v>
      </c>
      <c r="DN179" s="228">
        <v>-0.86</v>
      </c>
      <c r="DO179" s="228">
        <v>-0.86</v>
      </c>
      <c r="DP179" s="228">
        <v>0.72</v>
      </c>
      <c r="DQ179" s="228">
        <v>0.71</v>
      </c>
      <c r="DR179" s="228">
        <v>0.01</v>
      </c>
      <c r="DS179" s="229">
        <v>1.41E-2</v>
      </c>
      <c r="DT179" s="231">
        <v>1000</v>
      </c>
      <c r="DU179" s="228">
        <v>950</v>
      </c>
      <c r="DV179" s="228">
        <v>0.64</v>
      </c>
      <c r="DW179" s="228">
        <v>0.59</v>
      </c>
      <c r="DX179" s="228">
        <v>0.05</v>
      </c>
      <c r="DY179" s="229">
        <v>8.4699999999999998E-2</v>
      </c>
      <c r="DZ179" s="229">
        <v>0.22459999999999999</v>
      </c>
      <c r="EA179" s="230">
        <v>13656000</v>
      </c>
      <c r="EB179" s="229">
        <v>6.4999999999999997E-3</v>
      </c>
      <c r="EC179" s="229">
        <v>0.22459999999999999</v>
      </c>
      <c r="ED179" s="228">
        <v>6.13</v>
      </c>
      <c r="EE179" s="229">
        <v>6.3E-3</v>
      </c>
      <c r="EF179" s="230">
        <v>3032822</v>
      </c>
      <c r="EG179" s="230">
        <v>4806961</v>
      </c>
      <c r="EH179" s="229">
        <v>-0.36909999999999998</v>
      </c>
      <c r="EI179" s="229">
        <v>0.54930000000000001</v>
      </c>
      <c r="EJ179" s="231">
        <v>585836.27</v>
      </c>
      <c r="EK179" s="231">
        <v>367561.69</v>
      </c>
      <c r="EL179" s="231">
        <v>129665.86</v>
      </c>
      <c r="EM179" s="231">
        <v>15005</v>
      </c>
      <c r="EN179" s="231">
        <v>1083063.82</v>
      </c>
      <c r="EO179" s="231">
        <v>1808788.77</v>
      </c>
      <c r="EP179" s="231">
        <v>-725724.95</v>
      </c>
      <c r="EQ179" s="229">
        <v>-0.4012</v>
      </c>
      <c r="ER179" s="231">
        <v>469811</v>
      </c>
      <c r="ES179" s="231">
        <v>323548</v>
      </c>
      <c r="ET179" s="231">
        <v>724060</v>
      </c>
      <c r="EU179" s="231">
        <v>407307212</v>
      </c>
      <c r="EV179" s="231">
        <v>1517420</v>
      </c>
      <c r="EW179" s="231">
        <v>1527610</v>
      </c>
      <c r="EX179" s="231">
        <v>-10190</v>
      </c>
      <c r="EY179" s="229">
        <v>-6.7000000000000002E-3</v>
      </c>
      <c r="EZ179" s="229">
        <v>0.38100000000000001</v>
      </c>
      <c r="FA179" s="227" t="s">
        <v>556</v>
      </c>
      <c r="FB179" s="161">
        <f t="shared" si="4"/>
        <v>0</v>
      </c>
    </row>
    <row r="180" spans="1:158" ht="17.25" thickBot="1" x14ac:dyDescent="0.3">
      <c r="A180" s="226">
        <v>46009</v>
      </c>
      <c r="B180" s="227" t="s">
        <v>157</v>
      </c>
      <c r="C180" s="227" t="s">
        <v>284</v>
      </c>
      <c r="D180" s="228">
        <v>25</v>
      </c>
      <c r="E180" s="231">
        <v>25755</v>
      </c>
      <c r="F180" s="231">
        <v>26080</v>
      </c>
      <c r="G180" s="228">
        <v>-325</v>
      </c>
      <c r="H180" s="229">
        <v>-1.2500000000000001E-2</v>
      </c>
      <c r="I180" s="231">
        <v>25645</v>
      </c>
      <c r="J180" s="231">
        <v>26045</v>
      </c>
      <c r="K180" s="228">
        <v>-400</v>
      </c>
      <c r="L180" s="229">
        <v>-1.54E-2</v>
      </c>
      <c r="M180" s="231">
        <v>25755</v>
      </c>
      <c r="N180" s="231">
        <v>26080</v>
      </c>
      <c r="O180" s="228">
        <v>-325</v>
      </c>
      <c r="P180" s="229">
        <v>-1.2500000000000001E-2</v>
      </c>
      <c r="Q180" s="231">
        <v>25820</v>
      </c>
      <c r="R180" s="231">
        <v>26140</v>
      </c>
      <c r="S180" s="228">
        <v>-320</v>
      </c>
      <c r="T180" s="229">
        <v>-1.2200000000000001E-2</v>
      </c>
      <c r="U180" s="231">
        <v>25780</v>
      </c>
      <c r="V180" s="231">
        <v>26270</v>
      </c>
      <c r="W180" s="228">
        <v>-490</v>
      </c>
      <c r="X180" s="229">
        <v>-1.8700000000000001E-2</v>
      </c>
      <c r="Y180" s="228">
        <v>110</v>
      </c>
      <c r="Z180" s="228">
        <v>35</v>
      </c>
      <c r="AA180" s="228">
        <v>75</v>
      </c>
      <c r="AB180" s="229">
        <v>4.3E-3</v>
      </c>
      <c r="AC180" s="228">
        <v>110</v>
      </c>
      <c r="AD180" s="228">
        <v>35</v>
      </c>
      <c r="AE180" s="228">
        <v>75</v>
      </c>
      <c r="AF180" s="229">
        <v>4.3E-3</v>
      </c>
      <c r="AG180" s="228">
        <v>175</v>
      </c>
      <c r="AH180" s="228">
        <v>95</v>
      </c>
      <c r="AI180" s="228">
        <v>80</v>
      </c>
      <c r="AJ180" s="229">
        <v>6.7999999999999996E-3</v>
      </c>
      <c r="AK180" s="228">
        <v>135</v>
      </c>
      <c r="AL180" s="228">
        <v>225</v>
      </c>
      <c r="AM180" s="228">
        <v>-90</v>
      </c>
      <c r="AN180" s="229">
        <v>5.3E-3</v>
      </c>
      <c r="AO180" s="231">
        <v>25848.65</v>
      </c>
      <c r="AP180" s="231">
        <v>25952.41</v>
      </c>
      <c r="AQ180" s="228">
        <v>0</v>
      </c>
      <c r="AR180" s="230">
        <v>63475</v>
      </c>
      <c r="AS180" s="230">
        <v>37650</v>
      </c>
      <c r="AT180" s="230">
        <v>25825</v>
      </c>
      <c r="AU180" s="229">
        <v>0.68589999999999995</v>
      </c>
      <c r="AV180" s="230">
        <v>49500</v>
      </c>
      <c r="AW180" s="230">
        <v>33550</v>
      </c>
      <c r="AX180" s="230">
        <v>15950</v>
      </c>
      <c r="AY180" s="229">
        <v>0.47539999999999999</v>
      </c>
      <c r="AZ180" s="230">
        <v>13300</v>
      </c>
      <c r="BA180" s="230">
        <v>4050</v>
      </c>
      <c r="BB180" s="230">
        <v>9250</v>
      </c>
      <c r="BC180" s="229">
        <v>2.2839999999999998</v>
      </c>
      <c r="BD180" s="228">
        <v>675</v>
      </c>
      <c r="BE180" s="228">
        <v>50</v>
      </c>
      <c r="BF180" s="228">
        <v>625</v>
      </c>
      <c r="BG180" s="229">
        <v>12.5</v>
      </c>
      <c r="BH180" s="230">
        <v>130275</v>
      </c>
      <c r="BI180" s="230">
        <v>110725</v>
      </c>
      <c r="BJ180" s="230">
        <v>19550</v>
      </c>
      <c r="BK180" s="229">
        <v>0.17660000000000001</v>
      </c>
      <c r="BL180" s="230">
        <v>34375</v>
      </c>
      <c r="BM180" s="230">
        <v>20425</v>
      </c>
      <c r="BN180" s="230">
        <v>13950</v>
      </c>
      <c r="BO180" s="229">
        <v>0.68300000000000005</v>
      </c>
      <c r="BP180" s="230">
        <v>228125</v>
      </c>
      <c r="BQ180" s="230">
        <v>168800</v>
      </c>
      <c r="BR180" s="230">
        <v>59325</v>
      </c>
      <c r="BS180" s="229">
        <v>0.35149999999999998</v>
      </c>
      <c r="BT180" s="230">
        <v>23740</v>
      </c>
      <c r="BU180" s="230">
        <v>64632</v>
      </c>
      <c r="BV180" s="230">
        <v>-40892</v>
      </c>
      <c r="BW180" s="229">
        <v>-0.63270000000000004</v>
      </c>
      <c r="BX180" s="230">
        <v>336175</v>
      </c>
      <c r="BY180" s="230">
        <v>325625</v>
      </c>
      <c r="BZ180" s="230">
        <v>10550</v>
      </c>
      <c r="CA180" s="229">
        <v>3.2399999999999998E-2</v>
      </c>
      <c r="CB180" s="230">
        <v>297250</v>
      </c>
      <c r="CC180" s="230">
        <v>291525</v>
      </c>
      <c r="CD180" s="230">
        <v>5725</v>
      </c>
      <c r="CE180" s="229">
        <v>1.9599999999999999E-2</v>
      </c>
      <c r="CF180" s="230">
        <v>37225</v>
      </c>
      <c r="CG180" s="230">
        <v>32200</v>
      </c>
      <c r="CH180" s="230">
        <v>5025</v>
      </c>
      <c r="CI180" s="229">
        <v>0.15609999999999999</v>
      </c>
      <c r="CJ180" s="230">
        <v>1700</v>
      </c>
      <c r="CK180" s="230">
        <v>1900</v>
      </c>
      <c r="CL180" s="228">
        <v>-200</v>
      </c>
      <c r="CM180" s="229">
        <v>-0.1053</v>
      </c>
      <c r="CN180" s="230">
        <v>151400</v>
      </c>
      <c r="CO180" s="230">
        <v>138650</v>
      </c>
      <c r="CP180" s="230">
        <v>12750</v>
      </c>
      <c r="CQ180" s="229">
        <v>9.1999999999999998E-2</v>
      </c>
      <c r="CR180" s="230">
        <v>60650</v>
      </c>
      <c r="CS180" s="230">
        <v>60925</v>
      </c>
      <c r="CT180" s="228">
        <v>-275</v>
      </c>
      <c r="CU180" s="229">
        <v>-4.4999999999999997E-3</v>
      </c>
      <c r="CV180" s="230">
        <v>548225</v>
      </c>
      <c r="CW180" s="230">
        <v>525200</v>
      </c>
      <c r="CX180" s="230">
        <v>23025</v>
      </c>
      <c r="CY180" s="229">
        <v>4.3799999999999999E-2</v>
      </c>
      <c r="CZ180" s="228">
        <v>21.66</v>
      </c>
      <c r="DA180" s="228">
        <v>22.49</v>
      </c>
      <c r="DB180" s="228">
        <v>-0.83</v>
      </c>
      <c r="DC180" s="228">
        <v>-0.83</v>
      </c>
      <c r="DD180" s="228">
        <v>24.74</v>
      </c>
      <c r="DE180" s="228">
        <v>24.75</v>
      </c>
      <c r="DF180" s="228">
        <v>-3.08</v>
      </c>
      <c r="DG180" s="228">
        <v>-0.01</v>
      </c>
      <c r="DH180" s="228">
        <v>22.09</v>
      </c>
      <c r="DI180" s="228">
        <v>22.81</v>
      </c>
      <c r="DJ180" s="228">
        <v>-0.72</v>
      </c>
      <c r="DK180" s="228">
        <v>-0.72</v>
      </c>
      <c r="DL180" s="228">
        <v>20</v>
      </c>
      <c r="DM180" s="228">
        <v>20.76</v>
      </c>
      <c r="DN180" s="228">
        <v>-0.76</v>
      </c>
      <c r="DO180" s="228">
        <v>-0.76</v>
      </c>
      <c r="DP180" s="228">
        <v>0.4</v>
      </c>
      <c r="DQ180" s="228">
        <v>0.44</v>
      </c>
      <c r="DR180" s="228">
        <v>-0.04</v>
      </c>
      <c r="DS180" s="229">
        <v>-9.0899999999999995E-2</v>
      </c>
      <c r="DT180" s="231">
        <v>27000</v>
      </c>
      <c r="DU180" s="231">
        <v>25000</v>
      </c>
      <c r="DV180" s="228">
        <v>0.26</v>
      </c>
      <c r="DW180" s="228">
        <v>0.18</v>
      </c>
      <c r="DX180" s="228">
        <v>0.08</v>
      </c>
      <c r="DY180" s="229">
        <v>0.44440000000000002</v>
      </c>
      <c r="DZ180" s="229">
        <v>0.1158</v>
      </c>
      <c r="EA180" s="230">
        <v>34100</v>
      </c>
      <c r="EB180" s="229">
        <v>2.5000000000000001E-3</v>
      </c>
      <c r="EC180" s="229">
        <v>0.1158</v>
      </c>
      <c r="ED180" s="228">
        <v>103.76</v>
      </c>
      <c r="EE180" s="229">
        <v>4.0000000000000001E-3</v>
      </c>
      <c r="EF180" s="230">
        <v>16570</v>
      </c>
      <c r="EG180" s="230">
        <v>54319</v>
      </c>
      <c r="EH180" s="229">
        <v>-0.69499999999999995</v>
      </c>
      <c r="EI180" s="229">
        <v>0.69799999999999995</v>
      </c>
      <c r="EJ180" s="231">
        <v>35643.53</v>
      </c>
      <c r="EK180" s="231">
        <v>8785.9699999999993</v>
      </c>
      <c r="EL180" s="231">
        <v>16421.400000000001</v>
      </c>
      <c r="EM180" s="231">
        <v>1909</v>
      </c>
      <c r="EN180" s="231">
        <v>60850.9</v>
      </c>
      <c r="EO180" s="231">
        <v>45694.58</v>
      </c>
      <c r="EP180" s="231">
        <v>15156.32</v>
      </c>
      <c r="EQ180" s="229">
        <v>0.33169999999999999</v>
      </c>
      <c r="ER180" s="231">
        <v>41402</v>
      </c>
      <c r="ES180" s="231">
        <v>15652</v>
      </c>
      <c r="ET180" s="231">
        <v>86606</v>
      </c>
      <c r="EU180" s="231">
        <v>1548028</v>
      </c>
      <c r="EV180" s="231">
        <v>143661</v>
      </c>
      <c r="EW180" s="231">
        <v>138778</v>
      </c>
      <c r="EX180" s="231">
        <v>4883</v>
      </c>
      <c r="EY180" s="229">
        <v>3.5200000000000002E-2</v>
      </c>
      <c r="EZ180" s="229">
        <v>0.35410000000000003</v>
      </c>
      <c r="FA180" s="227" t="s">
        <v>567</v>
      </c>
      <c r="FB180" s="161">
        <f t="shared" si="4"/>
        <v>0</v>
      </c>
    </row>
    <row r="181" spans="1:158" ht="17.25" thickBot="1" x14ac:dyDescent="0.3">
      <c r="A181" s="226">
        <v>46009</v>
      </c>
      <c r="B181" s="227" t="s">
        <v>175</v>
      </c>
      <c r="C181" s="227" t="s">
        <v>562</v>
      </c>
      <c r="D181" s="228">
        <v>825</v>
      </c>
      <c r="E181" s="228">
        <v>869.55</v>
      </c>
      <c r="F181" s="228">
        <v>867.95</v>
      </c>
      <c r="G181" s="228">
        <v>1.6</v>
      </c>
      <c r="H181" s="229">
        <v>1.8E-3</v>
      </c>
      <c r="I181" s="228">
        <v>869.45</v>
      </c>
      <c r="J181" s="228">
        <v>864.2</v>
      </c>
      <c r="K181" s="228">
        <v>5.25</v>
      </c>
      <c r="L181" s="229">
        <v>6.1000000000000004E-3</v>
      </c>
      <c r="M181" s="228">
        <v>869.55</v>
      </c>
      <c r="N181" s="228">
        <v>867.95</v>
      </c>
      <c r="O181" s="228">
        <v>1.6</v>
      </c>
      <c r="P181" s="229">
        <v>1.8E-3</v>
      </c>
      <c r="Q181" s="228">
        <v>875</v>
      </c>
      <c r="R181" s="228">
        <v>872.95</v>
      </c>
      <c r="S181" s="228">
        <v>2.0499999999999998</v>
      </c>
      <c r="T181" s="229">
        <v>2.3E-3</v>
      </c>
      <c r="U181" s="228">
        <v>874.8</v>
      </c>
      <c r="V181" s="228">
        <v>874.05</v>
      </c>
      <c r="W181" s="228">
        <v>0.75</v>
      </c>
      <c r="X181" s="229">
        <v>8.9999999999999998E-4</v>
      </c>
      <c r="Y181" s="228">
        <v>0.1</v>
      </c>
      <c r="Z181" s="228">
        <v>3.75</v>
      </c>
      <c r="AA181" s="228">
        <v>-3.65</v>
      </c>
      <c r="AB181" s="229">
        <v>1E-4</v>
      </c>
      <c r="AC181" s="228">
        <v>0.1</v>
      </c>
      <c r="AD181" s="228">
        <v>3.75</v>
      </c>
      <c r="AE181" s="228">
        <v>-3.65</v>
      </c>
      <c r="AF181" s="229">
        <v>1E-4</v>
      </c>
      <c r="AG181" s="228">
        <v>5.55</v>
      </c>
      <c r="AH181" s="228">
        <v>8.75</v>
      </c>
      <c r="AI181" s="228">
        <v>-3.2</v>
      </c>
      <c r="AJ181" s="229">
        <v>6.4000000000000003E-3</v>
      </c>
      <c r="AK181" s="228">
        <v>5.35</v>
      </c>
      <c r="AL181" s="228">
        <v>9.85</v>
      </c>
      <c r="AM181" s="228">
        <v>-4.5</v>
      </c>
      <c r="AN181" s="229">
        <v>6.1999999999999998E-3</v>
      </c>
      <c r="AO181" s="228">
        <v>871.32</v>
      </c>
      <c r="AP181" s="228">
        <v>876.29</v>
      </c>
      <c r="AQ181" s="228">
        <v>0</v>
      </c>
      <c r="AR181" s="230">
        <v>14737800</v>
      </c>
      <c r="AS181" s="230">
        <v>15138750</v>
      </c>
      <c r="AT181" s="230">
        <v>-400950</v>
      </c>
      <c r="AU181" s="229">
        <v>-2.6499999999999999E-2</v>
      </c>
      <c r="AV181" s="230">
        <v>12868350</v>
      </c>
      <c r="AW181" s="230">
        <v>12438525</v>
      </c>
      <c r="AX181" s="230">
        <v>429825</v>
      </c>
      <c r="AY181" s="229">
        <v>3.4599999999999999E-2</v>
      </c>
      <c r="AZ181" s="230">
        <v>1761375</v>
      </c>
      <c r="BA181" s="230">
        <v>2573175</v>
      </c>
      <c r="BB181" s="230">
        <v>-811800</v>
      </c>
      <c r="BC181" s="229">
        <v>-0.3155</v>
      </c>
      <c r="BD181" s="230">
        <v>108075</v>
      </c>
      <c r="BE181" s="230">
        <v>127050</v>
      </c>
      <c r="BF181" s="230">
        <v>-18975</v>
      </c>
      <c r="BG181" s="229">
        <v>-0.14940000000000001</v>
      </c>
      <c r="BH181" s="230">
        <v>39581850</v>
      </c>
      <c r="BI181" s="230">
        <v>77833800</v>
      </c>
      <c r="BJ181" s="230">
        <v>-38251950</v>
      </c>
      <c r="BK181" s="229">
        <v>-0.49149999999999999</v>
      </c>
      <c r="BL181" s="230">
        <v>22165275</v>
      </c>
      <c r="BM181" s="230">
        <v>27264600</v>
      </c>
      <c r="BN181" s="230">
        <v>-5099325</v>
      </c>
      <c r="BO181" s="229">
        <v>-0.187</v>
      </c>
      <c r="BP181" s="230">
        <v>76484925</v>
      </c>
      <c r="BQ181" s="230">
        <v>120237150</v>
      </c>
      <c r="BR181" s="230">
        <v>-43752225</v>
      </c>
      <c r="BS181" s="229">
        <v>-0.3639</v>
      </c>
      <c r="BT181" s="230">
        <v>13354050</v>
      </c>
      <c r="BU181" s="230">
        <v>12360141</v>
      </c>
      <c r="BV181" s="230">
        <v>993909</v>
      </c>
      <c r="BW181" s="229">
        <v>8.0399999999999999E-2</v>
      </c>
      <c r="BX181" s="230">
        <v>64087650</v>
      </c>
      <c r="BY181" s="230">
        <v>67734975</v>
      </c>
      <c r="BZ181" s="230">
        <v>-3647325</v>
      </c>
      <c r="CA181" s="229">
        <v>-5.3800000000000001E-2</v>
      </c>
      <c r="CB181" s="230">
        <v>59790225</v>
      </c>
      <c r="CC181" s="230">
        <v>63834375</v>
      </c>
      <c r="CD181" s="230">
        <v>-4044150</v>
      </c>
      <c r="CE181" s="229">
        <v>-6.3399999999999998E-2</v>
      </c>
      <c r="CF181" s="230">
        <v>4017750</v>
      </c>
      <c r="CG181" s="230">
        <v>3634950</v>
      </c>
      <c r="CH181" s="230">
        <v>382800</v>
      </c>
      <c r="CI181" s="229">
        <v>0.1053</v>
      </c>
      <c r="CJ181" s="230">
        <v>279675</v>
      </c>
      <c r="CK181" s="230">
        <v>265650</v>
      </c>
      <c r="CL181" s="230">
        <v>14025</v>
      </c>
      <c r="CM181" s="229">
        <v>5.28E-2</v>
      </c>
      <c r="CN181" s="230">
        <v>21280050</v>
      </c>
      <c r="CO181" s="230">
        <v>22420200</v>
      </c>
      <c r="CP181" s="230">
        <v>-1140150</v>
      </c>
      <c r="CQ181" s="229">
        <v>-5.0900000000000001E-2</v>
      </c>
      <c r="CR181" s="230">
        <v>14166075</v>
      </c>
      <c r="CS181" s="230">
        <v>12798225</v>
      </c>
      <c r="CT181" s="230">
        <v>1367850</v>
      </c>
      <c r="CU181" s="229">
        <v>0.1069</v>
      </c>
      <c r="CV181" s="230">
        <v>99533775</v>
      </c>
      <c r="CW181" s="230">
        <v>102953400</v>
      </c>
      <c r="CX181" s="230">
        <v>-3419625</v>
      </c>
      <c r="CY181" s="229">
        <v>-3.32E-2</v>
      </c>
      <c r="CZ181" s="228">
        <v>33.86</v>
      </c>
      <c r="DA181" s="228">
        <v>33.799999999999997</v>
      </c>
      <c r="DB181" s="228">
        <v>0.06</v>
      </c>
      <c r="DC181" s="228">
        <v>0.06</v>
      </c>
      <c r="DD181" s="228">
        <v>39.04</v>
      </c>
      <c r="DE181" s="228">
        <v>39.130000000000003</v>
      </c>
      <c r="DF181" s="228">
        <v>-5.18</v>
      </c>
      <c r="DG181" s="228">
        <v>-0.09</v>
      </c>
      <c r="DH181" s="228">
        <v>33.659999999999997</v>
      </c>
      <c r="DI181" s="228">
        <v>33.93</v>
      </c>
      <c r="DJ181" s="228">
        <v>-0.27</v>
      </c>
      <c r="DK181" s="228">
        <v>-0.27</v>
      </c>
      <c r="DL181" s="228">
        <v>34.24</v>
      </c>
      <c r="DM181" s="228">
        <v>33.450000000000003</v>
      </c>
      <c r="DN181" s="228">
        <v>0.79</v>
      </c>
      <c r="DO181" s="228">
        <v>0.79</v>
      </c>
      <c r="DP181" s="228">
        <v>0.67</v>
      </c>
      <c r="DQ181" s="228">
        <v>0.56999999999999995</v>
      </c>
      <c r="DR181" s="228">
        <v>0.1</v>
      </c>
      <c r="DS181" s="229">
        <v>0.1754</v>
      </c>
      <c r="DT181" s="228">
        <v>880</v>
      </c>
      <c r="DU181" s="228">
        <v>850</v>
      </c>
      <c r="DV181" s="228">
        <v>0.56000000000000005</v>
      </c>
      <c r="DW181" s="228">
        <v>0.35</v>
      </c>
      <c r="DX181" s="228">
        <v>0.21</v>
      </c>
      <c r="DY181" s="229">
        <v>0.6</v>
      </c>
      <c r="DZ181" s="229">
        <v>6.7100000000000007E-2</v>
      </c>
      <c r="EA181" s="230">
        <v>3900600</v>
      </c>
      <c r="EB181" s="229">
        <v>6.3E-3</v>
      </c>
      <c r="EC181" s="229">
        <v>6.7100000000000007E-2</v>
      </c>
      <c r="ED181" s="228">
        <v>4.97</v>
      </c>
      <c r="EE181" s="229">
        <v>5.7000000000000002E-3</v>
      </c>
      <c r="EF181" s="230">
        <v>9299398</v>
      </c>
      <c r="EG181" s="230">
        <v>6903921</v>
      </c>
      <c r="EH181" s="229">
        <v>0.34699999999999998</v>
      </c>
      <c r="EI181" s="229">
        <v>0.69640000000000002</v>
      </c>
      <c r="EJ181" s="231">
        <v>358696.52</v>
      </c>
      <c r="EK181" s="231">
        <v>189224.52</v>
      </c>
      <c r="EL181" s="231">
        <v>128506</v>
      </c>
      <c r="EM181" s="231">
        <v>11444</v>
      </c>
      <c r="EN181" s="231">
        <v>676427.04</v>
      </c>
      <c r="EO181" s="231">
        <v>1066293.96</v>
      </c>
      <c r="EP181" s="231">
        <v>-389866.92</v>
      </c>
      <c r="EQ181" s="229">
        <v>-0.36559999999999998</v>
      </c>
      <c r="ER181" s="231">
        <v>189105</v>
      </c>
      <c r="ES181" s="231">
        <v>116661</v>
      </c>
      <c r="ET181" s="231">
        <v>557508</v>
      </c>
      <c r="EU181" s="231">
        <v>210459276</v>
      </c>
      <c r="EV181" s="231">
        <v>863274</v>
      </c>
      <c r="EW181" s="231">
        <v>892283</v>
      </c>
      <c r="EX181" s="231">
        <v>-29009</v>
      </c>
      <c r="EY181" s="229">
        <v>-3.2500000000000001E-2</v>
      </c>
      <c r="EZ181" s="229">
        <v>0.47289999999999999</v>
      </c>
      <c r="FA181" s="227" t="s">
        <v>556</v>
      </c>
      <c r="FB181" s="161">
        <f t="shared" si="4"/>
        <v>0</v>
      </c>
    </row>
    <row r="182" spans="1:158" ht="17.25" thickBot="1" x14ac:dyDescent="0.3">
      <c r="A182" s="226">
        <v>46009</v>
      </c>
      <c r="B182" s="227" t="s">
        <v>184</v>
      </c>
      <c r="C182" s="227" t="s">
        <v>285</v>
      </c>
      <c r="D182" s="228">
        <v>125</v>
      </c>
      <c r="E182" s="231">
        <v>3080.4</v>
      </c>
      <c r="F182" s="231">
        <v>3152.3</v>
      </c>
      <c r="G182" s="228">
        <v>-71.900000000000006</v>
      </c>
      <c r="H182" s="229">
        <v>-2.2800000000000001E-2</v>
      </c>
      <c r="I182" s="231">
        <v>3074</v>
      </c>
      <c r="J182" s="231">
        <v>3140.1</v>
      </c>
      <c r="K182" s="228">
        <v>-66.099999999999994</v>
      </c>
      <c r="L182" s="229">
        <v>-2.1100000000000001E-2</v>
      </c>
      <c r="M182" s="231">
        <v>3080.4</v>
      </c>
      <c r="N182" s="231">
        <v>3152.3</v>
      </c>
      <c r="O182" s="228">
        <v>-71.900000000000006</v>
      </c>
      <c r="P182" s="229">
        <v>-2.2800000000000001E-2</v>
      </c>
      <c r="Q182" s="231">
        <v>3097</v>
      </c>
      <c r="R182" s="231">
        <v>3163.3</v>
      </c>
      <c r="S182" s="228">
        <v>-66.3</v>
      </c>
      <c r="T182" s="229">
        <v>-2.1000000000000001E-2</v>
      </c>
      <c r="U182" s="231">
        <v>3097.7</v>
      </c>
      <c r="V182" s="231">
        <v>3183</v>
      </c>
      <c r="W182" s="228">
        <v>-85.3</v>
      </c>
      <c r="X182" s="229">
        <v>-2.6800000000000001E-2</v>
      </c>
      <c r="Y182" s="228">
        <v>6.4</v>
      </c>
      <c r="Z182" s="228">
        <v>12.2</v>
      </c>
      <c r="AA182" s="228">
        <v>-5.8</v>
      </c>
      <c r="AB182" s="229">
        <v>2.0999999999999999E-3</v>
      </c>
      <c r="AC182" s="228">
        <v>6.4</v>
      </c>
      <c r="AD182" s="228">
        <v>12.2</v>
      </c>
      <c r="AE182" s="228">
        <v>-5.8</v>
      </c>
      <c r="AF182" s="229">
        <v>2.0999999999999999E-3</v>
      </c>
      <c r="AG182" s="228">
        <v>23</v>
      </c>
      <c r="AH182" s="228">
        <v>23.2</v>
      </c>
      <c r="AI182" s="228">
        <v>-0.2</v>
      </c>
      <c r="AJ182" s="229">
        <v>7.4999999999999997E-3</v>
      </c>
      <c r="AK182" s="228">
        <v>23.7</v>
      </c>
      <c r="AL182" s="228">
        <v>42.9</v>
      </c>
      <c r="AM182" s="228">
        <v>-19.2</v>
      </c>
      <c r="AN182" s="229">
        <v>7.7000000000000002E-3</v>
      </c>
      <c r="AO182" s="231">
        <v>3088.66</v>
      </c>
      <c r="AP182" s="231">
        <v>3102.09</v>
      </c>
      <c r="AQ182" s="228">
        <v>0</v>
      </c>
      <c r="AR182" s="230">
        <v>601625</v>
      </c>
      <c r="AS182" s="230">
        <v>309625</v>
      </c>
      <c r="AT182" s="230">
        <v>292000</v>
      </c>
      <c r="AU182" s="229">
        <v>0.94310000000000005</v>
      </c>
      <c r="AV182" s="230">
        <v>498500</v>
      </c>
      <c r="AW182" s="230">
        <v>289000</v>
      </c>
      <c r="AX182" s="230">
        <v>209500</v>
      </c>
      <c r="AY182" s="229">
        <v>0.72489999999999999</v>
      </c>
      <c r="AZ182" s="230">
        <v>99875</v>
      </c>
      <c r="BA182" s="230">
        <v>20375</v>
      </c>
      <c r="BB182" s="230">
        <v>79500</v>
      </c>
      <c r="BC182" s="229">
        <v>3.9018000000000002</v>
      </c>
      <c r="BD182" s="230">
        <v>3250</v>
      </c>
      <c r="BE182" s="228">
        <v>250</v>
      </c>
      <c r="BF182" s="230">
        <v>3000</v>
      </c>
      <c r="BG182" s="229">
        <v>12</v>
      </c>
      <c r="BH182" s="230">
        <v>4150375</v>
      </c>
      <c r="BI182" s="230">
        <v>1455000</v>
      </c>
      <c r="BJ182" s="230">
        <v>2695375</v>
      </c>
      <c r="BK182" s="229">
        <v>1.8525</v>
      </c>
      <c r="BL182" s="230">
        <v>2449000</v>
      </c>
      <c r="BM182" s="230">
        <v>585625</v>
      </c>
      <c r="BN182" s="230">
        <v>1863375</v>
      </c>
      <c r="BO182" s="229">
        <v>3.1819000000000002</v>
      </c>
      <c r="BP182" s="230">
        <v>7201000</v>
      </c>
      <c r="BQ182" s="230">
        <v>2350250</v>
      </c>
      <c r="BR182" s="230">
        <v>4850750</v>
      </c>
      <c r="BS182" s="229">
        <v>2.0638999999999998</v>
      </c>
      <c r="BT182" s="230">
        <v>517078</v>
      </c>
      <c r="BU182" s="230">
        <v>298668</v>
      </c>
      <c r="BV182" s="230">
        <v>218410</v>
      </c>
      <c r="BW182" s="229">
        <v>0.73129999999999995</v>
      </c>
      <c r="BX182" s="230">
        <v>3044950</v>
      </c>
      <c r="BY182" s="230">
        <v>3059800</v>
      </c>
      <c r="BZ182" s="230">
        <v>-14850</v>
      </c>
      <c r="CA182" s="229">
        <v>-4.8999999999999998E-3</v>
      </c>
      <c r="CB182" s="230">
        <v>2687250</v>
      </c>
      <c r="CC182" s="230">
        <v>2714000</v>
      </c>
      <c r="CD182" s="230">
        <v>-26750</v>
      </c>
      <c r="CE182" s="229">
        <v>-9.9000000000000008E-3</v>
      </c>
      <c r="CF182" s="230">
        <v>340900</v>
      </c>
      <c r="CG182" s="230">
        <v>332325</v>
      </c>
      <c r="CH182" s="230">
        <v>8575</v>
      </c>
      <c r="CI182" s="229">
        <v>2.58E-2</v>
      </c>
      <c r="CJ182" s="230">
        <v>16800</v>
      </c>
      <c r="CK182" s="230">
        <v>13475</v>
      </c>
      <c r="CL182" s="230">
        <v>3325</v>
      </c>
      <c r="CM182" s="229">
        <v>0.24679999999999999</v>
      </c>
      <c r="CN182" s="230">
        <v>2556100</v>
      </c>
      <c r="CO182" s="230">
        <v>2298950</v>
      </c>
      <c r="CP182" s="230">
        <v>257150</v>
      </c>
      <c r="CQ182" s="229">
        <v>0.1119</v>
      </c>
      <c r="CR182" s="230">
        <v>1172575</v>
      </c>
      <c r="CS182" s="230">
        <v>1204050</v>
      </c>
      <c r="CT182" s="230">
        <v>-31475</v>
      </c>
      <c r="CU182" s="229">
        <v>-2.6100000000000002E-2</v>
      </c>
      <c r="CV182" s="230">
        <v>6773625</v>
      </c>
      <c r="CW182" s="230">
        <v>6562800</v>
      </c>
      <c r="CX182" s="230">
        <v>210825</v>
      </c>
      <c r="CY182" s="229">
        <v>3.2099999999999997E-2</v>
      </c>
      <c r="CZ182" s="228">
        <v>26.02</v>
      </c>
      <c r="DA182" s="228">
        <v>26.01</v>
      </c>
      <c r="DB182" s="228">
        <v>0.01</v>
      </c>
      <c r="DC182" s="228">
        <v>0.01</v>
      </c>
      <c r="DD182" s="228">
        <v>37.81</v>
      </c>
      <c r="DE182" s="228">
        <v>37.799999999999997</v>
      </c>
      <c r="DF182" s="228">
        <v>-11.79</v>
      </c>
      <c r="DG182" s="228">
        <v>0.01</v>
      </c>
      <c r="DH182" s="228">
        <v>26.58</v>
      </c>
      <c r="DI182" s="228">
        <v>26.32</v>
      </c>
      <c r="DJ182" s="228">
        <v>0.26</v>
      </c>
      <c r="DK182" s="228">
        <v>0.26</v>
      </c>
      <c r="DL182" s="228">
        <v>25.08</v>
      </c>
      <c r="DM182" s="228">
        <v>25.26</v>
      </c>
      <c r="DN182" s="228">
        <v>-0.18</v>
      </c>
      <c r="DO182" s="228">
        <v>-0.18</v>
      </c>
      <c r="DP182" s="228">
        <v>0.46</v>
      </c>
      <c r="DQ182" s="228">
        <v>0.52</v>
      </c>
      <c r="DR182" s="228">
        <v>-0.06</v>
      </c>
      <c r="DS182" s="229">
        <v>-0.1154</v>
      </c>
      <c r="DT182" s="231">
        <v>3300</v>
      </c>
      <c r="DU182" s="231">
        <v>3000</v>
      </c>
      <c r="DV182" s="228">
        <v>0.59</v>
      </c>
      <c r="DW182" s="228">
        <v>0.4</v>
      </c>
      <c r="DX182" s="228">
        <v>0.19</v>
      </c>
      <c r="DY182" s="229">
        <v>0.47499999999999998</v>
      </c>
      <c r="DZ182" s="229">
        <v>0.11749999999999999</v>
      </c>
      <c r="EA182" s="230">
        <v>345800</v>
      </c>
      <c r="EB182" s="229">
        <v>5.4000000000000003E-3</v>
      </c>
      <c r="EC182" s="229">
        <v>0.11749999999999999</v>
      </c>
      <c r="ED182" s="228">
        <v>13.43</v>
      </c>
      <c r="EE182" s="229">
        <v>4.3E-3</v>
      </c>
      <c r="EF182" s="230">
        <v>296117</v>
      </c>
      <c r="EG182" s="230">
        <v>186621</v>
      </c>
      <c r="EH182" s="229">
        <v>0.5867</v>
      </c>
      <c r="EI182" s="229">
        <v>0.57269999999999999</v>
      </c>
      <c r="EJ182" s="231">
        <v>135629.87</v>
      </c>
      <c r="EK182" s="231">
        <v>75455.59</v>
      </c>
      <c r="EL182" s="231">
        <v>19875.97</v>
      </c>
      <c r="EM182" s="231">
        <v>7737</v>
      </c>
      <c r="EN182" s="231">
        <v>230961.43</v>
      </c>
      <c r="EO182" s="231">
        <v>76452.91</v>
      </c>
      <c r="EP182" s="231">
        <v>154508.51999999999</v>
      </c>
      <c r="EQ182" s="229">
        <v>2.0209999999999999</v>
      </c>
      <c r="ER182" s="231">
        <v>84730</v>
      </c>
      <c r="ES182" s="231">
        <v>35698</v>
      </c>
      <c r="ET182" s="231">
        <v>93856</v>
      </c>
      <c r="EU182" s="231">
        <v>13354588</v>
      </c>
      <c r="EV182" s="231">
        <v>214284</v>
      </c>
      <c r="EW182" s="231">
        <v>209917</v>
      </c>
      <c r="EX182" s="231">
        <v>4367</v>
      </c>
      <c r="EY182" s="229">
        <v>2.0799999999999999E-2</v>
      </c>
      <c r="EZ182" s="229">
        <v>0.50719999999999998</v>
      </c>
      <c r="FA182" s="227" t="s">
        <v>568</v>
      </c>
      <c r="FB182" s="161">
        <f t="shared" si="4"/>
        <v>0</v>
      </c>
    </row>
    <row r="183" spans="1:158" ht="17.25" thickBot="1" x14ac:dyDescent="0.3">
      <c r="A183" s="226">
        <v>46009</v>
      </c>
      <c r="B183" s="227" t="s">
        <v>498</v>
      </c>
      <c r="C183" s="227" t="s">
        <v>646</v>
      </c>
      <c r="D183" s="228">
        <v>75</v>
      </c>
      <c r="E183" s="231">
        <v>11802</v>
      </c>
      <c r="F183" s="231">
        <v>11824</v>
      </c>
      <c r="G183" s="228">
        <v>-22</v>
      </c>
      <c r="H183" s="229">
        <v>-1.9E-3</v>
      </c>
      <c r="I183" s="231">
        <v>11772</v>
      </c>
      <c r="J183" s="231">
        <v>11815</v>
      </c>
      <c r="K183" s="228">
        <v>-43</v>
      </c>
      <c r="L183" s="229">
        <v>-3.5999999999999999E-3</v>
      </c>
      <c r="M183" s="231">
        <v>11802</v>
      </c>
      <c r="N183" s="231">
        <v>11824</v>
      </c>
      <c r="O183" s="228">
        <v>-22</v>
      </c>
      <c r="P183" s="229">
        <v>-1.9E-3</v>
      </c>
      <c r="Q183" s="231">
        <v>11874</v>
      </c>
      <c r="R183" s="231">
        <v>11910</v>
      </c>
      <c r="S183" s="228">
        <v>-36</v>
      </c>
      <c r="T183" s="229">
        <v>-3.0000000000000001E-3</v>
      </c>
      <c r="U183" s="231">
        <v>11952</v>
      </c>
      <c r="V183" s="231">
        <v>11960</v>
      </c>
      <c r="W183" s="228">
        <v>-8</v>
      </c>
      <c r="X183" s="229">
        <v>-6.9999999999999999E-4</v>
      </c>
      <c r="Y183" s="228">
        <v>30</v>
      </c>
      <c r="Z183" s="228">
        <v>9</v>
      </c>
      <c r="AA183" s="228">
        <v>21</v>
      </c>
      <c r="AB183" s="229">
        <v>2.5000000000000001E-3</v>
      </c>
      <c r="AC183" s="228">
        <v>30</v>
      </c>
      <c r="AD183" s="228">
        <v>9</v>
      </c>
      <c r="AE183" s="228">
        <v>21</v>
      </c>
      <c r="AF183" s="229">
        <v>2.5000000000000001E-3</v>
      </c>
      <c r="AG183" s="228">
        <v>102</v>
      </c>
      <c r="AH183" s="228">
        <v>95</v>
      </c>
      <c r="AI183" s="228">
        <v>7</v>
      </c>
      <c r="AJ183" s="229">
        <v>8.6999999999999994E-3</v>
      </c>
      <c r="AK183" s="228">
        <v>180</v>
      </c>
      <c r="AL183" s="228">
        <v>145</v>
      </c>
      <c r="AM183" s="228">
        <v>35</v>
      </c>
      <c r="AN183" s="229">
        <v>1.5299999999999999E-2</v>
      </c>
      <c r="AO183" s="231">
        <v>11775.34</v>
      </c>
      <c r="AP183" s="231">
        <v>11853.8</v>
      </c>
      <c r="AQ183" s="228">
        <v>0</v>
      </c>
      <c r="AR183" s="230">
        <v>176175</v>
      </c>
      <c r="AS183" s="230">
        <v>122400</v>
      </c>
      <c r="AT183" s="230">
        <v>53775</v>
      </c>
      <c r="AU183" s="229">
        <v>0.43930000000000002</v>
      </c>
      <c r="AV183" s="230">
        <v>123225</v>
      </c>
      <c r="AW183" s="230">
        <v>98325</v>
      </c>
      <c r="AX183" s="230">
        <v>24900</v>
      </c>
      <c r="AY183" s="229">
        <v>0.25319999999999998</v>
      </c>
      <c r="AZ183" s="230">
        <v>48900</v>
      </c>
      <c r="BA183" s="230">
        <v>21600</v>
      </c>
      <c r="BB183" s="230">
        <v>27300</v>
      </c>
      <c r="BC183" s="229">
        <v>1.2639</v>
      </c>
      <c r="BD183" s="230">
        <v>4050</v>
      </c>
      <c r="BE183" s="230">
        <v>2475</v>
      </c>
      <c r="BF183" s="230">
        <v>1575</v>
      </c>
      <c r="BG183" s="229">
        <v>0.63639999999999997</v>
      </c>
      <c r="BH183" s="230">
        <v>695475</v>
      </c>
      <c r="BI183" s="230">
        <v>643575</v>
      </c>
      <c r="BJ183" s="230">
        <v>51900</v>
      </c>
      <c r="BK183" s="229">
        <v>8.0600000000000005E-2</v>
      </c>
      <c r="BL183" s="230">
        <v>405225</v>
      </c>
      <c r="BM183" s="230">
        <v>405300</v>
      </c>
      <c r="BN183" s="228">
        <v>-75</v>
      </c>
      <c r="BO183" s="229">
        <v>-2.0000000000000001E-4</v>
      </c>
      <c r="BP183" s="230">
        <v>1276875</v>
      </c>
      <c r="BQ183" s="230">
        <v>1171275</v>
      </c>
      <c r="BR183" s="230">
        <v>105600</v>
      </c>
      <c r="BS183" s="229">
        <v>9.0200000000000002E-2</v>
      </c>
      <c r="BT183" s="230">
        <v>122542</v>
      </c>
      <c r="BU183" s="230">
        <v>63667</v>
      </c>
      <c r="BV183" s="230">
        <v>58875</v>
      </c>
      <c r="BW183" s="229">
        <v>0.92469999999999997</v>
      </c>
      <c r="BX183" s="230">
        <v>1025875</v>
      </c>
      <c r="BY183" s="230">
        <v>1015825</v>
      </c>
      <c r="BZ183" s="230">
        <v>10050</v>
      </c>
      <c r="CA183" s="229">
        <v>9.9000000000000008E-3</v>
      </c>
      <c r="CB183" s="230">
        <v>925125</v>
      </c>
      <c r="CC183" s="230">
        <v>929475</v>
      </c>
      <c r="CD183" s="230">
        <v>-4350</v>
      </c>
      <c r="CE183" s="229">
        <v>-4.7000000000000002E-3</v>
      </c>
      <c r="CF183" s="230">
        <v>86250</v>
      </c>
      <c r="CG183" s="230">
        <v>71650</v>
      </c>
      <c r="CH183" s="230">
        <v>14600</v>
      </c>
      <c r="CI183" s="229">
        <v>0.20380000000000001</v>
      </c>
      <c r="CJ183" s="230">
        <v>14500</v>
      </c>
      <c r="CK183" s="230">
        <v>14700</v>
      </c>
      <c r="CL183" s="228">
        <v>-200</v>
      </c>
      <c r="CM183" s="229">
        <v>-1.3599999999999999E-2</v>
      </c>
      <c r="CN183" s="230">
        <v>804450</v>
      </c>
      <c r="CO183" s="230">
        <v>834425</v>
      </c>
      <c r="CP183" s="230">
        <v>-29975</v>
      </c>
      <c r="CQ183" s="229">
        <v>-3.5900000000000001E-2</v>
      </c>
      <c r="CR183" s="230">
        <v>321025</v>
      </c>
      <c r="CS183" s="230">
        <v>317250</v>
      </c>
      <c r="CT183" s="230">
        <v>3775</v>
      </c>
      <c r="CU183" s="229">
        <v>1.1900000000000001E-2</v>
      </c>
      <c r="CV183" s="230">
        <v>2151350</v>
      </c>
      <c r="CW183" s="230">
        <v>2167500</v>
      </c>
      <c r="CX183" s="230">
        <v>-16150</v>
      </c>
      <c r="CY183" s="229">
        <v>-7.4999999999999997E-3</v>
      </c>
      <c r="CZ183" s="228">
        <v>30.59</v>
      </c>
      <c r="DA183" s="228">
        <v>31</v>
      </c>
      <c r="DB183" s="228">
        <v>-0.41</v>
      </c>
      <c r="DC183" s="228">
        <v>-0.41</v>
      </c>
      <c r="DD183" s="228">
        <v>39.17</v>
      </c>
      <c r="DE183" s="228">
        <v>39.26</v>
      </c>
      <c r="DF183" s="228">
        <v>-8.58</v>
      </c>
      <c r="DG183" s="228">
        <v>-0.09</v>
      </c>
      <c r="DH183" s="228">
        <v>31.13</v>
      </c>
      <c r="DI183" s="228">
        <v>32.06</v>
      </c>
      <c r="DJ183" s="228">
        <v>-0.93</v>
      </c>
      <c r="DK183" s="228">
        <v>-0.93</v>
      </c>
      <c r="DL183" s="228">
        <v>29.67</v>
      </c>
      <c r="DM183" s="228">
        <v>29.31</v>
      </c>
      <c r="DN183" s="228">
        <v>0.36</v>
      </c>
      <c r="DO183" s="228">
        <v>0.36</v>
      </c>
      <c r="DP183" s="228">
        <v>0.4</v>
      </c>
      <c r="DQ183" s="228">
        <v>0.38</v>
      </c>
      <c r="DR183" s="228">
        <v>0.02</v>
      </c>
      <c r="DS183" s="229">
        <v>5.2600000000000001E-2</v>
      </c>
      <c r="DT183" s="231">
        <v>14000</v>
      </c>
      <c r="DU183" s="231">
        <v>13000</v>
      </c>
      <c r="DV183" s="228">
        <v>0.57999999999999996</v>
      </c>
      <c r="DW183" s="228">
        <v>0.63</v>
      </c>
      <c r="DX183" s="228">
        <v>-0.05</v>
      </c>
      <c r="DY183" s="229">
        <v>-7.9399999999999998E-2</v>
      </c>
      <c r="DZ183" s="229">
        <v>9.8199999999999996E-2</v>
      </c>
      <c r="EA183" s="230">
        <v>86350</v>
      </c>
      <c r="EB183" s="229">
        <v>6.1000000000000004E-3</v>
      </c>
      <c r="EC183" s="229">
        <v>9.8199999999999996E-2</v>
      </c>
      <c r="ED183" s="228">
        <v>78.459999999999994</v>
      </c>
      <c r="EE183" s="229">
        <v>6.7000000000000002E-3</v>
      </c>
      <c r="EF183" s="230">
        <v>69935</v>
      </c>
      <c r="EG183" s="230">
        <v>27272</v>
      </c>
      <c r="EH183" s="229">
        <v>1.5644</v>
      </c>
      <c r="EI183" s="229">
        <v>0.57069999999999999</v>
      </c>
      <c r="EJ183" s="231">
        <v>88262.52</v>
      </c>
      <c r="EK183" s="231">
        <v>46387.6</v>
      </c>
      <c r="EL183" s="231">
        <v>18695.82</v>
      </c>
      <c r="EM183" s="231">
        <v>1693</v>
      </c>
      <c r="EN183" s="231">
        <v>153345.94</v>
      </c>
      <c r="EO183" s="231">
        <v>142961.98000000001</v>
      </c>
      <c r="EP183" s="231">
        <v>10383.959999999999</v>
      </c>
      <c r="EQ183" s="229">
        <v>7.2599999999999998E-2</v>
      </c>
      <c r="ER183" s="231">
        <v>107234</v>
      </c>
      <c r="ES183" s="231">
        <v>39761</v>
      </c>
      <c r="ET183" s="231">
        <v>121158</v>
      </c>
      <c r="EU183" s="231">
        <v>3644817</v>
      </c>
      <c r="EV183" s="231">
        <v>268153</v>
      </c>
      <c r="EW183" s="231">
        <v>271497</v>
      </c>
      <c r="EX183" s="231">
        <v>-3344</v>
      </c>
      <c r="EY183" s="229">
        <v>-1.23E-2</v>
      </c>
      <c r="EZ183" s="229">
        <v>0.59019999999999995</v>
      </c>
      <c r="FA183" s="227" t="s">
        <v>567</v>
      </c>
      <c r="FB183" s="161">
        <f t="shared" si="4"/>
        <v>0</v>
      </c>
    </row>
    <row r="184" spans="1:158" ht="17.25" thickBot="1" x14ac:dyDescent="0.3">
      <c r="A184" s="226">
        <v>46009</v>
      </c>
      <c r="B184" s="227" t="s">
        <v>162</v>
      </c>
      <c r="C184" s="227" t="s">
        <v>614</v>
      </c>
      <c r="D184" s="228">
        <v>1050</v>
      </c>
      <c r="E184" s="228">
        <v>486.85</v>
      </c>
      <c r="F184" s="228">
        <v>491.45</v>
      </c>
      <c r="G184" s="228">
        <v>-4.5999999999999996</v>
      </c>
      <c r="H184" s="229">
        <v>-9.4000000000000004E-3</v>
      </c>
      <c r="I184" s="228">
        <v>486.45</v>
      </c>
      <c r="J184" s="228">
        <v>489.9</v>
      </c>
      <c r="K184" s="228">
        <v>-3.45</v>
      </c>
      <c r="L184" s="229">
        <v>-7.0000000000000001E-3</v>
      </c>
      <c r="M184" s="228">
        <v>486.85</v>
      </c>
      <c r="N184" s="228">
        <v>491.45</v>
      </c>
      <c r="O184" s="228">
        <v>-4.5999999999999996</v>
      </c>
      <c r="P184" s="229">
        <v>-9.4000000000000004E-3</v>
      </c>
      <c r="Q184" s="228">
        <v>490.15</v>
      </c>
      <c r="R184" s="228">
        <v>494.55</v>
      </c>
      <c r="S184" s="228">
        <v>-4.4000000000000004</v>
      </c>
      <c r="T184" s="229">
        <v>-8.8999999999999999E-3</v>
      </c>
      <c r="U184" s="228">
        <v>495</v>
      </c>
      <c r="V184" s="228">
        <v>496</v>
      </c>
      <c r="W184" s="228">
        <v>-1</v>
      </c>
      <c r="X184" s="229">
        <v>-2E-3</v>
      </c>
      <c r="Y184" s="228">
        <v>0.4</v>
      </c>
      <c r="Z184" s="228">
        <v>1.55</v>
      </c>
      <c r="AA184" s="228">
        <v>-1.1499999999999999</v>
      </c>
      <c r="AB184" s="229">
        <v>8.0000000000000004E-4</v>
      </c>
      <c r="AC184" s="228">
        <v>0.4</v>
      </c>
      <c r="AD184" s="228">
        <v>1.55</v>
      </c>
      <c r="AE184" s="228">
        <v>-1.1499999999999999</v>
      </c>
      <c r="AF184" s="229">
        <v>8.0000000000000004E-4</v>
      </c>
      <c r="AG184" s="228">
        <v>3.7</v>
      </c>
      <c r="AH184" s="228">
        <v>4.6500000000000004</v>
      </c>
      <c r="AI184" s="228">
        <v>-0.95</v>
      </c>
      <c r="AJ184" s="229">
        <v>7.6E-3</v>
      </c>
      <c r="AK184" s="228">
        <v>8.5500000000000007</v>
      </c>
      <c r="AL184" s="228">
        <v>6.1</v>
      </c>
      <c r="AM184" s="228">
        <v>2.4500000000000002</v>
      </c>
      <c r="AN184" s="229">
        <v>1.7600000000000001E-2</v>
      </c>
      <c r="AO184" s="228">
        <v>486.37</v>
      </c>
      <c r="AP184" s="228">
        <v>489.65</v>
      </c>
      <c r="AQ184" s="228">
        <v>0</v>
      </c>
      <c r="AR184" s="230">
        <v>1829100</v>
      </c>
      <c r="AS184" s="230">
        <v>1729350</v>
      </c>
      <c r="AT184" s="230">
        <v>99750</v>
      </c>
      <c r="AU184" s="229">
        <v>5.7700000000000001E-2</v>
      </c>
      <c r="AV184" s="230">
        <v>1617000</v>
      </c>
      <c r="AW184" s="230">
        <v>1507800</v>
      </c>
      <c r="AX184" s="230">
        <v>109200</v>
      </c>
      <c r="AY184" s="229">
        <v>7.2400000000000006E-2</v>
      </c>
      <c r="AZ184" s="230">
        <v>207900</v>
      </c>
      <c r="BA184" s="230">
        <v>207900</v>
      </c>
      <c r="BB184" s="228">
        <v>0</v>
      </c>
      <c r="BC184" s="229">
        <v>0</v>
      </c>
      <c r="BD184" s="230">
        <v>4200</v>
      </c>
      <c r="BE184" s="230">
        <v>13650</v>
      </c>
      <c r="BF184" s="230">
        <v>-9450</v>
      </c>
      <c r="BG184" s="229">
        <v>-0.69230000000000003</v>
      </c>
      <c r="BH184" s="230">
        <v>4586400</v>
      </c>
      <c r="BI184" s="230">
        <v>5478900</v>
      </c>
      <c r="BJ184" s="230">
        <v>-892500</v>
      </c>
      <c r="BK184" s="229">
        <v>-0.16289999999999999</v>
      </c>
      <c r="BL184" s="230">
        <v>1203300</v>
      </c>
      <c r="BM184" s="230">
        <v>1477350</v>
      </c>
      <c r="BN184" s="230">
        <v>-274050</v>
      </c>
      <c r="BO184" s="229">
        <v>-0.1855</v>
      </c>
      <c r="BP184" s="230">
        <v>7618800</v>
      </c>
      <c r="BQ184" s="230">
        <v>8685600</v>
      </c>
      <c r="BR184" s="230">
        <v>-1066800</v>
      </c>
      <c r="BS184" s="229">
        <v>-0.12280000000000001</v>
      </c>
      <c r="BT184" s="230">
        <v>1388783</v>
      </c>
      <c r="BU184" s="230">
        <v>866567</v>
      </c>
      <c r="BV184" s="230">
        <v>522216</v>
      </c>
      <c r="BW184" s="229">
        <v>0.60260000000000002</v>
      </c>
      <c r="BX184" s="230">
        <v>14561225</v>
      </c>
      <c r="BY184" s="230">
        <v>14471275</v>
      </c>
      <c r="BZ184" s="230">
        <v>89950</v>
      </c>
      <c r="CA184" s="229">
        <v>6.1999999999999998E-3</v>
      </c>
      <c r="CB184" s="230">
        <v>13827450</v>
      </c>
      <c r="CC184" s="230">
        <v>13830600</v>
      </c>
      <c r="CD184" s="230">
        <v>-3150</v>
      </c>
      <c r="CE184" s="229">
        <v>-2.0000000000000001E-4</v>
      </c>
      <c r="CF184" s="230">
        <v>655375</v>
      </c>
      <c r="CG184" s="230">
        <v>567175</v>
      </c>
      <c r="CH184" s="230">
        <v>88200</v>
      </c>
      <c r="CI184" s="229">
        <v>0.1555</v>
      </c>
      <c r="CJ184" s="230">
        <v>78400</v>
      </c>
      <c r="CK184" s="230">
        <v>73500</v>
      </c>
      <c r="CL184" s="230">
        <v>4900</v>
      </c>
      <c r="CM184" s="229">
        <v>6.6699999999999995E-2</v>
      </c>
      <c r="CN184" s="230">
        <v>6023675</v>
      </c>
      <c r="CO184" s="230">
        <v>6279175</v>
      </c>
      <c r="CP184" s="230">
        <v>-255500</v>
      </c>
      <c r="CQ184" s="229">
        <v>-4.07E-2</v>
      </c>
      <c r="CR184" s="230">
        <v>2845325</v>
      </c>
      <c r="CS184" s="230">
        <v>2838150</v>
      </c>
      <c r="CT184" s="230">
        <v>7175</v>
      </c>
      <c r="CU184" s="229">
        <v>2.5000000000000001E-3</v>
      </c>
      <c r="CV184" s="230">
        <v>23430225</v>
      </c>
      <c r="CW184" s="230">
        <v>23588600</v>
      </c>
      <c r="CX184" s="230">
        <v>-158375</v>
      </c>
      <c r="CY184" s="229">
        <v>-6.7000000000000002E-3</v>
      </c>
      <c r="CZ184" s="228">
        <v>27.17</v>
      </c>
      <c r="DA184" s="228">
        <v>28.95</v>
      </c>
      <c r="DB184" s="228">
        <v>-1.78</v>
      </c>
      <c r="DC184" s="228">
        <v>-1.78</v>
      </c>
      <c r="DD184" s="228">
        <v>38.93</v>
      </c>
      <c r="DE184" s="228">
        <v>39.020000000000003</v>
      </c>
      <c r="DF184" s="228">
        <v>-11.76</v>
      </c>
      <c r="DG184" s="228">
        <v>-0.09</v>
      </c>
      <c r="DH184" s="228">
        <v>27.26</v>
      </c>
      <c r="DI184" s="228">
        <v>28.95</v>
      </c>
      <c r="DJ184" s="228">
        <v>-1.69</v>
      </c>
      <c r="DK184" s="228">
        <v>-1.69</v>
      </c>
      <c r="DL184" s="228">
        <v>26.79</v>
      </c>
      <c r="DM184" s="228">
        <v>28.95</v>
      </c>
      <c r="DN184" s="228">
        <v>-2.16</v>
      </c>
      <c r="DO184" s="228">
        <v>-2.16</v>
      </c>
      <c r="DP184" s="228">
        <v>0.47</v>
      </c>
      <c r="DQ184" s="228">
        <v>0.45</v>
      </c>
      <c r="DR184" s="228">
        <v>0.02</v>
      </c>
      <c r="DS184" s="229">
        <v>4.4400000000000002E-2</v>
      </c>
      <c r="DT184" s="228">
        <v>520</v>
      </c>
      <c r="DU184" s="228">
        <v>500</v>
      </c>
      <c r="DV184" s="228">
        <v>0.26</v>
      </c>
      <c r="DW184" s="228">
        <v>0.27</v>
      </c>
      <c r="DX184" s="228">
        <v>-0.01</v>
      </c>
      <c r="DY184" s="229">
        <v>-3.6999999999999998E-2</v>
      </c>
      <c r="DZ184" s="229">
        <v>5.04E-2</v>
      </c>
      <c r="EA184" s="230">
        <v>640675</v>
      </c>
      <c r="EB184" s="229">
        <v>6.7999999999999996E-3</v>
      </c>
      <c r="EC184" s="229">
        <v>5.04E-2</v>
      </c>
      <c r="ED184" s="228">
        <v>3.28</v>
      </c>
      <c r="EE184" s="229">
        <v>6.7000000000000002E-3</v>
      </c>
      <c r="EF184" s="230">
        <v>835706</v>
      </c>
      <c r="EG184" s="230">
        <v>395294</v>
      </c>
      <c r="EH184" s="229">
        <v>1.1141000000000001</v>
      </c>
      <c r="EI184" s="229">
        <v>0.6018</v>
      </c>
      <c r="EJ184" s="231">
        <v>23420.86</v>
      </c>
      <c r="EK184" s="231">
        <v>5841.91</v>
      </c>
      <c r="EL184" s="231">
        <v>9076.42</v>
      </c>
      <c r="EM184" s="231">
        <v>1901</v>
      </c>
      <c r="EN184" s="231">
        <v>38339.19</v>
      </c>
      <c r="EO184" s="231">
        <v>43709.22</v>
      </c>
      <c r="EP184" s="231">
        <v>-5370.03</v>
      </c>
      <c r="EQ184" s="229">
        <v>-0.1229</v>
      </c>
      <c r="ER184" s="231">
        <v>31167</v>
      </c>
      <c r="ES184" s="231">
        <v>13651</v>
      </c>
      <c r="ET184" s="231">
        <v>70919</v>
      </c>
      <c r="EU184" s="231">
        <v>67126548</v>
      </c>
      <c r="EV184" s="231">
        <v>115738</v>
      </c>
      <c r="EW184" s="231">
        <v>117283</v>
      </c>
      <c r="EX184" s="231">
        <v>-1545</v>
      </c>
      <c r="EY184" s="229">
        <v>-1.32E-2</v>
      </c>
      <c r="EZ184" s="229">
        <v>0.34899999999999998</v>
      </c>
      <c r="FA184" s="227" t="s">
        <v>567</v>
      </c>
      <c r="FB184" s="161">
        <f t="shared" si="4"/>
        <v>0</v>
      </c>
    </row>
    <row r="185" spans="1:158" ht="17.25" thickBot="1" x14ac:dyDescent="0.3">
      <c r="A185" s="226">
        <v>46009</v>
      </c>
      <c r="B185" s="227" t="s">
        <v>197</v>
      </c>
      <c r="C185" s="227" t="s">
        <v>286</v>
      </c>
      <c r="D185" s="228">
        <v>200</v>
      </c>
      <c r="E185" s="231">
        <v>3052.3</v>
      </c>
      <c r="F185" s="231">
        <v>3036.7</v>
      </c>
      <c r="G185" s="228">
        <v>15.6</v>
      </c>
      <c r="H185" s="229">
        <v>5.1000000000000004E-3</v>
      </c>
      <c r="I185" s="231">
        <v>3050.7</v>
      </c>
      <c r="J185" s="231">
        <v>3033.3</v>
      </c>
      <c r="K185" s="228">
        <v>17.399999999999999</v>
      </c>
      <c r="L185" s="229">
        <v>5.7000000000000002E-3</v>
      </c>
      <c r="M185" s="231">
        <v>3052.3</v>
      </c>
      <c r="N185" s="231">
        <v>3036.7</v>
      </c>
      <c r="O185" s="228">
        <v>15.6</v>
      </c>
      <c r="P185" s="229">
        <v>5.1000000000000004E-3</v>
      </c>
      <c r="Q185" s="231">
        <v>3071.8</v>
      </c>
      <c r="R185" s="231">
        <v>3053.3</v>
      </c>
      <c r="S185" s="228">
        <v>18.5</v>
      </c>
      <c r="T185" s="229">
        <v>6.1000000000000004E-3</v>
      </c>
      <c r="U185" s="231">
        <v>3081.9</v>
      </c>
      <c r="V185" s="231">
        <v>3048.1</v>
      </c>
      <c r="W185" s="228">
        <v>33.799999999999997</v>
      </c>
      <c r="X185" s="229">
        <v>1.11E-2</v>
      </c>
      <c r="Y185" s="228">
        <v>1.6</v>
      </c>
      <c r="Z185" s="228">
        <v>3.4</v>
      </c>
      <c r="AA185" s="228">
        <v>-1.8</v>
      </c>
      <c r="AB185" s="229">
        <v>5.0000000000000001E-4</v>
      </c>
      <c r="AC185" s="228">
        <v>1.6</v>
      </c>
      <c r="AD185" s="228">
        <v>3.4</v>
      </c>
      <c r="AE185" s="228">
        <v>-1.8</v>
      </c>
      <c r="AF185" s="229">
        <v>5.0000000000000001E-4</v>
      </c>
      <c r="AG185" s="228">
        <v>21.1</v>
      </c>
      <c r="AH185" s="228">
        <v>20</v>
      </c>
      <c r="AI185" s="228">
        <v>1.1000000000000001</v>
      </c>
      <c r="AJ185" s="229">
        <v>6.8999999999999999E-3</v>
      </c>
      <c r="AK185" s="228">
        <v>31.2</v>
      </c>
      <c r="AL185" s="228">
        <v>14.8</v>
      </c>
      <c r="AM185" s="228">
        <v>16.399999999999999</v>
      </c>
      <c r="AN185" s="229">
        <v>1.0200000000000001E-2</v>
      </c>
      <c r="AO185" s="231">
        <v>3044.88</v>
      </c>
      <c r="AP185" s="231">
        <v>3062.04</v>
      </c>
      <c r="AQ185" s="228">
        <v>0</v>
      </c>
      <c r="AR185" s="230">
        <v>844600</v>
      </c>
      <c r="AS185" s="230">
        <v>628000</v>
      </c>
      <c r="AT185" s="230">
        <v>216600</v>
      </c>
      <c r="AU185" s="229">
        <v>0.34489999999999998</v>
      </c>
      <c r="AV185" s="230">
        <v>759400</v>
      </c>
      <c r="AW185" s="230">
        <v>575000</v>
      </c>
      <c r="AX185" s="230">
        <v>184400</v>
      </c>
      <c r="AY185" s="229">
        <v>0.32069999999999999</v>
      </c>
      <c r="AZ185" s="230">
        <v>82200</v>
      </c>
      <c r="BA185" s="230">
        <v>52000</v>
      </c>
      <c r="BB185" s="230">
        <v>30200</v>
      </c>
      <c r="BC185" s="229">
        <v>0.58079999999999998</v>
      </c>
      <c r="BD185" s="230">
        <v>3000</v>
      </c>
      <c r="BE185" s="230">
        <v>1000</v>
      </c>
      <c r="BF185" s="230">
        <v>2000</v>
      </c>
      <c r="BG185" s="229">
        <v>2</v>
      </c>
      <c r="BH185" s="230">
        <v>4198600</v>
      </c>
      <c r="BI185" s="230">
        <v>3258200</v>
      </c>
      <c r="BJ185" s="230">
        <v>940400</v>
      </c>
      <c r="BK185" s="229">
        <v>0.28860000000000002</v>
      </c>
      <c r="BL185" s="230">
        <v>1549600</v>
      </c>
      <c r="BM185" s="230">
        <v>1157800</v>
      </c>
      <c r="BN185" s="230">
        <v>391800</v>
      </c>
      <c r="BO185" s="229">
        <v>0.33839999999999998</v>
      </c>
      <c r="BP185" s="230">
        <v>6592800</v>
      </c>
      <c r="BQ185" s="230">
        <v>5044000</v>
      </c>
      <c r="BR185" s="230">
        <v>1548800</v>
      </c>
      <c r="BS185" s="229">
        <v>0.30709999999999998</v>
      </c>
      <c r="BT185" s="230">
        <v>581365</v>
      </c>
      <c r="BU185" s="230">
        <v>334975</v>
      </c>
      <c r="BV185" s="230">
        <v>246390</v>
      </c>
      <c r="BW185" s="229">
        <v>0.73550000000000004</v>
      </c>
      <c r="BX185" s="230">
        <v>3360400</v>
      </c>
      <c r="BY185" s="230">
        <v>3438400</v>
      </c>
      <c r="BZ185" s="230">
        <v>-78000</v>
      </c>
      <c r="CA185" s="229">
        <v>-2.2700000000000001E-2</v>
      </c>
      <c r="CB185" s="230">
        <v>3184800</v>
      </c>
      <c r="CC185" s="230">
        <v>3288400</v>
      </c>
      <c r="CD185" s="230">
        <v>-103600</v>
      </c>
      <c r="CE185" s="229">
        <v>-3.15E-2</v>
      </c>
      <c r="CF185" s="230">
        <v>160600</v>
      </c>
      <c r="CG185" s="230">
        <v>135000</v>
      </c>
      <c r="CH185" s="230">
        <v>25600</v>
      </c>
      <c r="CI185" s="229">
        <v>0.18959999999999999</v>
      </c>
      <c r="CJ185" s="230">
        <v>15000</v>
      </c>
      <c r="CK185" s="230">
        <v>15000</v>
      </c>
      <c r="CL185" s="228">
        <v>0</v>
      </c>
      <c r="CM185" s="229">
        <v>0</v>
      </c>
      <c r="CN185" s="230">
        <v>1888800</v>
      </c>
      <c r="CO185" s="230">
        <v>2023000</v>
      </c>
      <c r="CP185" s="230">
        <v>-134200</v>
      </c>
      <c r="CQ185" s="229">
        <v>-6.6299999999999998E-2</v>
      </c>
      <c r="CR185" s="230">
        <v>1539800</v>
      </c>
      <c r="CS185" s="230">
        <v>1487000</v>
      </c>
      <c r="CT185" s="230">
        <v>52800</v>
      </c>
      <c r="CU185" s="229">
        <v>3.5499999999999997E-2</v>
      </c>
      <c r="CV185" s="230">
        <v>6789000</v>
      </c>
      <c r="CW185" s="230">
        <v>6948400</v>
      </c>
      <c r="CX185" s="230">
        <v>-159400</v>
      </c>
      <c r="CY185" s="229">
        <v>-2.29E-2</v>
      </c>
      <c r="CZ185" s="228">
        <v>20.6</v>
      </c>
      <c r="DA185" s="228">
        <v>21.93</v>
      </c>
      <c r="DB185" s="228">
        <v>-1.33</v>
      </c>
      <c r="DC185" s="228">
        <v>-1.33</v>
      </c>
      <c r="DD185" s="228">
        <v>30.97</v>
      </c>
      <c r="DE185" s="228">
        <v>31.04</v>
      </c>
      <c r="DF185" s="228">
        <v>-10.37</v>
      </c>
      <c r="DG185" s="228">
        <v>-7.0000000000000007E-2</v>
      </c>
      <c r="DH185" s="228">
        <v>20.23</v>
      </c>
      <c r="DI185" s="228">
        <v>21.58</v>
      </c>
      <c r="DJ185" s="228">
        <v>-1.35</v>
      </c>
      <c r="DK185" s="228">
        <v>-1.35</v>
      </c>
      <c r="DL185" s="228">
        <v>21.62</v>
      </c>
      <c r="DM185" s="228">
        <v>22.92</v>
      </c>
      <c r="DN185" s="228">
        <v>-1.3</v>
      </c>
      <c r="DO185" s="228">
        <v>-1.3</v>
      </c>
      <c r="DP185" s="228">
        <v>0.82</v>
      </c>
      <c r="DQ185" s="228">
        <v>0.74</v>
      </c>
      <c r="DR185" s="228">
        <v>0.08</v>
      </c>
      <c r="DS185" s="229">
        <v>0.1081</v>
      </c>
      <c r="DT185" s="231">
        <v>3050</v>
      </c>
      <c r="DU185" s="231">
        <v>2900</v>
      </c>
      <c r="DV185" s="228">
        <v>0.37</v>
      </c>
      <c r="DW185" s="228">
        <v>0.36</v>
      </c>
      <c r="DX185" s="228">
        <v>0.01</v>
      </c>
      <c r="DY185" s="229">
        <v>2.7799999999999998E-2</v>
      </c>
      <c r="DZ185" s="229">
        <v>5.2299999999999999E-2</v>
      </c>
      <c r="EA185" s="230">
        <v>150000</v>
      </c>
      <c r="EB185" s="229">
        <v>6.4000000000000003E-3</v>
      </c>
      <c r="EC185" s="229">
        <v>5.2299999999999999E-2</v>
      </c>
      <c r="ED185" s="228">
        <v>17.16</v>
      </c>
      <c r="EE185" s="229">
        <v>5.5999999999999999E-3</v>
      </c>
      <c r="EF185" s="230">
        <v>379758</v>
      </c>
      <c r="EG185" s="230">
        <v>223613</v>
      </c>
      <c r="EH185" s="229">
        <v>0.69830000000000003</v>
      </c>
      <c r="EI185" s="229">
        <v>0.6532</v>
      </c>
      <c r="EJ185" s="231">
        <v>130929.68</v>
      </c>
      <c r="EK185" s="231">
        <v>46408.33</v>
      </c>
      <c r="EL185" s="231">
        <v>25732.12</v>
      </c>
      <c r="EM185" s="231">
        <v>4564</v>
      </c>
      <c r="EN185" s="231">
        <v>203070.13</v>
      </c>
      <c r="EO185" s="231">
        <v>154845.03</v>
      </c>
      <c r="EP185" s="231">
        <v>48225.1</v>
      </c>
      <c r="EQ185" s="229">
        <v>0.31140000000000001</v>
      </c>
      <c r="ER185" s="231">
        <v>57882</v>
      </c>
      <c r="ES185" s="231">
        <v>44626</v>
      </c>
      <c r="ET185" s="231">
        <v>102605</v>
      </c>
      <c r="EU185" s="231">
        <v>21205300</v>
      </c>
      <c r="EV185" s="231">
        <v>205113</v>
      </c>
      <c r="EW185" s="231">
        <v>209336</v>
      </c>
      <c r="EX185" s="231">
        <v>-4223</v>
      </c>
      <c r="EY185" s="229">
        <v>-2.0199999999999999E-2</v>
      </c>
      <c r="EZ185" s="229">
        <v>0.32019999999999998</v>
      </c>
      <c r="FA185" s="227" t="s">
        <v>556</v>
      </c>
      <c r="FB185" s="161">
        <f t="shared" si="4"/>
        <v>0</v>
      </c>
    </row>
    <row r="186" spans="1:158" ht="17.25" thickBot="1" x14ac:dyDescent="0.3">
      <c r="A186" s="226">
        <v>46009</v>
      </c>
      <c r="B186" s="227" t="s">
        <v>170</v>
      </c>
      <c r="C186" s="227" t="s">
        <v>288</v>
      </c>
      <c r="D186" s="228">
        <v>350</v>
      </c>
      <c r="E186" s="231">
        <v>1749.5</v>
      </c>
      <c r="F186" s="231">
        <v>1799.2</v>
      </c>
      <c r="G186" s="228">
        <v>-49.7</v>
      </c>
      <c r="H186" s="229">
        <v>-2.76E-2</v>
      </c>
      <c r="I186" s="231">
        <v>1745.9</v>
      </c>
      <c r="J186" s="231">
        <v>1792.9</v>
      </c>
      <c r="K186" s="228">
        <v>-47</v>
      </c>
      <c r="L186" s="229">
        <v>-2.6200000000000001E-2</v>
      </c>
      <c r="M186" s="231">
        <v>1749.5</v>
      </c>
      <c r="N186" s="231">
        <v>1799.2</v>
      </c>
      <c r="O186" s="228">
        <v>-49.7</v>
      </c>
      <c r="P186" s="229">
        <v>-2.76E-2</v>
      </c>
      <c r="Q186" s="231">
        <v>1761</v>
      </c>
      <c r="R186" s="231">
        <v>1810.5</v>
      </c>
      <c r="S186" s="228">
        <v>-49.5</v>
      </c>
      <c r="T186" s="229">
        <v>-2.7300000000000001E-2</v>
      </c>
      <c r="U186" s="231">
        <v>1761.1</v>
      </c>
      <c r="V186" s="231">
        <v>1807</v>
      </c>
      <c r="W186" s="228">
        <v>-45.9</v>
      </c>
      <c r="X186" s="229">
        <v>-2.5399999999999999E-2</v>
      </c>
      <c r="Y186" s="228">
        <v>3.6</v>
      </c>
      <c r="Z186" s="228">
        <v>6.3</v>
      </c>
      <c r="AA186" s="228">
        <v>-2.7</v>
      </c>
      <c r="AB186" s="229">
        <v>2.0999999999999999E-3</v>
      </c>
      <c r="AC186" s="228">
        <v>3.6</v>
      </c>
      <c r="AD186" s="228">
        <v>6.3</v>
      </c>
      <c r="AE186" s="228">
        <v>-2.7</v>
      </c>
      <c r="AF186" s="229">
        <v>2.0999999999999999E-3</v>
      </c>
      <c r="AG186" s="228">
        <v>15.1</v>
      </c>
      <c r="AH186" s="228">
        <v>17.600000000000001</v>
      </c>
      <c r="AI186" s="228">
        <v>-2.5</v>
      </c>
      <c r="AJ186" s="229">
        <v>8.6E-3</v>
      </c>
      <c r="AK186" s="228">
        <v>15.2</v>
      </c>
      <c r="AL186" s="228">
        <v>14.1</v>
      </c>
      <c r="AM186" s="228">
        <v>1.1000000000000001</v>
      </c>
      <c r="AN186" s="229">
        <v>8.6999999999999994E-3</v>
      </c>
      <c r="AO186" s="231">
        <v>1753.76</v>
      </c>
      <c r="AP186" s="231">
        <v>1764.14</v>
      </c>
      <c r="AQ186" s="228">
        <v>0</v>
      </c>
      <c r="AR186" s="230">
        <v>3749900</v>
      </c>
      <c r="AS186" s="230">
        <v>2556050</v>
      </c>
      <c r="AT186" s="230">
        <v>1193850</v>
      </c>
      <c r="AU186" s="229">
        <v>0.46710000000000002</v>
      </c>
      <c r="AV186" s="230">
        <v>2523850</v>
      </c>
      <c r="AW186" s="230">
        <v>1564500</v>
      </c>
      <c r="AX186" s="230">
        <v>959350</v>
      </c>
      <c r="AY186" s="229">
        <v>0.61319999999999997</v>
      </c>
      <c r="AZ186" s="230">
        <v>1194900</v>
      </c>
      <c r="BA186" s="230">
        <v>988050</v>
      </c>
      <c r="BB186" s="230">
        <v>206850</v>
      </c>
      <c r="BC186" s="229">
        <v>0.2094</v>
      </c>
      <c r="BD186" s="230">
        <v>31150</v>
      </c>
      <c r="BE186" s="230">
        <v>3500</v>
      </c>
      <c r="BF186" s="230">
        <v>27650</v>
      </c>
      <c r="BG186" s="229">
        <v>7.9</v>
      </c>
      <c r="BH186" s="230">
        <v>17084200</v>
      </c>
      <c r="BI186" s="230">
        <v>6787550</v>
      </c>
      <c r="BJ186" s="230">
        <v>10296650</v>
      </c>
      <c r="BK186" s="229">
        <v>1.5169999999999999</v>
      </c>
      <c r="BL186" s="230">
        <v>11788700</v>
      </c>
      <c r="BM186" s="230">
        <v>2828000</v>
      </c>
      <c r="BN186" s="230">
        <v>8960700</v>
      </c>
      <c r="BO186" s="229">
        <v>3.1686000000000001</v>
      </c>
      <c r="BP186" s="230">
        <v>32622800</v>
      </c>
      <c r="BQ186" s="230">
        <v>12171600</v>
      </c>
      <c r="BR186" s="230">
        <v>20451200</v>
      </c>
      <c r="BS186" s="229">
        <v>1.6801999999999999</v>
      </c>
      <c r="BT186" s="230">
        <v>3728300</v>
      </c>
      <c r="BU186" s="230">
        <v>2034450</v>
      </c>
      <c r="BV186" s="230">
        <v>1693850</v>
      </c>
      <c r="BW186" s="229">
        <v>0.83260000000000001</v>
      </c>
      <c r="BX186" s="230">
        <v>15170050</v>
      </c>
      <c r="BY186" s="230">
        <v>14662200</v>
      </c>
      <c r="BZ186" s="230">
        <v>507850</v>
      </c>
      <c r="CA186" s="229">
        <v>3.4599999999999999E-2</v>
      </c>
      <c r="CB186" s="230">
        <v>12323150</v>
      </c>
      <c r="CC186" s="230">
        <v>12702200</v>
      </c>
      <c r="CD186" s="230">
        <v>-379050</v>
      </c>
      <c r="CE186" s="229">
        <v>-2.98E-2</v>
      </c>
      <c r="CF186" s="230">
        <v>2768500</v>
      </c>
      <c r="CG186" s="230">
        <v>1894900</v>
      </c>
      <c r="CH186" s="230">
        <v>873600</v>
      </c>
      <c r="CI186" s="229">
        <v>0.46100000000000002</v>
      </c>
      <c r="CJ186" s="230">
        <v>78400</v>
      </c>
      <c r="CK186" s="230">
        <v>65100</v>
      </c>
      <c r="CL186" s="230">
        <v>13300</v>
      </c>
      <c r="CM186" s="229">
        <v>0.20430000000000001</v>
      </c>
      <c r="CN186" s="230">
        <v>9047150</v>
      </c>
      <c r="CO186" s="230">
        <v>6989150</v>
      </c>
      <c r="CP186" s="230">
        <v>2058000</v>
      </c>
      <c r="CQ186" s="229">
        <v>0.29449999999999998</v>
      </c>
      <c r="CR186" s="230">
        <v>3063900</v>
      </c>
      <c r="CS186" s="230">
        <v>2355500</v>
      </c>
      <c r="CT186" s="230">
        <v>708400</v>
      </c>
      <c r="CU186" s="229">
        <v>0.30070000000000002</v>
      </c>
      <c r="CV186" s="230">
        <v>27281100</v>
      </c>
      <c r="CW186" s="230">
        <v>24006850</v>
      </c>
      <c r="CX186" s="230">
        <v>3274250</v>
      </c>
      <c r="CY186" s="229">
        <v>0.13639999999999999</v>
      </c>
      <c r="CZ186" s="228">
        <v>17.39</v>
      </c>
      <c r="DA186" s="228">
        <v>15.19</v>
      </c>
      <c r="DB186" s="228">
        <v>2.2000000000000002</v>
      </c>
      <c r="DC186" s="228">
        <v>2.2000000000000002</v>
      </c>
      <c r="DD186" s="228">
        <v>22.76</v>
      </c>
      <c r="DE186" s="228">
        <v>22.53</v>
      </c>
      <c r="DF186" s="228">
        <v>-5.37</v>
      </c>
      <c r="DG186" s="228">
        <v>0.23</v>
      </c>
      <c r="DH186" s="228">
        <v>17.670000000000002</v>
      </c>
      <c r="DI186" s="228">
        <v>14.83</v>
      </c>
      <c r="DJ186" s="228">
        <v>2.84</v>
      </c>
      <c r="DK186" s="228">
        <v>2.84</v>
      </c>
      <c r="DL186" s="228">
        <v>16.98</v>
      </c>
      <c r="DM186" s="228">
        <v>16.04</v>
      </c>
      <c r="DN186" s="228">
        <v>0.94</v>
      </c>
      <c r="DO186" s="228">
        <v>0.94</v>
      </c>
      <c r="DP186" s="228">
        <v>0.34</v>
      </c>
      <c r="DQ186" s="228">
        <v>0.34</v>
      </c>
      <c r="DR186" s="228">
        <v>0</v>
      </c>
      <c r="DS186" s="229">
        <v>0</v>
      </c>
      <c r="DT186" s="231">
        <v>1840</v>
      </c>
      <c r="DU186" s="231">
        <v>1740</v>
      </c>
      <c r="DV186" s="228">
        <v>0.69</v>
      </c>
      <c r="DW186" s="228">
        <v>0.42</v>
      </c>
      <c r="DX186" s="228">
        <v>0.27</v>
      </c>
      <c r="DY186" s="229">
        <v>0.64290000000000003</v>
      </c>
      <c r="DZ186" s="229">
        <v>0.18770000000000001</v>
      </c>
      <c r="EA186" s="230">
        <v>1960000</v>
      </c>
      <c r="EB186" s="229">
        <v>6.6E-3</v>
      </c>
      <c r="EC186" s="229">
        <v>0.18770000000000001</v>
      </c>
      <c r="ED186" s="228">
        <v>10.38</v>
      </c>
      <c r="EE186" s="229">
        <v>5.8999999999999999E-3</v>
      </c>
      <c r="EF186" s="230">
        <v>2533145</v>
      </c>
      <c r="EG186" s="230">
        <v>1519888</v>
      </c>
      <c r="EH186" s="229">
        <v>0.66669999999999996</v>
      </c>
      <c r="EI186" s="229">
        <v>0.6794</v>
      </c>
      <c r="EJ186" s="231">
        <v>309283.58</v>
      </c>
      <c r="EK186" s="231">
        <v>206478.8</v>
      </c>
      <c r="EL186" s="231">
        <v>65890.850000000006</v>
      </c>
      <c r="EM186" s="231">
        <v>4028</v>
      </c>
      <c r="EN186" s="231">
        <v>581653.23</v>
      </c>
      <c r="EO186" s="231">
        <v>220297.01</v>
      </c>
      <c r="EP186" s="231">
        <v>361356.22</v>
      </c>
      <c r="EQ186" s="229">
        <v>1.6403000000000001</v>
      </c>
      <c r="ER186" s="231">
        <v>165592</v>
      </c>
      <c r="ES186" s="231">
        <v>53158</v>
      </c>
      <c r="ET186" s="231">
        <v>265727</v>
      </c>
      <c r="EU186" s="231">
        <v>109220043</v>
      </c>
      <c r="EV186" s="231">
        <v>484478</v>
      </c>
      <c r="EW186" s="231">
        <v>433902</v>
      </c>
      <c r="EX186" s="231">
        <v>50576</v>
      </c>
      <c r="EY186" s="229">
        <v>0.1166</v>
      </c>
      <c r="EZ186" s="229">
        <v>0.24979999999999999</v>
      </c>
      <c r="FA186" s="227" t="s">
        <v>567</v>
      </c>
      <c r="FB186" s="161">
        <f t="shared" si="4"/>
        <v>0</v>
      </c>
    </row>
    <row r="187" spans="1:158" ht="17.25" thickBot="1" x14ac:dyDescent="0.3">
      <c r="A187" s="226">
        <v>46009</v>
      </c>
      <c r="B187" s="227" t="s">
        <v>184</v>
      </c>
      <c r="C187" s="227" t="s">
        <v>574</v>
      </c>
      <c r="D187" s="228">
        <v>175</v>
      </c>
      <c r="E187" s="231">
        <v>3355.9</v>
      </c>
      <c r="F187" s="231">
        <v>3359.1</v>
      </c>
      <c r="G187" s="228">
        <v>-3.2</v>
      </c>
      <c r="H187" s="229">
        <v>-1E-3</v>
      </c>
      <c r="I187" s="231">
        <v>3340.9</v>
      </c>
      <c r="J187" s="231">
        <v>3345.2</v>
      </c>
      <c r="K187" s="228">
        <v>-4.3</v>
      </c>
      <c r="L187" s="229">
        <v>-1.2999999999999999E-3</v>
      </c>
      <c r="M187" s="231">
        <v>3355.9</v>
      </c>
      <c r="N187" s="231">
        <v>3359.1</v>
      </c>
      <c r="O187" s="228">
        <v>-3.2</v>
      </c>
      <c r="P187" s="229">
        <v>-1E-3</v>
      </c>
      <c r="Q187" s="231">
        <v>3372.9</v>
      </c>
      <c r="R187" s="231">
        <v>3370.2</v>
      </c>
      <c r="S187" s="228">
        <v>2.7</v>
      </c>
      <c r="T187" s="229">
        <v>8.0000000000000004E-4</v>
      </c>
      <c r="U187" s="231">
        <v>3387</v>
      </c>
      <c r="V187" s="231">
        <v>3391.4</v>
      </c>
      <c r="W187" s="228">
        <v>-4.4000000000000004</v>
      </c>
      <c r="X187" s="229">
        <v>-1.2999999999999999E-3</v>
      </c>
      <c r="Y187" s="228">
        <v>15</v>
      </c>
      <c r="Z187" s="228">
        <v>13.9</v>
      </c>
      <c r="AA187" s="228">
        <v>1.1000000000000001</v>
      </c>
      <c r="AB187" s="229">
        <v>4.4999999999999997E-3</v>
      </c>
      <c r="AC187" s="228">
        <v>15</v>
      </c>
      <c r="AD187" s="228">
        <v>13.9</v>
      </c>
      <c r="AE187" s="228">
        <v>1.1000000000000001</v>
      </c>
      <c r="AF187" s="229">
        <v>4.4999999999999997E-3</v>
      </c>
      <c r="AG187" s="228">
        <v>32</v>
      </c>
      <c r="AH187" s="228">
        <v>25</v>
      </c>
      <c r="AI187" s="228">
        <v>7</v>
      </c>
      <c r="AJ187" s="229">
        <v>9.5999999999999992E-3</v>
      </c>
      <c r="AK187" s="228">
        <v>46.1</v>
      </c>
      <c r="AL187" s="228">
        <v>46.2</v>
      </c>
      <c r="AM187" s="228">
        <v>-0.1</v>
      </c>
      <c r="AN187" s="229">
        <v>1.38E-2</v>
      </c>
      <c r="AO187" s="231">
        <v>3351.52</v>
      </c>
      <c r="AP187" s="231">
        <v>3366.22</v>
      </c>
      <c r="AQ187" s="228">
        <v>0</v>
      </c>
      <c r="AR187" s="230">
        <v>325325</v>
      </c>
      <c r="AS187" s="230">
        <v>499450</v>
      </c>
      <c r="AT187" s="230">
        <v>-174125</v>
      </c>
      <c r="AU187" s="229">
        <v>-0.34860000000000002</v>
      </c>
      <c r="AV187" s="230">
        <v>292600</v>
      </c>
      <c r="AW187" s="230">
        <v>447825</v>
      </c>
      <c r="AX187" s="230">
        <v>-155225</v>
      </c>
      <c r="AY187" s="229">
        <v>-0.34660000000000002</v>
      </c>
      <c r="AZ187" s="230">
        <v>31675</v>
      </c>
      <c r="BA187" s="230">
        <v>47950</v>
      </c>
      <c r="BB187" s="230">
        <v>-16275</v>
      </c>
      <c r="BC187" s="229">
        <v>-0.33939999999999998</v>
      </c>
      <c r="BD187" s="230">
        <v>1050</v>
      </c>
      <c r="BE187" s="230">
        <v>3675</v>
      </c>
      <c r="BF187" s="230">
        <v>-2625</v>
      </c>
      <c r="BG187" s="229">
        <v>-0.71430000000000005</v>
      </c>
      <c r="BH187" s="230">
        <v>759325</v>
      </c>
      <c r="BI187" s="230">
        <v>2383500</v>
      </c>
      <c r="BJ187" s="230">
        <v>-1624175</v>
      </c>
      <c r="BK187" s="229">
        <v>-0.68140000000000001</v>
      </c>
      <c r="BL187" s="230">
        <v>318325</v>
      </c>
      <c r="BM187" s="230">
        <v>1419425</v>
      </c>
      <c r="BN187" s="230">
        <v>-1101100</v>
      </c>
      <c r="BO187" s="229">
        <v>-0.77569999999999995</v>
      </c>
      <c r="BP187" s="230">
        <v>1402975</v>
      </c>
      <c r="BQ187" s="230">
        <v>4302375</v>
      </c>
      <c r="BR187" s="230">
        <v>-2899400</v>
      </c>
      <c r="BS187" s="229">
        <v>-0.67390000000000005</v>
      </c>
      <c r="BT187" s="230">
        <v>162270</v>
      </c>
      <c r="BU187" s="230">
        <v>310827</v>
      </c>
      <c r="BV187" s="230">
        <v>-148557</v>
      </c>
      <c r="BW187" s="229">
        <v>-0.47789999999999999</v>
      </c>
      <c r="BX187" s="230">
        <v>2266950</v>
      </c>
      <c r="BY187" s="230">
        <v>2241050</v>
      </c>
      <c r="BZ187" s="230">
        <v>25900</v>
      </c>
      <c r="CA187" s="229">
        <v>1.1599999999999999E-2</v>
      </c>
      <c r="CB187" s="230">
        <v>2031750</v>
      </c>
      <c r="CC187" s="230">
        <v>2007775</v>
      </c>
      <c r="CD187" s="230">
        <v>23975</v>
      </c>
      <c r="CE187" s="229">
        <v>1.1900000000000001E-2</v>
      </c>
      <c r="CF187" s="230">
        <v>223825</v>
      </c>
      <c r="CG187" s="230">
        <v>221900</v>
      </c>
      <c r="CH187" s="230">
        <v>1925</v>
      </c>
      <c r="CI187" s="229">
        <v>8.6999999999999994E-3</v>
      </c>
      <c r="CJ187" s="230">
        <v>11375</v>
      </c>
      <c r="CK187" s="230">
        <v>11375</v>
      </c>
      <c r="CL187" s="228">
        <v>0</v>
      </c>
      <c r="CM187" s="229">
        <v>0</v>
      </c>
      <c r="CN187" s="230">
        <v>1289575</v>
      </c>
      <c r="CO187" s="230">
        <v>1323525</v>
      </c>
      <c r="CP187" s="230">
        <v>-33950</v>
      </c>
      <c r="CQ187" s="229">
        <v>-2.5700000000000001E-2</v>
      </c>
      <c r="CR187" s="230">
        <v>781025</v>
      </c>
      <c r="CS187" s="230">
        <v>784700</v>
      </c>
      <c r="CT187" s="230">
        <v>-3675</v>
      </c>
      <c r="CU187" s="229">
        <v>-4.7000000000000002E-3</v>
      </c>
      <c r="CV187" s="230">
        <v>4337550</v>
      </c>
      <c r="CW187" s="230">
        <v>4349275</v>
      </c>
      <c r="CX187" s="230">
        <v>-11725</v>
      </c>
      <c r="CY187" s="229">
        <v>-2.7000000000000001E-3</v>
      </c>
      <c r="CZ187" s="228">
        <v>25.05</v>
      </c>
      <c r="DA187" s="228">
        <v>26.17</v>
      </c>
      <c r="DB187" s="228">
        <v>-1.1200000000000001</v>
      </c>
      <c r="DC187" s="228">
        <v>-1.1200000000000001</v>
      </c>
      <c r="DD187" s="228">
        <v>39.85</v>
      </c>
      <c r="DE187" s="228">
        <v>39.950000000000003</v>
      </c>
      <c r="DF187" s="228">
        <v>-14.8</v>
      </c>
      <c r="DG187" s="228">
        <v>-0.1</v>
      </c>
      <c r="DH187" s="228">
        <v>25.19</v>
      </c>
      <c r="DI187" s="228">
        <v>26.78</v>
      </c>
      <c r="DJ187" s="228">
        <v>-1.59</v>
      </c>
      <c r="DK187" s="228">
        <v>-1.59</v>
      </c>
      <c r="DL187" s="228">
        <v>24.73</v>
      </c>
      <c r="DM187" s="228">
        <v>25.16</v>
      </c>
      <c r="DN187" s="228">
        <v>-0.43</v>
      </c>
      <c r="DO187" s="228">
        <v>-0.43</v>
      </c>
      <c r="DP187" s="228">
        <v>0.61</v>
      </c>
      <c r="DQ187" s="228">
        <v>0.59</v>
      </c>
      <c r="DR187" s="228">
        <v>0.02</v>
      </c>
      <c r="DS187" s="229">
        <v>3.39E-2</v>
      </c>
      <c r="DT187" s="231">
        <v>3600</v>
      </c>
      <c r="DU187" s="231">
        <v>3200</v>
      </c>
      <c r="DV187" s="228">
        <v>0.42</v>
      </c>
      <c r="DW187" s="228">
        <v>0.6</v>
      </c>
      <c r="DX187" s="228">
        <v>-0.18</v>
      </c>
      <c r="DY187" s="229">
        <v>-0.3</v>
      </c>
      <c r="DZ187" s="229">
        <v>0.1038</v>
      </c>
      <c r="EA187" s="230">
        <v>233275</v>
      </c>
      <c r="EB187" s="229">
        <v>5.1000000000000004E-3</v>
      </c>
      <c r="EC187" s="229">
        <v>0.1038</v>
      </c>
      <c r="ED187" s="228">
        <v>14.7</v>
      </c>
      <c r="EE187" s="229">
        <v>4.4000000000000003E-3</v>
      </c>
      <c r="EF187" s="230">
        <v>110580</v>
      </c>
      <c r="EG187" s="230">
        <v>173543</v>
      </c>
      <c r="EH187" s="229">
        <v>-0.36280000000000001</v>
      </c>
      <c r="EI187" s="229">
        <v>0.68149999999999999</v>
      </c>
      <c r="EJ187" s="231">
        <v>26745.08</v>
      </c>
      <c r="EK187" s="231">
        <v>10480.719999999999</v>
      </c>
      <c r="EL187" s="231">
        <v>10908.32</v>
      </c>
      <c r="EM187" s="231">
        <v>3840</v>
      </c>
      <c r="EN187" s="231">
        <v>48134.12</v>
      </c>
      <c r="EO187" s="231">
        <v>148109.28</v>
      </c>
      <c r="EP187" s="231">
        <v>-99975.16</v>
      </c>
      <c r="EQ187" s="229">
        <v>-0.67500000000000004</v>
      </c>
      <c r="ER187" s="231">
        <v>46156</v>
      </c>
      <c r="ES187" s="231">
        <v>25896</v>
      </c>
      <c r="ET187" s="231">
        <v>76118</v>
      </c>
      <c r="EU187" s="231">
        <v>7242074</v>
      </c>
      <c r="EV187" s="231">
        <v>148170</v>
      </c>
      <c r="EW187" s="231">
        <v>148686</v>
      </c>
      <c r="EX187" s="228">
        <v>-516</v>
      </c>
      <c r="EY187" s="229">
        <v>-3.5000000000000001E-3</v>
      </c>
      <c r="EZ187" s="229">
        <v>0.59889999999999999</v>
      </c>
      <c r="FA187" s="227" t="s">
        <v>567</v>
      </c>
      <c r="FB187" s="161">
        <f t="shared" si="4"/>
        <v>0</v>
      </c>
    </row>
    <row r="188" spans="1:158" ht="17.25" thickBot="1" x14ac:dyDescent="0.3">
      <c r="A188" s="226">
        <v>46009</v>
      </c>
      <c r="B188" s="227" t="s">
        <v>161</v>
      </c>
      <c r="C188" s="227" t="s">
        <v>685</v>
      </c>
      <c r="D188" s="228">
        <v>8000</v>
      </c>
      <c r="E188" s="228">
        <v>51.87</v>
      </c>
      <c r="F188" s="228">
        <v>51.98</v>
      </c>
      <c r="G188" s="228">
        <v>-0.11</v>
      </c>
      <c r="H188" s="229">
        <v>-2.0999999999999999E-3</v>
      </c>
      <c r="I188" s="228">
        <v>51.78</v>
      </c>
      <c r="J188" s="228">
        <v>51.94</v>
      </c>
      <c r="K188" s="228">
        <v>-0.16</v>
      </c>
      <c r="L188" s="229">
        <v>-3.0999999999999999E-3</v>
      </c>
      <c r="M188" s="228">
        <v>51.87</v>
      </c>
      <c r="N188" s="228">
        <v>51.98</v>
      </c>
      <c r="O188" s="228">
        <v>-0.11</v>
      </c>
      <c r="P188" s="229">
        <v>-2.0999999999999999E-3</v>
      </c>
      <c r="Q188" s="228">
        <v>52.21</v>
      </c>
      <c r="R188" s="228">
        <v>52.3</v>
      </c>
      <c r="S188" s="228">
        <v>-0.09</v>
      </c>
      <c r="T188" s="229">
        <v>-1.6999999999999999E-3</v>
      </c>
      <c r="U188" s="228">
        <v>52.46</v>
      </c>
      <c r="V188" s="228">
        <v>52.63</v>
      </c>
      <c r="W188" s="228">
        <v>-0.17</v>
      </c>
      <c r="X188" s="229">
        <v>-3.2000000000000002E-3</v>
      </c>
      <c r="Y188" s="228">
        <v>0.09</v>
      </c>
      <c r="Z188" s="228">
        <v>0.04</v>
      </c>
      <c r="AA188" s="228">
        <v>0.05</v>
      </c>
      <c r="AB188" s="229">
        <v>1.6999999999999999E-3</v>
      </c>
      <c r="AC188" s="228">
        <v>0.09</v>
      </c>
      <c r="AD188" s="228">
        <v>0.04</v>
      </c>
      <c r="AE188" s="228">
        <v>0.05</v>
      </c>
      <c r="AF188" s="229">
        <v>1.6999999999999999E-3</v>
      </c>
      <c r="AG188" s="228">
        <v>0.43</v>
      </c>
      <c r="AH188" s="228">
        <v>0.36</v>
      </c>
      <c r="AI188" s="228">
        <v>7.0000000000000007E-2</v>
      </c>
      <c r="AJ188" s="229">
        <v>8.3000000000000001E-3</v>
      </c>
      <c r="AK188" s="228">
        <v>0.68</v>
      </c>
      <c r="AL188" s="228">
        <v>0.69</v>
      </c>
      <c r="AM188" s="228">
        <v>-0.01</v>
      </c>
      <c r="AN188" s="229">
        <v>1.3100000000000001E-2</v>
      </c>
      <c r="AO188" s="228">
        <v>51.75</v>
      </c>
      <c r="AP188" s="228">
        <v>52.08</v>
      </c>
      <c r="AQ188" s="228">
        <v>0</v>
      </c>
      <c r="AR188" s="230">
        <v>32560000</v>
      </c>
      <c r="AS188" s="230">
        <v>27296000</v>
      </c>
      <c r="AT188" s="230">
        <v>5264000</v>
      </c>
      <c r="AU188" s="229">
        <v>0.1928</v>
      </c>
      <c r="AV188" s="230">
        <v>23056000</v>
      </c>
      <c r="AW188" s="230">
        <v>19352000</v>
      </c>
      <c r="AX188" s="230">
        <v>3704000</v>
      </c>
      <c r="AY188" s="229">
        <v>0.19139999999999999</v>
      </c>
      <c r="AZ188" s="230">
        <v>8040000</v>
      </c>
      <c r="BA188" s="230">
        <v>6344000</v>
      </c>
      <c r="BB188" s="230">
        <v>1696000</v>
      </c>
      <c r="BC188" s="229">
        <v>0.26729999999999998</v>
      </c>
      <c r="BD188" s="230">
        <v>1464000</v>
      </c>
      <c r="BE188" s="230">
        <v>1600000</v>
      </c>
      <c r="BF188" s="230">
        <v>-136000</v>
      </c>
      <c r="BG188" s="229">
        <v>-8.5000000000000006E-2</v>
      </c>
      <c r="BH188" s="230">
        <v>115392000</v>
      </c>
      <c r="BI188" s="230">
        <v>119152000</v>
      </c>
      <c r="BJ188" s="230">
        <v>-3760000</v>
      </c>
      <c r="BK188" s="229">
        <v>-3.1600000000000003E-2</v>
      </c>
      <c r="BL188" s="230">
        <v>26352000</v>
      </c>
      <c r="BM188" s="230">
        <v>27456000</v>
      </c>
      <c r="BN188" s="230">
        <v>-1104000</v>
      </c>
      <c r="BO188" s="229">
        <v>-4.02E-2</v>
      </c>
      <c r="BP188" s="230">
        <v>174304000</v>
      </c>
      <c r="BQ188" s="230">
        <v>173904000</v>
      </c>
      <c r="BR188" s="230">
        <v>400000</v>
      </c>
      <c r="BS188" s="229">
        <v>2.3E-3</v>
      </c>
      <c r="BT188" s="230">
        <v>34867615</v>
      </c>
      <c r="BU188" s="230">
        <v>32876945</v>
      </c>
      <c r="BV188" s="230">
        <v>1990670</v>
      </c>
      <c r="BW188" s="229">
        <v>6.0499999999999998E-2</v>
      </c>
      <c r="BX188" s="230">
        <v>292611350</v>
      </c>
      <c r="BY188" s="230">
        <v>289059050</v>
      </c>
      <c r="BZ188" s="230">
        <v>3552300</v>
      </c>
      <c r="CA188" s="229">
        <v>1.23E-2</v>
      </c>
      <c r="CB188" s="230">
        <v>244472000</v>
      </c>
      <c r="CC188" s="230">
        <v>245360000</v>
      </c>
      <c r="CD188" s="230">
        <v>-888000</v>
      </c>
      <c r="CE188" s="229">
        <v>-3.5999999999999999E-3</v>
      </c>
      <c r="CF188" s="230">
        <v>44276650</v>
      </c>
      <c r="CG188" s="230">
        <v>39610725</v>
      </c>
      <c r="CH188" s="230">
        <v>4665925</v>
      </c>
      <c r="CI188" s="229">
        <v>0.1178</v>
      </c>
      <c r="CJ188" s="230">
        <v>3862700</v>
      </c>
      <c r="CK188" s="230">
        <v>4088325</v>
      </c>
      <c r="CL188" s="230">
        <v>-225625</v>
      </c>
      <c r="CM188" s="229">
        <v>-5.5199999999999999E-2</v>
      </c>
      <c r="CN188" s="230">
        <v>215350275</v>
      </c>
      <c r="CO188" s="230">
        <v>214290075</v>
      </c>
      <c r="CP188" s="230">
        <v>1060200</v>
      </c>
      <c r="CQ188" s="229">
        <v>4.8999999999999998E-3</v>
      </c>
      <c r="CR188" s="230">
        <v>87985150</v>
      </c>
      <c r="CS188" s="230">
        <v>86875050</v>
      </c>
      <c r="CT188" s="230">
        <v>1110100</v>
      </c>
      <c r="CU188" s="229">
        <v>1.2800000000000001E-2</v>
      </c>
      <c r="CV188" s="230">
        <v>595946775</v>
      </c>
      <c r="CW188" s="230">
        <v>590224175</v>
      </c>
      <c r="CX188" s="230">
        <v>5722600</v>
      </c>
      <c r="CY188" s="229">
        <v>9.7000000000000003E-3</v>
      </c>
      <c r="CZ188" s="228">
        <v>33.229999999999997</v>
      </c>
      <c r="DA188" s="228">
        <v>35.770000000000003</v>
      </c>
      <c r="DB188" s="228">
        <v>-2.54</v>
      </c>
      <c r="DC188" s="228">
        <v>-2.54</v>
      </c>
      <c r="DD188" s="228">
        <v>47.48</v>
      </c>
      <c r="DE188" s="228">
        <v>47.6</v>
      </c>
      <c r="DF188" s="228">
        <v>-14.25</v>
      </c>
      <c r="DG188" s="228">
        <v>-0.12</v>
      </c>
      <c r="DH188" s="228">
        <v>33.82</v>
      </c>
      <c r="DI188" s="228">
        <v>37.29</v>
      </c>
      <c r="DJ188" s="228">
        <v>-3.47</v>
      </c>
      <c r="DK188" s="228">
        <v>-3.47</v>
      </c>
      <c r="DL188" s="228">
        <v>30.66</v>
      </c>
      <c r="DM188" s="228">
        <v>29.21</v>
      </c>
      <c r="DN188" s="228">
        <v>1.45</v>
      </c>
      <c r="DO188" s="228">
        <v>1.45</v>
      </c>
      <c r="DP188" s="228">
        <v>0.41</v>
      </c>
      <c r="DQ188" s="228">
        <v>0.41</v>
      </c>
      <c r="DR188" s="228">
        <v>0</v>
      </c>
      <c r="DS188" s="229">
        <v>0</v>
      </c>
      <c r="DT188" s="228">
        <v>60</v>
      </c>
      <c r="DU188" s="228">
        <v>55</v>
      </c>
      <c r="DV188" s="228">
        <v>0.23</v>
      </c>
      <c r="DW188" s="228">
        <v>0.23</v>
      </c>
      <c r="DX188" s="228">
        <v>0</v>
      </c>
      <c r="DY188" s="229">
        <v>0</v>
      </c>
      <c r="DZ188" s="229">
        <v>0.16450000000000001</v>
      </c>
      <c r="EA188" s="230">
        <v>43699050</v>
      </c>
      <c r="EB188" s="229">
        <v>6.6E-3</v>
      </c>
      <c r="EC188" s="229">
        <v>0.16450000000000001</v>
      </c>
      <c r="ED188" s="228">
        <v>0.33</v>
      </c>
      <c r="EE188" s="229">
        <v>6.4000000000000003E-3</v>
      </c>
      <c r="EF188" s="230">
        <v>12633923</v>
      </c>
      <c r="EG188" s="230">
        <v>15026049</v>
      </c>
      <c r="EH188" s="229">
        <v>-0.15920000000000001</v>
      </c>
      <c r="EI188" s="229">
        <v>0.36230000000000001</v>
      </c>
      <c r="EJ188" s="231">
        <v>64693.35</v>
      </c>
      <c r="EK188" s="231">
        <v>13647.66</v>
      </c>
      <c r="EL188" s="231">
        <v>17519.490000000002</v>
      </c>
      <c r="EM188" s="231">
        <v>3949</v>
      </c>
      <c r="EN188" s="231">
        <v>95860.5</v>
      </c>
      <c r="EO188" s="231">
        <v>98085.36</v>
      </c>
      <c r="EP188" s="231">
        <v>-2224.86</v>
      </c>
      <c r="EQ188" s="229">
        <v>-2.2700000000000001E-2</v>
      </c>
      <c r="ER188" s="231">
        <v>124691</v>
      </c>
      <c r="ES188" s="231">
        <v>46903</v>
      </c>
      <c r="ET188" s="231">
        <v>151951</v>
      </c>
      <c r="EU188" s="231">
        <v>1813533848</v>
      </c>
      <c r="EV188" s="231">
        <v>323545</v>
      </c>
      <c r="EW188" s="231">
        <v>320790</v>
      </c>
      <c r="EX188" s="231">
        <v>2755</v>
      </c>
      <c r="EY188" s="229">
        <v>8.6E-3</v>
      </c>
      <c r="EZ188" s="229">
        <v>0.3286</v>
      </c>
      <c r="FA188" s="227" t="s">
        <v>567</v>
      </c>
      <c r="FB188" s="161">
        <f t="shared" si="4"/>
        <v>0</v>
      </c>
    </row>
    <row r="189" spans="1:158" ht="17.25" thickBot="1" x14ac:dyDescent="0.3">
      <c r="A189" s="226">
        <v>46009</v>
      </c>
      <c r="B189" s="227" t="s">
        <v>170</v>
      </c>
      <c r="C189" s="227" t="s">
        <v>520</v>
      </c>
      <c r="D189" s="228">
        <v>1000</v>
      </c>
      <c r="E189" s="228">
        <v>658.25</v>
      </c>
      <c r="F189" s="228">
        <v>647.25</v>
      </c>
      <c r="G189" s="228">
        <v>11</v>
      </c>
      <c r="H189" s="229">
        <v>1.7000000000000001E-2</v>
      </c>
      <c r="I189" s="228">
        <v>657.1</v>
      </c>
      <c r="J189" s="228">
        <v>646.5</v>
      </c>
      <c r="K189" s="228">
        <v>10.6</v>
      </c>
      <c r="L189" s="229">
        <v>1.6400000000000001E-2</v>
      </c>
      <c r="M189" s="228">
        <v>658.25</v>
      </c>
      <c r="N189" s="228">
        <v>647.25</v>
      </c>
      <c r="O189" s="228">
        <v>11</v>
      </c>
      <c r="P189" s="229">
        <v>1.7000000000000001E-2</v>
      </c>
      <c r="Q189" s="228">
        <v>661.8</v>
      </c>
      <c r="R189" s="228">
        <v>650.9</v>
      </c>
      <c r="S189" s="228">
        <v>10.9</v>
      </c>
      <c r="T189" s="229">
        <v>1.67E-2</v>
      </c>
      <c r="U189" s="228">
        <v>667.15</v>
      </c>
      <c r="V189" s="228">
        <v>659.2</v>
      </c>
      <c r="W189" s="228">
        <v>7.95</v>
      </c>
      <c r="X189" s="229">
        <v>1.21E-2</v>
      </c>
      <c r="Y189" s="228">
        <v>1.1499999999999999</v>
      </c>
      <c r="Z189" s="228">
        <v>0.75</v>
      </c>
      <c r="AA189" s="228">
        <v>0.4</v>
      </c>
      <c r="AB189" s="229">
        <v>1.8E-3</v>
      </c>
      <c r="AC189" s="228">
        <v>1.1499999999999999</v>
      </c>
      <c r="AD189" s="228">
        <v>0.75</v>
      </c>
      <c r="AE189" s="228">
        <v>0.4</v>
      </c>
      <c r="AF189" s="229">
        <v>1.8E-3</v>
      </c>
      <c r="AG189" s="228">
        <v>4.7</v>
      </c>
      <c r="AH189" s="228">
        <v>4.4000000000000004</v>
      </c>
      <c r="AI189" s="228">
        <v>0.3</v>
      </c>
      <c r="AJ189" s="229">
        <v>7.1999999999999998E-3</v>
      </c>
      <c r="AK189" s="228">
        <v>10.050000000000001</v>
      </c>
      <c r="AL189" s="228">
        <v>12.7</v>
      </c>
      <c r="AM189" s="228">
        <v>-2.65</v>
      </c>
      <c r="AN189" s="229">
        <v>1.5299999999999999E-2</v>
      </c>
      <c r="AO189" s="228">
        <v>653.91</v>
      </c>
      <c r="AP189" s="228">
        <v>657.99</v>
      </c>
      <c r="AQ189" s="228">
        <v>0</v>
      </c>
      <c r="AR189" s="230">
        <v>1520000</v>
      </c>
      <c r="AS189" s="230">
        <v>798000</v>
      </c>
      <c r="AT189" s="230">
        <v>722000</v>
      </c>
      <c r="AU189" s="229">
        <v>0.90480000000000005</v>
      </c>
      <c r="AV189" s="230">
        <v>1364000</v>
      </c>
      <c r="AW189" s="230">
        <v>711000</v>
      </c>
      <c r="AX189" s="230">
        <v>653000</v>
      </c>
      <c r="AY189" s="229">
        <v>0.91839999999999999</v>
      </c>
      <c r="AZ189" s="230">
        <v>152000</v>
      </c>
      <c r="BA189" s="230">
        <v>87000</v>
      </c>
      <c r="BB189" s="230">
        <v>65000</v>
      </c>
      <c r="BC189" s="229">
        <v>0.74709999999999999</v>
      </c>
      <c r="BD189" s="230">
        <v>4000</v>
      </c>
      <c r="BE189" s="228">
        <v>0</v>
      </c>
      <c r="BF189" s="230">
        <v>4000</v>
      </c>
      <c r="BG189" s="229">
        <v>0</v>
      </c>
      <c r="BH189" s="230">
        <v>3874000</v>
      </c>
      <c r="BI189" s="230">
        <v>2039000</v>
      </c>
      <c r="BJ189" s="230">
        <v>1835000</v>
      </c>
      <c r="BK189" s="229">
        <v>0.9</v>
      </c>
      <c r="BL189" s="230">
        <v>1227000</v>
      </c>
      <c r="BM189" s="230">
        <v>648000</v>
      </c>
      <c r="BN189" s="230">
        <v>579000</v>
      </c>
      <c r="BO189" s="229">
        <v>0.89349999999999996</v>
      </c>
      <c r="BP189" s="230">
        <v>6621000</v>
      </c>
      <c r="BQ189" s="230">
        <v>3485000</v>
      </c>
      <c r="BR189" s="230">
        <v>3136000</v>
      </c>
      <c r="BS189" s="229">
        <v>0.89990000000000003</v>
      </c>
      <c r="BT189" s="230">
        <v>960566</v>
      </c>
      <c r="BU189" s="230">
        <v>893314</v>
      </c>
      <c r="BV189" s="230">
        <v>67252</v>
      </c>
      <c r="BW189" s="229">
        <v>7.5300000000000006E-2</v>
      </c>
      <c r="BX189" s="230">
        <v>8366000</v>
      </c>
      <c r="BY189" s="230">
        <v>8493000</v>
      </c>
      <c r="BZ189" s="230">
        <v>-127000</v>
      </c>
      <c r="CA189" s="229">
        <v>-1.4999999999999999E-2</v>
      </c>
      <c r="CB189" s="230">
        <v>8070000</v>
      </c>
      <c r="CC189" s="230">
        <v>8221000</v>
      </c>
      <c r="CD189" s="230">
        <v>-151000</v>
      </c>
      <c r="CE189" s="229">
        <v>-1.84E-2</v>
      </c>
      <c r="CF189" s="230">
        <v>282000</v>
      </c>
      <c r="CG189" s="230">
        <v>261000</v>
      </c>
      <c r="CH189" s="230">
        <v>21000</v>
      </c>
      <c r="CI189" s="229">
        <v>8.0500000000000002E-2</v>
      </c>
      <c r="CJ189" s="230">
        <v>14000</v>
      </c>
      <c r="CK189" s="230">
        <v>11000</v>
      </c>
      <c r="CL189" s="230">
        <v>3000</v>
      </c>
      <c r="CM189" s="229">
        <v>0.2727</v>
      </c>
      <c r="CN189" s="230">
        <v>3599000</v>
      </c>
      <c r="CO189" s="230">
        <v>3231000</v>
      </c>
      <c r="CP189" s="230">
        <v>368000</v>
      </c>
      <c r="CQ189" s="229">
        <v>0.1139</v>
      </c>
      <c r="CR189" s="230">
        <v>1638000</v>
      </c>
      <c r="CS189" s="230">
        <v>1601000</v>
      </c>
      <c r="CT189" s="230">
        <v>37000</v>
      </c>
      <c r="CU189" s="229">
        <v>2.3099999999999999E-2</v>
      </c>
      <c r="CV189" s="230">
        <v>13603000</v>
      </c>
      <c r="CW189" s="230">
        <v>13325000</v>
      </c>
      <c r="CX189" s="230">
        <v>278000</v>
      </c>
      <c r="CY189" s="229">
        <v>2.0899999999999998E-2</v>
      </c>
      <c r="CZ189" s="228">
        <v>21.01</v>
      </c>
      <c r="DA189" s="228">
        <v>21.78</v>
      </c>
      <c r="DB189" s="228">
        <v>-0.77</v>
      </c>
      <c r="DC189" s="228">
        <v>-0.77</v>
      </c>
      <c r="DD189" s="228">
        <v>32.43</v>
      </c>
      <c r="DE189" s="228">
        <v>32.43</v>
      </c>
      <c r="DF189" s="228">
        <v>-11.42</v>
      </c>
      <c r="DG189" s="228">
        <v>0</v>
      </c>
      <c r="DH189" s="228">
        <v>20.329999999999998</v>
      </c>
      <c r="DI189" s="228">
        <v>21.94</v>
      </c>
      <c r="DJ189" s="228">
        <v>-1.61</v>
      </c>
      <c r="DK189" s="228">
        <v>-1.61</v>
      </c>
      <c r="DL189" s="228">
        <v>23.15</v>
      </c>
      <c r="DM189" s="228">
        <v>21.26</v>
      </c>
      <c r="DN189" s="228">
        <v>1.89</v>
      </c>
      <c r="DO189" s="228">
        <v>1.89</v>
      </c>
      <c r="DP189" s="228">
        <v>0.46</v>
      </c>
      <c r="DQ189" s="228">
        <v>0.5</v>
      </c>
      <c r="DR189" s="228">
        <v>-0.04</v>
      </c>
      <c r="DS189" s="229">
        <v>-0.08</v>
      </c>
      <c r="DT189" s="228">
        <v>700</v>
      </c>
      <c r="DU189" s="228">
        <v>630</v>
      </c>
      <c r="DV189" s="228">
        <v>0.32</v>
      </c>
      <c r="DW189" s="228">
        <v>0.32</v>
      </c>
      <c r="DX189" s="228">
        <v>0</v>
      </c>
      <c r="DY189" s="229">
        <v>0</v>
      </c>
      <c r="DZ189" s="229">
        <v>3.5400000000000001E-2</v>
      </c>
      <c r="EA189" s="230">
        <v>272000</v>
      </c>
      <c r="EB189" s="229">
        <v>5.4000000000000003E-3</v>
      </c>
      <c r="EC189" s="229">
        <v>3.5400000000000001E-2</v>
      </c>
      <c r="ED189" s="228">
        <v>4.08</v>
      </c>
      <c r="EE189" s="229">
        <v>6.1999999999999998E-3</v>
      </c>
      <c r="EF189" s="230">
        <v>741366</v>
      </c>
      <c r="EG189" s="230">
        <v>718009</v>
      </c>
      <c r="EH189" s="229">
        <v>3.2500000000000001E-2</v>
      </c>
      <c r="EI189" s="229">
        <v>0.77180000000000004</v>
      </c>
      <c r="EJ189" s="231">
        <v>26075.37</v>
      </c>
      <c r="EK189" s="231">
        <v>7816.76</v>
      </c>
      <c r="EL189" s="231">
        <v>9946.18</v>
      </c>
      <c r="EM189" s="231">
        <v>1190</v>
      </c>
      <c r="EN189" s="231">
        <v>43838.31</v>
      </c>
      <c r="EO189" s="231">
        <v>23136.69</v>
      </c>
      <c r="EP189" s="231">
        <v>20701.62</v>
      </c>
      <c r="EQ189" s="229">
        <v>0.89480000000000004</v>
      </c>
      <c r="ER189" s="231">
        <v>24437</v>
      </c>
      <c r="ES189" s="231">
        <v>10306</v>
      </c>
      <c r="ET189" s="231">
        <v>55080</v>
      </c>
      <c r="EU189" s="231">
        <v>28408333</v>
      </c>
      <c r="EV189" s="231">
        <v>89823</v>
      </c>
      <c r="EW189" s="231">
        <v>87021</v>
      </c>
      <c r="EX189" s="231">
        <v>2802</v>
      </c>
      <c r="EY189" s="229">
        <v>3.2199999999999999E-2</v>
      </c>
      <c r="EZ189" s="229">
        <v>0.4788</v>
      </c>
      <c r="FA189" s="227" t="s">
        <v>556</v>
      </c>
      <c r="FB189" s="161">
        <f t="shared" si="4"/>
        <v>0</v>
      </c>
    </row>
    <row r="190" spans="1:158" ht="17.25" thickBot="1" x14ac:dyDescent="0.3">
      <c r="A190" s="226">
        <v>46009</v>
      </c>
      <c r="B190" s="227" t="s">
        <v>168</v>
      </c>
      <c r="C190" s="227" t="s">
        <v>291</v>
      </c>
      <c r="D190" s="228">
        <v>550</v>
      </c>
      <c r="E190" s="231">
        <v>1174.8</v>
      </c>
      <c r="F190" s="231">
        <v>1180.5</v>
      </c>
      <c r="G190" s="228">
        <v>-5.7</v>
      </c>
      <c r="H190" s="229">
        <v>-4.7999999999999996E-3</v>
      </c>
      <c r="I190" s="231">
        <v>1171.5</v>
      </c>
      <c r="J190" s="231">
        <v>1179.8</v>
      </c>
      <c r="K190" s="228">
        <v>-8.3000000000000007</v>
      </c>
      <c r="L190" s="229">
        <v>-7.0000000000000001E-3</v>
      </c>
      <c r="M190" s="231">
        <v>1174.8</v>
      </c>
      <c r="N190" s="231">
        <v>1180.5</v>
      </c>
      <c r="O190" s="228">
        <v>-5.7</v>
      </c>
      <c r="P190" s="229">
        <v>-4.7999999999999996E-3</v>
      </c>
      <c r="Q190" s="231">
        <v>1182.2</v>
      </c>
      <c r="R190" s="231">
        <v>1188.4000000000001</v>
      </c>
      <c r="S190" s="228">
        <v>-6.2</v>
      </c>
      <c r="T190" s="229">
        <v>-5.1999999999999998E-3</v>
      </c>
      <c r="U190" s="231">
        <v>1188.7</v>
      </c>
      <c r="V190" s="231">
        <v>1194.5999999999999</v>
      </c>
      <c r="W190" s="228">
        <v>-5.9</v>
      </c>
      <c r="X190" s="229">
        <v>-4.8999999999999998E-3</v>
      </c>
      <c r="Y190" s="228">
        <v>3.3</v>
      </c>
      <c r="Z190" s="228">
        <v>0.7</v>
      </c>
      <c r="AA190" s="228">
        <v>2.6</v>
      </c>
      <c r="AB190" s="229">
        <v>2.8E-3</v>
      </c>
      <c r="AC190" s="228">
        <v>3.3</v>
      </c>
      <c r="AD190" s="228">
        <v>0.7</v>
      </c>
      <c r="AE190" s="228">
        <v>2.6</v>
      </c>
      <c r="AF190" s="229">
        <v>2.8E-3</v>
      </c>
      <c r="AG190" s="228">
        <v>10.7</v>
      </c>
      <c r="AH190" s="228">
        <v>8.6</v>
      </c>
      <c r="AI190" s="228">
        <v>2.1</v>
      </c>
      <c r="AJ190" s="229">
        <v>9.1000000000000004E-3</v>
      </c>
      <c r="AK190" s="228">
        <v>17.2</v>
      </c>
      <c r="AL190" s="228">
        <v>14.8</v>
      </c>
      <c r="AM190" s="228">
        <v>2.4</v>
      </c>
      <c r="AN190" s="229">
        <v>1.47E-2</v>
      </c>
      <c r="AO190" s="231">
        <v>1178.44</v>
      </c>
      <c r="AP190" s="231">
        <v>1186.0899999999999</v>
      </c>
      <c r="AQ190" s="228">
        <v>0</v>
      </c>
      <c r="AR190" s="230">
        <v>1858450</v>
      </c>
      <c r="AS190" s="230">
        <v>1807850</v>
      </c>
      <c r="AT190" s="230">
        <v>50600</v>
      </c>
      <c r="AU190" s="229">
        <v>2.8000000000000001E-2</v>
      </c>
      <c r="AV190" s="230">
        <v>1243550</v>
      </c>
      <c r="AW190" s="230">
        <v>1531200</v>
      </c>
      <c r="AX190" s="230">
        <v>-287650</v>
      </c>
      <c r="AY190" s="229">
        <v>-0.18790000000000001</v>
      </c>
      <c r="AZ190" s="230">
        <v>607200</v>
      </c>
      <c r="BA190" s="230">
        <v>269500</v>
      </c>
      <c r="BB190" s="230">
        <v>337700</v>
      </c>
      <c r="BC190" s="229">
        <v>1.2531000000000001</v>
      </c>
      <c r="BD190" s="230">
        <v>7700</v>
      </c>
      <c r="BE190" s="230">
        <v>7150</v>
      </c>
      <c r="BF190" s="228">
        <v>550</v>
      </c>
      <c r="BG190" s="229">
        <v>7.6899999999999996E-2</v>
      </c>
      <c r="BH190" s="230">
        <v>2432650</v>
      </c>
      <c r="BI190" s="230">
        <v>6579100</v>
      </c>
      <c r="BJ190" s="230">
        <v>-4146450</v>
      </c>
      <c r="BK190" s="229">
        <v>-0.63019999999999998</v>
      </c>
      <c r="BL190" s="230">
        <v>1473450</v>
      </c>
      <c r="BM190" s="230">
        <v>2720850</v>
      </c>
      <c r="BN190" s="230">
        <v>-1247400</v>
      </c>
      <c r="BO190" s="229">
        <v>-0.45850000000000002</v>
      </c>
      <c r="BP190" s="230">
        <v>5764550</v>
      </c>
      <c r="BQ190" s="230">
        <v>11107800</v>
      </c>
      <c r="BR190" s="230">
        <v>-5343250</v>
      </c>
      <c r="BS190" s="229">
        <v>-0.48099999999999998</v>
      </c>
      <c r="BT190" s="230">
        <v>587895</v>
      </c>
      <c r="BU190" s="230">
        <v>1525990</v>
      </c>
      <c r="BV190" s="230">
        <v>-938095</v>
      </c>
      <c r="BW190" s="229">
        <v>-0.61470000000000002</v>
      </c>
      <c r="BX190" s="230">
        <v>12546600</v>
      </c>
      <c r="BY190" s="230">
        <v>12340900</v>
      </c>
      <c r="BZ190" s="230">
        <v>205700</v>
      </c>
      <c r="CA190" s="229">
        <v>1.67E-2</v>
      </c>
      <c r="CB190" s="230">
        <v>11019800</v>
      </c>
      <c r="CC190" s="230">
        <v>11279950</v>
      </c>
      <c r="CD190" s="230">
        <v>-260150</v>
      </c>
      <c r="CE190" s="229">
        <v>-2.3099999999999999E-2</v>
      </c>
      <c r="CF190" s="230">
        <v>1470700</v>
      </c>
      <c r="CG190" s="230">
        <v>1010900</v>
      </c>
      <c r="CH190" s="230">
        <v>459800</v>
      </c>
      <c r="CI190" s="229">
        <v>0.45479999999999998</v>
      </c>
      <c r="CJ190" s="230">
        <v>56100</v>
      </c>
      <c r="CK190" s="230">
        <v>50050</v>
      </c>
      <c r="CL190" s="230">
        <v>6050</v>
      </c>
      <c r="CM190" s="229">
        <v>0.12089999999999999</v>
      </c>
      <c r="CN190" s="230">
        <v>5641900</v>
      </c>
      <c r="CO190" s="230">
        <v>5739800</v>
      </c>
      <c r="CP190" s="230">
        <v>-97900</v>
      </c>
      <c r="CQ190" s="229">
        <v>-1.7100000000000001E-2</v>
      </c>
      <c r="CR190" s="230">
        <v>2996400</v>
      </c>
      <c r="CS190" s="230">
        <v>3068450</v>
      </c>
      <c r="CT190" s="230">
        <v>-72050</v>
      </c>
      <c r="CU190" s="229">
        <v>-2.35E-2</v>
      </c>
      <c r="CV190" s="230">
        <v>21184900</v>
      </c>
      <c r="CW190" s="230">
        <v>21149150</v>
      </c>
      <c r="CX190" s="230">
        <v>35750</v>
      </c>
      <c r="CY190" s="229">
        <v>1.6999999999999999E-3</v>
      </c>
      <c r="CZ190" s="228">
        <v>19.29</v>
      </c>
      <c r="DA190" s="228">
        <v>20.260000000000002</v>
      </c>
      <c r="DB190" s="228">
        <v>-0.97</v>
      </c>
      <c r="DC190" s="228">
        <v>-0.97</v>
      </c>
      <c r="DD190" s="228">
        <v>25.92</v>
      </c>
      <c r="DE190" s="228">
        <v>25.97</v>
      </c>
      <c r="DF190" s="228">
        <v>-6.63</v>
      </c>
      <c r="DG190" s="228">
        <v>-0.05</v>
      </c>
      <c r="DH190" s="228">
        <v>19.54</v>
      </c>
      <c r="DI190" s="228">
        <v>20.440000000000001</v>
      </c>
      <c r="DJ190" s="228">
        <v>-0.9</v>
      </c>
      <c r="DK190" s="228">
        <v>-0.9</v>
      </c>
      <c r="DL190" s="228">
        <v>18.88</v>
      </c>
      <c r="DM190" s="228">
        <v>19.829999999999998</v>
      </c>
      <c r="DN190" s="228">
        <v>-0.95</v>
      </c>
      <c r="DO190" s="228">
        <v>-0.95</v>
      </c>
      <c r="DP190" s="228">
        <v>0.53</v>
      </c>
      <c r="DQ190" s="228">
        <v>0.53</v>
      </c>
      <c r="DR190" s="228">
        <v>0</v>
      </c>
      <c r="DS190" s="229">
        <v>0</v>
      </c>
      <c r="DT190" s="231">
        <v>1200</v>
      </c>
      <c r="DU190" s="231">
        <v>1070</v>
      </c>
      <c r="DV190" s="228">
        <v>0.61</v>
      </c>
      <c r="DW190" s="228">
        <v>0.41</v>
      </c>
      <c r="DX190" s="228">
        <v>0.2</v>
      </c>
      <c r="DY190" s="229">
        <v>0.48780000000000001</v>
      </c>
      <c r="DZ190" s="229">
        <v>0.1217</v>
      </c>
      <c r="EA190" s="230">
        <v>1060950</v>
      </c>
      <c r="EB190" s="229">
        <v>6.3E-3</v>
      </c>
      <c r="EC190" s="229">
        <v>0.1217</v>
      </c>
      <c r="ED190" s="228">
        <v>7.65</v>
      </c>
      <c r="EE190" s="229">
        <v>6.4999999999999997E-3</v>
      </c>
      <c r="EF190" s="230">
        <v>294761</v>
      </c>
      <c r="EG190" s="230">
        <v>951001</v>
      </c>
      <c r="EH190" s="229">
        <v>-0.69010000000000005</v>
      </c>
      <c r="EI190" s="229">
        <v>0.50139999999999996</v>
      </c>
      <c r="EJ190" s="231">
        <v>29502.07</v>
      </c>
      <c r="EK190" s="231">
        <v>17217.490000000002</v>
      </c>
      <c r="EL190" s="231">
        <v>21948.26</v>
      </c>
      <c r="EM190" s="231">
        <v>3306</v>
      </c>
      <c r="EN190" s="231">
        <v>68667.820000000007</v>
      </c>
      <c r="EO190" s="231">
        <v>132739.74</v>
      </c>
      <c r="EP190" s="231">
        <v>-64071.92</v>
      </c>
      <c r="EQ190" s="229">
        <v>-0.48270000000000002</v>
      </c>
      <c r="ER190" s="231">
        <v>69011</v>
      </c>
      <c r="ES190" s="231">
        <v>33781</v>
      </c>
      <c r="ET190" s="231">
        <v>147514</v>
      </c>
      <c r="EU190" s="231">
        <v>65471528</v>
      </c>
      <c r="EV190" s="231">
        <v>250306</v>
      </c>
      <c r="EW190" s="231">
        <v>250597</v>
      </c>
      <c r="EX190" s="228">
        <v>-291</v>
      </c>
      <c r="EY190" s="229">
        <v>-1.1999999999999999E-3</v>
      </c>
      <c r="EZ190" s="229">
        <v>0.3236</v>
      </c>
      <c r="FA190" s="227" t="s">
        <v>567</v>
      </c>
      <c r="FB190" s="161">
        <f t="shared" si="4"/>
        <v>0</v>
      </c>
    </row>
    <row r="191" spans="1:158" ht="17.25" thickBot="1" x14ac:dyDescent="0.3">
      <c r="A191" s="226">
        <v>46009</v>
      </c>
      <c r="B191" s="227" t="s">
        <v>221</v>
      </c>
      <c r="C191" s="227" t="s">
        <v>604</v>
      </c>
      <c r="D191" s="228">
        <v>100</v>
      </c>
      <c r="E191" s="231">
        <v>5040.5</v>
      </c>
      <c r="F191" s="231">
        <v>4985.5</v>
      </c>
      <c r="G191" s="228">
        <v>55</v>
      </c>
      <c r="H191" s="229">
        <v>1.0999999999999999E-2</v>
      </c>
      <c r="I191" s="231">
        <v>5013.5</v>
      </c>
      <c r="J191" s="231">
        <v>4968.5</v>
      </c>
      <c r="K191" s="228">
        <v>45</v>
      </c>
      <c r="L191" s="229">
        <v>9.1000000000000004E-3</v>
      </c>
      <c r="M191" s="231">
        <v>5040.5</v>
      </c>
      <c r="N191" s="231">
        <v>4985.5</v>
      </c>
      <c r="O191" s="228">
        <v>55</v>
      </c>
      <c r="P191" s="229">
        <v>1.0999999999999999E-2</v>
      </c>
      <c r="Q191" s="231">
        <v>5063.5</v>
      </c>
      <c r="R191" s="231">
        <v>5008</v>
      </c>
      <c r="S191" s="228">
        <v>55.5</v>
      </c>
      <c r="T191" s="229">
        <v>1.11E-2</v>
      </c>
      <c r="U191" s="231">
        <v>5089.5</v>
      </c>
      <c r="V191" s="231">
        <v>5026</v>
      </c>
      <c r="W191" s="228">
        <v>63.5</v>
      </c>
      <c r="X191" s="229">
        <v>1.26E-2</v>
      </c>
      <c r="Y191" s="228">
        <v>27</v>
      </c>
      <c r="Z191" s="228">
        <v>17</v>
      </c>
      <c r="AA191" s="228">
        <v>10</v>
      </c>
      <c r="AB191" s="229">
        <v>5.4000000000000003E-3</v>
      </c>
      <c r="AC191" s="228">
        <v>27</v>
      </c>
      <c r="AD191" s="228">
        <v>17</v>
      </c>
      <c r="AE191" s="228">
        <v>10</v>
      </c>
      <c r="AF191" s="229">
        <v>5.4000000000000003E-3</v>
      </c>
      <c r="AG191" s="228">
        <v>50</v>
      </c>
      <c r="AH191" s="228">
        <v>39.5</v>
      </c>
      <c r="AI191" s="228">
        <v>10.5</v>
      </c>
      <c r="AJ191" s="229">
        <v>0.01</v>
      </c>
      <c r="AK191" s="228">
        <v>76</v>
      </c>
      <c r="AL191" s="228">
        <v>57.5</v>
      </c>
      <c r="AM191" s="228">
        <v>18.5</v>
      </c>
      <c r="AN191" s="229">
        <v>1.52E-2</v>
      </c>
      <c r="AO191" s="231">
        <v>5017.1499999999996</v>
      </c>
      <c r="AP191" s="231">
        <v>5031.92</v>
      </c>
      <c r="AQ191" s="228">
        <v>0</v>
      </c>
      <c r="AR191" s="230">
        <v>272300</v>
      </c>
      <c r="AS191" s="230">
        <v>154700</v>
      </c>
      <c r="AT191" s="230">
        <v>117600</v>
      </c>
      <c r="AU191" s="229">
        <v>0.76019999999999999</v>
      </c>
      <c r="AV191" s="230">
        <v>228600</v>
      </c>
      <c r="AW191" s="230">
        <v>129500</v>
      </c>
      <c r="AX191" s="230">
        <v>99100</v>
      </c>
      <c r="AY191" s="229">
        <v>0.76529999999999998</v>
      </c>
      <c r="AZ191" s="230">
        <v>41200</v>
      </c>
      <c r="BA191" s="230">
        <v>23600</v>
      </c>
      <c r="BB191" s="230">
        <v>17600</v>
      </c>
      <c r="BC191" s="229">
        <v>0.74580000000000002</v>
      </c>
      <c r="BD191" s="230">
        <v>2500</v>
      </c>
      <c r="BE191" s="230">
        <v>1600</v>
      </c>
      <c r="BF191" s="228">
        <v>900</v>
      </c>
      <c r="BG191" s="229">
        <v>0.5625</v>
      </c>
      <c r="BH191" s="230">
        <v>766600</v>
      </c>
      <c r="BI191" s="230">
        <v>673500</v>
      </c>
      <c r="BJ191" s="230">
        <v>93100</v>
      </c>
      <c r="BK191" s="229">
        <v>0.13819999999999999</v>
      </c>
      <c r="BL191" s="230">
        <v>296200</v>
      </c>
      <c r="BM191" s="230">
        <v>277000</v>
      </c>
      <c r="BN191" s="230">
        <v>19200</v>
      </c>
      <c r="BO191" s="229">
        <v>6.93E-2</v>
      </c>
      <c r="BP191" s="230">
        <v>1335100</v>
      </c>
      <c r="BQ191" s="230">
        <v>1105200</v>
      </c>
      <c r="BR191" s="230">
        <v>229900</v>
      </c>
      <c r="BS191" s="229">
        <v>0.20799999999999999</v>
      </c>
      <c r="BT191" s="230">
        <v>112393</v>
      </c>
      <c r="BU191" s="230">
        <v>76174</v>
      </c>
      <c r="BV191" s="230">
        <v>36219</v>
      </c>
      <c r="BW191" s="229">
        <v>0.47549999999999998</v>
      </c>
      <c r="BX191" s="230">
        <v>1964200</v>
      </c>
      <c r="BY191" s="230">
        <v>1939100</v>
      </c>
      <c r="BZ191" s="230">
        <v>25100</v>
      </c>
      <c r="CA191" s="229">
        <v>1.29E-2</v>
      </c>
      <c r="CB191" s="230">
        <v>1786700</v>
      </c>
      <c r="CC191" s="230">
        <v>1769100</v>
      </c>
      <c r="CD191" s="230">
        <v>17600</v>
      </c>
      <c r="CE191" s="229">
        <v>9.9000000000000008E-3</v>
      </c>
      <c r="CF191" s="230">
        <v>148500</v>
      </c>
      <c r="CG191" s="230">
        <v>141300</v>
      </c>
      <c r="CH191" s="230">
        <v>7200</v>
      </c>
      <c r="CI191" s="229">
        <v>5.0999999999999997E-2</v>
      </c>
      <c r="CJ191" s="230">
        <v>29000</v>
      </c>
      <c r="CK191" s="230">
        <v>28700</v>
      </c>
      <c r="CL191" s="228">
        <v>300</v>
      </c>
      <c r="CM191" s="229">
        <v>1.0500000000000001E-2</v>
      </c>
      <c r="CN191" s="230">
        <v>1506800</v>
      </c>
      <c r="CO191" s="230">
        <v>1558400</v>
      </c>
      <c r="CP191" s="230">
        <v>-51600</v>
      </c>
      <c r="CQ191" s="229">
        <v>-3.3099999999999997E-2</v>
      </c>
      <c r="CR191" s="230">
        <v>583700</v>
      </c>
      <c r="CS191" s="230">
        <v>584200</v>
      </c>
      <c r="CT191" s="228">
        <v>-500</v>
      </c>
      <c r="CU191" s="229">
        <v>-8.9999999999999998E-4</v>
      </c>
      <c r="CV191" s="230">
        <v>4054700</v>
      </c>
      <c r="CW191" s="230">
        <v>4081700</v>
      </c>
      <c r="CX191" s="230">
        <v>-27000</v>
      </c>
      <c r="CY191" s="229">
        <v>-6.6E-3</v>
      </c>
      <c r="CZ191" s="228">
        <v>24.07</v>
      </c>
      <c r="DA191" s="228">
        <v>25.11</v>
      </c>
      <c r="DB191" s="228">
        <v>-1.04</v>
      </c>
      <c r="DC191" s="228">
        <v>-1.04</v>
      </c>
      <c r="DD191" s="228">
        <v>34.79</v>
      </c>
      <c r="DE191" s="228">
        <v>34.840000000000003</v>
      </c>
      <c r="DF191" s="228">
        <v>-10.72</v>
      </c>
      <c r="DG191" s="228">
        <v>-0.05</v>
      </c>
      <c r="DH191" s="228">
        <v>23.9</v>
      </c>
      <c r="DI191" s="228">
        <v>25.83</v>
      </c>
      <c r="DJ191" s="228">
        <v>-1.93</v>
      </c>
      <c r="DK191" s="228">
        <v>-1.93</v>
      </c>
      <c r="DL191" s="228">
        <v>24.49</v>
      </c>
      <c r="DM191" s="228">
        <v>23.36</v>
      </c>
      <c r="DN191" s="228">
        <v>1.1299999999999999</v>
      </c>
      <c r="DO191" s="228">
        <v>1.1299999999999999</v>
      </c>
      <c r="DP191" s="228">
        <v>0.39</v>
      </c>
      <c r="DQ191" s="228">
        <v>0.37</v>
      </c>
      <c r="DR191" s="228">
        <v>0.02</v>
      </c>
      <c r="DS191" s="229">
        <v>5.4100000000000002E-2</v>
      </c>
      <c r="DT191" s="231">
        <v>5300</v>
      </c>
      <c r="DU191" s="231">
        <v>5300</v>
      </c>
      <c r="DV191" s="228">
        <v>0.39</v>
      </c>
      <c r="DW191" s="228">
        <v>0.41</v>
      </c>
      <c r="DX191" s="228">
        <v>-0.02</v>
      </c>
      <c r="DY191" s="229">
        <v>-4.8800000000000003E-2</v>
      </c>
      <c r="DZ191" s="229">
        <v>9.0399999999999994E-2</v>
      </c>
      <c r="EA191" s="230">
        <v>170000</v>
      </c>
      <c r="EB191" s="229">
        <v>4.5999999999999999E-3</v>
      </c>
      <c r="EC191" s="229">
        <v>9.0399999999999994E-2</v>
      </c>
      <c r="ED191" s="228">
        <v>14.77</v>
      </c>
      <c r="EE191" s="229">
        <v>2.8999999999999998E-3</v>
      </c>
      <c r="EF191" s="230">
        <v>43678</v>
      </c>
      <c r="EG191" s="230">
        <v>27961</v>
      </c>
      <c r="EH191" s="229">
        <v>0.56210000000000004</v>
      </c>
      <c r="EI191" s="229">
        <v>0.3886</v>
      </c>
      <c r="EJ191" s="231">
        <v>40101.67</v>
      </c>
      <c r="EK191" s="231">
        <v>14585.25</v>
      </c>
      <c r="EL191" s="231">
        <v>13668.59</v>
      </c>
      <c r="EM191" s="231">
        <v>2384</v>
      </c>
      <c r="EN191" s="231">
        <v>68355.509999999995</v>
      </c>
      <c r="EO191" s="231">
        <v>56784.639999999999</v>
      </c>
      <c r="EP191" s="231">
        <v>11570.87</v>
      </c>
      <c r="EQ191" s="229">
        <v>0.20380000000000001</v>
      </c>
      <c r="ER191" s="231">
        <v>80327</v>
      </c>
      <c r="ES191" s="231">
        <v>29245</v>
      </c>
      <c r="ET191" s="231">
        <v>99054</v>
      </c>
      <c r="EU191" s="231">
        <v>4309631</v>
      </c>
      <c r="EV191" s="231">
        <v>208626</v>
      </c>
      <c r="EW191" s="231">
        <v>209026</v>
      </c>
      <c r="EX191" s="228">
        <v>-400</v>
      </c>
      <c r="EY191" s="229">
        <v>-1.9E-3</v>
      </c>
      <c r="EZ191" s="229">
        <v>0.94079999999999997</v>
      </c>
      <c r="FA191" s="227" t="s">
        <v>555</v>
      </c>
      <c r="FB191" s="161">
        <f t="shared" si="4"/>
        <v>0</v>
      </c>
    </row>
    <row r="192" spans="1:158" ht="17.25" thickBot="1" x14ac:dyDescent="0.3">
      <c r="A192" s="226">
        <v>46009</v>
      </c>
      <c r="B192" s="227" t="s">
        <v>161</v>
      </c>
      <c r="C192" s="227" t="s">
        <v>293</v>
      </c>
      <c r="D192" s="228">
        <v>1450</v>
      </c>
      <c r="E192" s="228">
        <v>375.65</v>
      </c>
      <c r="F192" s="228">
        <v>379.55</v>
      </c>
      <c r="G192" s="228">
        <v>-3.9</v>
      </c>
      <c r="H192" s="229">
        <v>-1.03E-2</v>
      </c>
      <c r="I192" s="228">
        <v>374.95</v>
      </c>
      <c r="J192" s="228">
        <v>378.55</v>
      </c>
      <c r="K192" s="228">
        <v>-3.6</v>
      </c>
      <c r="L192" s="229">
        <v>-9.4999999999999998E-3</v>
      </c>
      <c r="M192" s="228">
        <v>375.65</v>
      </c>
      <c r="N192" s="228">
        <v>379.55</v>
      </c>
      <c r="O192" s="228">
        <v>-3.9</v>
      </c>
      <c r="P192" s="229">
        <v>-1.03E-2</v>
      </c>
      <c r="Q192" s="228">
        <v>378.1</v>
      </c>
      <c r="R192" s="228">
        <v>381.9</v>
      </c>
      <c r="S192" s="228">
        <v>-3.8</v>
      </c>
      <c r="T192" s="229">
        <v>-0.01</v>
      </c>
      <c r="U192" s="228">
        <v>380.15</v>
      </c>
      <c r="V192" s="228">
        <v>383.55</v>
      </c>
      <c r="W192" s="228">
        <v>-3.4</v>
      </c>
      <c r="X192" s="229">
        <v>-8.8999999999999999E-3</v>
      </c>
      <c r="Y192" s="228">
        <v>0.7</v>
      </c>
      <c r="Z192" s="228">
        <v>1</v>
      </c>
      <c r="AA192" s="228">
        <v>-0.3</v>
      </c>
      <c r="AB192" s="229">
        <v>1.9E-3</v>
      </c>
      <c r="AC192" s="228">
        <v>0.7</v>
      </c>
      <c r="AD192" s="228">
        <v>1</v>
      </c>
      <c r="AE192" s="228">
        <v>-0.3</v>
      </c>
      <c r="AF192" s="229">
        <v>1.9E-3</v>
      </c>
      <c r="AG192" s="228">
        <v>3.15</v>
      </c>
      <c r="AH192" s="228">
        <v>3.35</v>
      </c>
      <c r="AI192" s="228">
        <v>-0.2</v>
      </c>
      <c r="AJ192" s="229">
        <v>8.3999999999999995E-3</v>
      </c>
      <c r="AK192" s="228">
        <v>5.2</v>
      </c>
      <c r="AL192" s="228">
        <v>5</v>
      </c>
      <c r="AM192" s="228">
        <v>0.2</v>
      </c>
      <c r="AN192" s="229">
        <v>1.3899999999999999E-2</v>
      </c>
      <c r="AO192" s="228">
        <v>375.94</v>
      </c>
      <c r="AP192" s="228">
        <v>378.33</v>
      </c>
      <c r="AQ192" s="228">
        <v>0</v>
      </c>
      <c r="AR192" s="230">
        <v>7577700</v>
      </c>
      <c r="AS192" s="230">
        <v>5446200</v>
      </c>
      <c r="AT192" s="230">
        <v>2131500</v>
      </c>
      <c r="AU192" s="229">
        <v>0.39140000000000003</v>
      </c>
      <c r="AV192" s="230">
        <v>5836250</v>
      </c>
      <c r="AW192" s="230">
        <v>4608100</v>
      </c>
      <c r="AX192" s="230">
        <v>1228150</v>
      </c>
      <c r="AY192" s="229">
        <v>0.26650000000000001</v>
      </c>
      <c r="AZ192" s="230">
        <v>1589200</v>
      </c>
      <c r="BA192" s="230">
        <v>784450</v>
      </c>
      <c r="BB192" s="230">
        <v>804750</v>
      </c>
      <c r="BC192" s="229">
        <v>1.0259</v>
      </c>
      <c r="BD192" s="230">
        <v>152250</v>
      </c>
      <c r="BE192" s="230">
        <v>53650</v>
      </c>
      <c r="BF192" s="230">
        <v>98600</v>
      </c>
      <c r="BG192" s="229">
        <v>1.8378000000000001</v>
      </c>
      <c r="BH192" s="230">
        <v>44223550</v>
      </c>
      <c r="BI192" s="230">
        <v>26107250</v>
      </c>
      <c r="BJ192" s="230">
        <v>18116300</v>
      </c>
      <c r="BK192" s="229">
        <v>0.69389999999999996</v>
      </c>
      <c r="BL192" s="230">
        <v>24940000</v>
      </c>
      <c r="BM192" s="230">
        <v>13344350</v>
      </c>
      <c r="BN192" s="230">
        <v>11595650</v>
      </c>
      <c r="BO192" s="229">
        <v>0.86899999999999999</v>
      </c>
      <c r="BP192" s="230">
        <v>76741250</v>
      </c>
      <c r="BQ192" s="230">
        <v>44897800</v>
      </c>
      <c r="BR192" s="230">
        <v>31843450</v>
      </c>
      <c r="BS192" s="229">
        <v>0.70920000000000005</v>
      </c>
      <c r="BT192" s="230">
        <v>3681632</v>
      </c>
      <c r="BU192" s="230">
        <v>2349325</v>
      </c>
      <c r="BV192" s="230">
        <v>1332307</v>
      </c>
      <c r="BW192" s="229">
        <v>0.56710000000000005</v>
      </c>
      <c r="BX192" s="230">
        <v>57547600</v>
      </c>
      <c r="BY192" s="230">
        <v>56609450</v>
      </c>
      <c r="BZ192" s="230">
        <v>938150</v>
      </c>
      <c r="CA192" s="229">
        <v>1.66E-2</v>
      </c>
      <c r="CB192" s="230">
        <v>51137150</v>
      </c>
      <c r="CC192" s="230">
        <v>50999400</v>
      </c>
      <c r="CD192" s="230">
        <v>137750</v>
      </c>
      <c r="CE192" s="229">
        <v>2.7000000000000001E-3</v>
      </c>
      <c r="CF192" s="230">
        <v>5744900</v>
      </c>
      <c r="CG192" s="230">
        <v>4996700</v>
      </c>
      <c r="CH192" s="230">
        <v>748200</v>
      </c>
      <c r="CI192" s="229">
        <v>0.1497</v>
      </c>
      <c r="CJ192" s="230">
        <v>665550</v>
      </c>
      <c r="CK192" s="230">
        <v>613350</v>
      </c>
      <c r="CL192" s="230">
        <v>52200</v>
      </c>
      <c r="CM192" s="229">
        <v>8.5099999999999995E-2</v>
      </c>
      <c r="CN192" s="230">
        <v>43157800</v>
      </c>
      <c r="CO192" s="230">
        <v>40940750</v>
      </c>
      <c r="CP192" s="230">
        <v>2217050</v>
      </c>
      <c r="CQ192" s="229">
        <v>5.4199999999999998E-2</v>
      </c>
      <c r="CR192" s="230">
        <v>29582900</v>
      </c>
      <c r="CS192" s="230">
        <v>29384250</v>
      </c>
      <c r="CT192" s="230">
        <v>198650</v>
      </c>
      <c r="CU192" s="229">
        <v>6.7999999999999996E-3</v>
      </c>
      <c r="CV192" s="230">
        <v>130288300</v>
      </c>
      <c r="CW192" s="230">
        <v>126934450</v>
      </c>
      <c r="CX192" s="230">
        <v>3353850</v>
      </c>
      <c r="CY192" s="229">
        <v>2.64E-2</v>
      </c>
      <c r="CZ192" s="228">
        <v>18.66</v>
      </c>
      <c r="DA192" s="228">
        <v>19.98</v>
      </c>
      <c r="DB192" s="228">
        <v>-1.32</v>
      </c>
      <c r="DC192" s="228">
        <v>-1.32</v>
      </c>
      <c r="DD192" s="228">
        <v>31.43</v>
      </c>
      <c r="DE192" s="228">
        <v>31.48</v>
      </c>
      <c r="DF192" s="228">
        <v>-12.77</v>
      </c>
      <c r="DG192" s="228">
        <v>-0.05</v>
      </c>
      <c r="DH192" s="228">
        <v>19</v>
      </c>
      <c r="DI192" s="228">
        <v>20.39</v>
      </c>
      <c r="DJ192" s="228">
        <v>-1.39</v>
      </c>
      <c r="DK192" s="228">
        <v>-1.39</v>
      </c>
      <c r="DL192" s="228">
        <v>18.079999999999998</v>
      </c>
      <c r="DM192" s="228">
        <v>19.18</v>
      </c>
      <c r="DN192" s="228">
        <v>-1.1000000000000001</v>
      </c>
      <c r="DO192" s="228">
        <v>-1.1000000000000001</v>
      </c>
      <c r="DP192" s="228">
        <v>0.69</v>
      </c>
      <c r="DQ192" s="228">
        <v>0.72</v>
      </c>
      <c r="DR192" s="228">
        <v>-0.03</v>
      </c>
      <c r="DS192" s="229">
        <v>-4.1700000000000001E-2</v>
      </c>
      <c r="DT192" s="228">
        <v>400</v>
      </c>
      <c r="DU192" s="228">
        <v>390</v>
      </c>
      <c r="DV192" s="228">
        <v>0.56000000000000005</v>
      </c>
      <c r="DW192" s="228">
        <v>0.51</v>
      </c>
      <c r="DX192" s="228">
        <v>0.05</v>
      </c>
      <c r="DY192" s="229">
        <v>9.8000000000000004E-2</v>
      </c>
      <c r="DZ192" s="229">
        <v>0.1114</v>
      </c>
      <c r="EA192" s="230">
        <v>5610050</v>
      </c>
      <c r="EB192" s="229">
        <v>6.4999999999999997E-3</v>
      </c>
      <c r="EC192" s="229">
        <v>0.1114</v>
      </c>
      <c r="ED192" s="228">
        <v>2.39</v>
      </c>
      <c r="EE192" s="229">
        <v>6.4000000000000003E-3</v>
      </c>
      <c r="EF192" s="230">
        <v>1492453</v>
      </c>
      <c r="EG192" s="230">
        <v>1179389</v>
      </c>
      <c r="EH192" s="229">
        <v>0.26540000000000002</v>
      </c>
      <c r="EI192" s="229">
        <v>0.40539999999999998</v>
      </c>
      <c r="EJ192" s="231">
        <v>171580.2</v>
      </c>
      <c r="EK192" s="231">
        <v>93597.95</v>
      </c>
      <c r="EL192" s="231">
        <v>28532.26</v>
      </c>
      <c r="EM192" s="231">
        <v>3885</v>
      </c>
      <c r="EN192" s="231">
        <v>293710.40999999997</v>
      </c>
      <c r="EO192" s="231">
        <v>174681.57</v>
      </c>
      <c r="EP192" s="231">
        <v>119028.84</v>
      </c>
      <c r="EQ192" s="229">
        <v>0.68140000000000001</v>
      </c>
      <c r="ER192" s="231">
        <v>171675</v>
      </c>
      <c r="ES192" s="231">
        <v>115030</v>
      </c>
      <c r="ET192" s="231">
        <v>216348</v>
      </c>
      <c r="EU192" s="231">
        <v>169808198</v>
      </c>
      <c r="EV192" s="231">
        <v>503053</v>
      </c>
      <c r="EW192" s="231">
        <v>492855</v>
      </c>
      <c r="EX192" s="231">
        <v>10198</v>
      </c>
      <c r="EY192" s="229">
        <v>2.07E-2</v>
      </c>
      <c r="EZ192" s="229">
        <v>0.76729999999999998</v>
      </c>
      <c r="FA192" s="227" t="s">
        <v>567</v>
      </c>
      <c r="FB192" s="161">
        <f t="shared" si="4"/>
        <v>0</v>
      </c>
    </row>
    <row r="193" spans="1:158" ht="17.25" thickBot="1" x14ac:dyDescent="0.3">
      <c r="A193" s="226">
        <v>46009</v>
      </c>
      <c r="B193" s="227" t="s">
        <v>227</v>
      </c>
      <c r="C193" s="227" t="s">
        <v>294</v>
      </c>
      <c r="D193" s="228">
        <v>5500</v>
      </c>
      <c r="E193" s="228">
        <v>168.41</v>
      </c>
      <c r="F193" s="228">
        <v>170.81</v>
      </c>
      <c r="G193" s="228">
        <v>-2.4</v>
      </c>
      <c r="H193" s="229">
        <v>-1.41E-2</v>
      </c>
      <c r="I193" s="228">
        <v>168.12</v>
      </c>
      <c r="J193" s="228">
        <v>170.34</v>
      </c>
      <c r="K193" s="228">
        <v>-2.2200000000000002</v>
      </c>
      <c r="L193" s="229">
        <v>-1.2999999999999999E-2</v>
      </c>
      <c r="M193" s="228">
        <v>168.41</v>
      </c>
      <c r="N193" s="228">
        <v>170.81</v>
      </c>
      <c r="O193" s="228">
        <v>-2.4</v>
      </c>
      <c r="P193" s="229">
        <v>-1.41E-2</v>
      </c>
      <c r="Q193" s="228">
        <v>169.48</v>
      </c>
      <c r="R193" s="228">
        <v>171.88</v>
      </c>
      <c r="S193" s="228">
        <v>-2.4</v>
      </c>
      <c r="T193" s="229">
        <v>-1.4E-2</v>
      </c>
      <c r="U193" s="228">
        <v>170.38</v>
      </c>
      <c r="V193" s="228">
        <v>172.82</v>
      </c>
      <c r="W193" s="228">
        <v>-2.44</v>
      </c>
      <c r="X193" s="229">
        <v>-1.41E-2</v>
      </c>
      <c r="Y193" s="228">
        <v>0.28999999999999998</v>
      </c>
      <c r="Z193" s="228">
        <v>0.47</v>
      </c>
      <c r="AA193" s="228">
        <v>-0.18</v>
      </c>
      <c r="AB193" s="229">
        <v>1.6999999999999999E-3</v>
      </c>
      <c r="AC193" s="228">
        <v>0.28999999999999998</v>
      </c>
      <c r="AD193" s="228">
        <v>0.47</v>
      </c>
      <c r="AE193" s="228">
        <v>-0.18</v>
      </c>
      <c r="AF193" s="229">
        <v>1.6999999999999999E-3</v>
      </c>
      <c r="AG193" s="228">
        <v>1.36</v>
      </c>
      <c r="AH193" s="228">
        <v>1.54</v>
      </c>
      <c r="AI193" s="228">
        <v>-0.18</v>
      </c>
      <c r="AJ193" s="229">
        <v>8.0999999999999996E-3</v>
      </c>
      <c r="AK193" s="228">
        <v>2.2599999999999998</v>
      </c>
      <c r="AL193" s="228">
        <v>2.48</v>
      </c>
      <c r="AM193" s="228">
        <v>-0.22</v>
      </c>
      <c r="AN193" s="229">
        <v>1.34E-2</v>
      </c>
      <c r="AO193" s="228">
        <v>169.52</v>
      </c>
      <c r="AP193" s="228">
        <v>170.67</v>
      </c>
      <c r="AQ193" s="228">
        <v>0</v>
      </c>
      <c r="AR193" s="230">
        <v>62133500</v>
      </c>
      <c r="AS193" s="230">
        <v>26576000</v>
      </c>
      <c r="AT193" s="230">
        <v>35557500</v>
      </c>
      <c r="AU193" s="229">
        <v>1.3380000000000001</v>
      </c>
      <c r="AV193" s="230">
        <v>39501000</v>
      </c>
      <c r="AW193" s="230">
        <v>20086000</v>
      </c>
      <c r="AX193" s="230">
        <v>19415000</v>
      </c>
      <c r="AY193" s="229">
        <v>0.96660000000000001</v>
      </c>
      <c r="AZ193" s="230">
        <v>22044000</v>
      </c>
      <c r="BA193" s="230">
        <v>6061000</v>
      </c>
      <c r="BB193" s="230">
        <v>15983000</v>
      </c>
      <c r="BC193" s="229">
        <v>2.637</v>
      </c>
      <c r="BD193" s="230">
        <v>588500</v>
      </c>
      <c r="BE193" s="230">
        <v>429000</v>
      </c>
      <c r="BF193" s="230">
        <v>159500</v>
      </c>
      <c r="BG193" s="229">
        <v>0.37180000000000002</v>
      </c>
      <c r="BH193" s="230">
        <v>131648000</v>
      </c>
      <c r="BI193" s="230">
        <v>85167500</v>
      </c>
      <c r="BJ193" s="230">
        <v>46480500</v>
      </c>
      <c r="BK193" s="229">
        <v>0.54579999999999995</v>
      </c>
      <c r="BL193" s="230">
        <v>77445500</v>
      </c>
      <c r="BM193" s="230">
        <v>58003000</v>
      </c>
      <c r="BN193" s="230">
        <v>19442500</v>
      </c>
      <c r="BO193" s="229">
        <v>0.3352</v>
      </c>
      <c r="BP193" s="230">
        <v>271227000</v>
      </c>
      <c r="BQ193" s="230">
        <v>169746500</v>
      </c>
      <c r="BR193" s="230">
        <v>101480500</v>
      </c>
      <c r="BS193" s="229">
        <v>0.5978</v>
      </c>
      <c r="BT193" s="230">
        <v>13661364</v>
      </c>
      <c r="BU193" s="230">
        <v>12461749</v>
      </c>
      <c r="BV193" s="230">
        <v>1199615</v>
      </c>
      <c r="BW193" s="229">
        <v>9.6299999999999997E-2</v>
      </c>
      <c r="BX193" s="230">
        <v>260920000</v>
      </c>
      <c r="BY193" s="230">
        <v>258241500</v>
      </c>
      <c r="BZ193" s="230">
        <v>2678500</v>
      </c>
      <c r="CA193" s="229">
        <v>1.04E-2</v>
      </c>
      <c r="CB193" s="230">
        <v>208543500</v>
      </c>
      <c r="CC193" s="230">
        <v>223520000</v>
      </c>
      <c r="CD193" s="230">
        <v>-14976500</v>
      </c>
      <c r="CE193" s="229">
        <v>-6.7000000000000004E-2</v>
      </c>
      <c r="CF193" s="230">
        <v>49329500</v>
      </c>
      <c r="CG193" s="230">
        <v>31883500</v>
      </c>
      <c r="CH193" s="230">
        <v>17446000</v>
      </c>
      <c r="CI193" s="229">
        <v>0.54720000000000002</v>
      </c>
      <c r="CJ193" s="230">
        <v>3047000</v>
      </c>
      <c r="CK193" s="230">
        <v>2838000</v>
      </c>
      <c r="CL193" s="230">
        <v>209000</v>
      </c>
      <c r="CM193" s="229">
        <v>7.3599999999999999E-2</v>
      </c>
      <c r="CN193" s="230">
        <v>164274000</v>
      </c>
      <c r="CO193" s="230">
        <v>157558500</v>
      </c>
      <c r="CP193" s="230">
        <v>6715500</v>
      </c>
      <c r="CQ193" s="229">
        <v>4.2599999999999999E-2</v>
      </c>
      <c r="CR193" s="230">
        <v>90882000</v>
      </c>
      <c r="CS193" s="230">
        <v>94484500</v>
      </c>
      <c r="CT193" s="230">
        <v>-3602500</v>
      </c>
      <c r="CU193" s="229">
        <v>-3.8100000000000002E-2</v>
      </c>
      <c r="CV193" s="230">
        <v>516076000</v>
      </c>
      <c r="CW193" s="230">
        <v>510284500</v>
      </c>
      <c r="CX193" s="230">
        <v>5791500</v>
      </c>
      <c r="CY193" s="229">
        <v>1.1299999999999999E-2</v>
      </c>
      <c r="CZ193" s="228">
        <v>23.23</v>
      </c>
      <c r="DA193" s="228">
        <v>21.71</v>
      </c>
      <c r="DB193" s="228">
        <v>1.52</v>
      </c>
      <c r="DC193" s="228">
        <v>1.52</v>
      </c>
      <c r="DD193" s="228">
        <v>32.81</v>
      </c>
      <c r="DE193" s="228">
        <v>32.840000000000003</v>
      </c>
      <c r="DF193" s="228">
        <v>-9.58</v>
      </c>
      <c r="DG193" s="228">
        <v>-0.03</v>
      </c>
      <c r="DH193" s="228">
        <v>24.55</v>
      </c>
      <c r="DI193" s="228">
        <v>21.67</v>
      </c>
      <c r="DJ193" s="228">
        <v>2.88</v>
      </c>
      <c r="DK193" s="228">
        <v>2.88</v>
      </c>
      <c r="DL193" s="228">
        <v>20.99</v>
      </c>
      <c r="DM193" s="228">
        <v>21.77</v>
      </c>
      <c r="DN193" s="228">
        <v>-0.78</v>
      </c>
      <c r="DO193" s="228">
        <v>-0.78</v>
      </c>
      <c r="DP193" s="228">
        <v>0.55000000000000004</v>
      </c>
      <c r="DQ193" s="228">
        <v>0.6</v>
      </c>
      <c r="DR193" s="228">
        <v>-0.05</v>
      </c>
      <c r="DS193" s="229">
        <v>-8.3299999999999999E-2</v>
      </c>
      <c r="DT193" s="228">
        <v>175</v>
      </c>
      <c r="DU193" s="228">
        <v>170</v>
      </c>
      <c r="DV193" s="228">
        <v>0.59</v>
      </c>
      <c r="DW193" s="228">
        <v>0.68</v>
      </c>
      <c r="DX193" s="228">
        <v>-0.09</v>
      </c>
      <c r="DY193" s="229">
        <v>-0.13239999999999999</v>
      </c>
      <c r="DZ193" s="229">
        <v>0.20069999999999999</v>
      </c>
      <c r="EA193" s="230">
        <v>34721500</v>
      </c>
      <c r="EB193" s="229">
        <v>6.4000000000000003E-3</v>
      </c>
      <c r="EC193" s="229">
        <v>0.20069999999999999</v>
      </c>
      <c r="ED193" s="228">
        <v>1.1499999999999999</v>
      </c>
      <c r="EE193" s="229">
        <v>6.7999999999999996E-3</v>
      </c>
      <c r="EF193" s="230">
        <v>5287411</v>
      </c>
      <c r="EG193" s="230">
        <v>5522024</v>
      </c>
      <c r="EH193" s="229">
        <v>-4.2500000000000003E-2</v>
      </c>
      <c r="EI193" s="229">
        <v>0.38700000000000001</v>
      </c>
      <c r="EJ193" s="231">
        <v>235539.91</v>
      </c>
      <c r="EK193" s="231">
        <v>130237.49</v>
      </c>
      <c r="EL193" s="231">
        <v>105593.87</v>
      </c>
      <c r="EM193" s="231">
        <v>8901</v>
      </c>
      <c r="EN193" s="231">
        <v>471371.27</v>
      </c>
      <c r="EO193" s="231">
        <v>294026.25</v>
      </c>
      <c r="EP193" s="231">
        <v>177345.02</v>
      </c>
      <c r="EQ193" s="229">
        <v>0.60319999999999996</v>
      </c>
      <c r="ER193" s="231">
        <v>294040</v>
      </c>
      <c r="ES193" s="231">
        <v>151076</v>
      </c>
      <c r="ET193" s="231">
        <v>440003</v>
      </c>
      <c r="EU193" s="231">
        <v>833987639</v>
      </c>
      <c r="EV193" s="231">
        <v>885119</v>
      </c>
      <c r="EW193" s="231">
        <v>881546</v>
      </c>
      <c r="EX193" s="231">
        <v>3573</v>
      </c>
      <c r="EY193" s="229">
        <v>4.1000000000000003E-3</v>
      </c>
      <c r="EZ193" s="229">
        <v>0.61880000000000002</v>
      </c>
      <c r="FA193" s="227" t="s">
        <v>567</v>
      </c>
      <c r="FB193" s="161">
        <f t="shared" si="4"/>
        <v>0</v>
      </c>
    </row>
    <row r="194" spans="1:158" ht="17.25" thickBot="1" x14ac:dyDescent="0.3">
      <c r="A194" s="226">
        <v>46009</v>
      </c>
      <c r="B194" s="227" t="s">
        <v>221</v>
      </c>
      <c r="C194" s="227" t="s">
        <v>664</v>
      </c>
      <c r="D194" s="228">
        <v>800</v>
      </c>
      <c r="E194" s="228">
        <v>644.79999999999995</v>
      </c>
      <c r="F194" s="228">
        <v>641.79999999999995</v>
      </c>
      <c r="G194" s="228">
        <v>3</v>
      </c>
      <c r="H194" s="229">
        <v>4.7000000000000002E-3</v>
      </c>
      <c r="I194" s="228">
        <v>643.04999999999995</v>
      </c>
      <c r="J194" s="228">
        <v>641.79999999999995</v>
      </c>
      <c r="K194" s="228">
        <v>1.25</v>
      </c>
      <c r="L194" s="229">
        <v>1.9E-3</v>
      </c>
      <c r="M194" s="228">
        <v>644.79999999999995</v>
      </c>
      <c r="N194" s="228">
        <v>641.79999999999995</v>
      </c>
      <c r="O194" s="228">
        <v>3</v>
      </c>
      <c r="P194" s="229">
        <v>4.7000000000000002E-3</v>
      </c>
      <c r="Q194" s="228">
        <v>646.95000000000005</v>
      </c>
      <c r="R194" s="228">
        <v>644.20000000000005</v>
      </c>
      <c r="S194" s="228">
        <v>2.75</v>
      </c>
      <c r="T194" s="229">
        <v>4.3E-3</v>
      </c>
      <c r="U194" s="228">
        <v>650.15</v>
      </c>
      <c r="V194" s="228">
        <v>647.4</v>
      </c>
      <c r="W194" s="228">
        <v>2.75</v>
      </c>
      <c r="X194" s="229">
        <v>4.1999999999999997E-3</v>
      </c>
      <c r="Y194" s="228">
        <v>1.75</v>
      </c>
      <c r="Z194" s="228">
        <v>0</v>
      </c>
      <c r="AA194" s="228">
        <v>1.75</v>
      </c>
      <c r="AB194" s="229">
        <v>2.7000000000000001E-3</v>
      </c>
      <c r="AC194" s="228">
        <v>1.75</v>
      </c>
      <c r="AD194" s="228">
        <v>0</v>
      </c>
      <c r="AE194" s="228">
        <v>1.75</v>
      </c>
      <c r="AF194" s="229">
        <v>2.7000000000000001E-3</v>
      </c>
      <c r="AG194" s="228">
        <v>3.9</v>
      </c>
      <c r="AH194" s="228">
        <v>2.4</v>
      </c>
      <c r="AI194" s="228">
        <v>1.5</v>
      </c>
      <c r="AJ194" s="229">
        <v>6.1000000000000004E-3</v>
      </c>
      <c r="AK194" s="228">
        <v>7.1</v>
      </c>
      <c r="AL194" s="228">
        <v>5.6</v>
      </c>
      <c r="AM194" s="228">
        <v>1.5</v>
      </c>
      <c r="AN194" s="229">
        <v>1.0999999999999999E-2</v>
      </c>
      <c r="AO194" s="228">
        <v>642.80999999999995</v>
      </c>
      <c r="AP194" s="228">
        <v>645.14</v>
      </c>
      <c r="AQ194" s="228">
        <v>0</v>
      </c>
      <c r="AR194" s="230">
        <v>1916000</v>
      </c>
      <c r="AS194" s="230">
        <v>2236800</v>
      </c>
      <c r="AT194" s="230">
        <v>-320800</v>
      </c>
      <c r="AU194" s="229">
        <v>-0.1434</v>
      </c>
      <c r="AV194" s="230">
        <v>1251200</v>
      </c>
      <c r="AW194" s="230">
        <v>1513600</v>
      </c>
      <c r="AX194" s="230">
        <v>-262400</v>
      </c>
      <c r="AY194" s="229">
        <v>-0.1734</v>
      </c>
      <c r="AZ194" s="230">
        <v>630400</v>
      </c>
      <c r="BA194" s="230">
        <v>673600</v>
      </c>
      <c r="BB194" s="230">
        <v>-43200</v>
      </c>
      <c r="BC194" s="229">
        <v>-6.4100000000000004E-2</v>
      </c>
      <c r="BD194" s="230">
        <v>34400</v>
      </c>
      <c r="BE194" s="230">
        <v>49600</v>
      </c>
      <c r="BF194" s="230">
        <v>-15200</v>
      </c>
      <c r="BG194" s="229">
        <v>-0.30649999999999999</v>
      </c>
      <c r="BH194" s="230">
        <v>2999200</v>
      </c>
      <c r="BI194" s="230">
        <v>3236000</v>
      </c>
      <c r="BJ194" s="230">
        <v>-236800</v>
      </c>
      <c r="BK194" s="229">
        <v>-7.3200000000000001E-2</v>
      </c>
      <c r="BL194" s="230">
        <v>1334400</v>
      </c>
      <c r="BM194" s="230">
        <v>1644800</v>
      </c>
      <c r="BN194" s="230">
        <v>-310400</v>
      </c>
      <c r="BO194" s="229">
        <v>-0.18870000000000001</v>
      </c>
      <c r="BP194" s="230">
        <v>6249600</v>
      </c>
      <c r="BQ194" s="230">
        <v>7117600</v>
      </c>
      <c r="BR194" s="230">
        <v>-868000</v>
      </c>
      <c r="BS194" s="229">
        <v>-0.122</v>
      </c>
      <c r="BT194" s="230">
        <v>438117</v>
      </c>
      <c r="BU194" s="230">
        <v>740956</v>
      </c>
      <c r="BV194" s="230">
        <v>-302839</v>
      </c>
      <c r="BW194" s="229">
        <v>-0.40870000000000001</v>
      </c>
      <c r="BX194" s="230">
        <v>12956800</v>
      </c>
      <c r="BY194" s="230">
        <v>12877600</v>
      </c>
      <c r="BZ194" s="230">
        <v>79200</v>
      </c>
      <c r="CA194" s="229">
        <v>6.1999999999999998E-3</v>
      </c>
      <c r="CB194" s="230">
        <v>10925600</v>
      </c>
      <c r="CC194" s="230">
        <v>11044000</v>
      </c>
      <c r="CD194" s="230">
        <v>-118400</v>
      </c>
      <c r="CE194" s="229">
        <v>-1.0699999999999999E-2</v>
      </c>
      <c r="CF194" s="230">
        <v>1859200</v>
      </c>
      <c r="CG194" s="230">
        <v>1668800</v>
      </c>
      <c r="CH194" s="230">
        <v>190400</v>
      </c>
      <c r="CI194" s="229">
        <v>0.11409999999999999</v>
      </c>
      <c r="CJ194" s="230">
        <v>172000</v>
      </c>
      <c r="CK194" s="230">
        <v>164800</v>
      </c>
      <c r="CL194" s="230">
        <v>7200</v>
      </c>
      <c r="CM194" s="229">
        <v>4.3700000000000003E-2</v>
      </c>
      <c r="CN194" s="230">
        <v>6608800</v>
      </c>
      <c r="CO194" s="230">
        <v>6518400</v>
      </c>
      <c r="CP194" s="230">
        <v>90400</v>
      </c>
      <c r="CQ194" s="229">
        <v>1.3899999999999999E-2</v>
      </c>
      <c r="CR194" s="230">
        <v>4058400</v>
      </c>
      <c r="CS194" s="230">
        <v>4081600</v>
      </c>
      <c r="CT194" s="230">
        <v>-23200</v>
      </c>
      <c r="CU194" s="229">
        <v>-5.7000000000000002E-3</v>
      </c>
      <c r="CV194" s="230">
        <v>23624000</v>
      </c>
      <c r="CW194" s="230">
        <v>23477600</v>
      </c>
      <c r="CX194" s="230">
        <v>146400</v>
      </c>
      <c r="CY194" s="229">
        <v>6.1999999999999998E-3</v>
      </c>
      <c r="CZ194" s="228">
        <v>23.08</v>
      </c>
      <c r="DA194" s="228">
        <v>24.49</v>
      </c>
      <c r="DB194" s="228">
        <v>-1.41</v>
      </c>
      <c r="DC194" s="228">
        <v>-1.41</v>
      </c>
      <c r="DD194" s="228">
        <v>30.05</v>
      </c>
      <c r="DE194" s="228">
        <v>30.11</v>
      </c>
      <c r="DF194" s="228">
        <v>-6.97</v>
      </c>
      <c r="DG194" s="228">
        <v>-0.06</v>
      </c>
      <c r="DH194" s="228">
        <v>23.39</v>
      </c>
      <c r="DI194" s="228">
        <v>25.74</v>
      </c>
      <c r="DJ194" s="228">
        <v>-2.35</v>
      </c>
      <c r="DK194" s="228">
        <v>-2.35</v>
      </c>
      <c r="DL194" s="228">
        <v>22.39</v>
      </c>
      <c r="DM194" s="228">
        <v>22.04</v>
      </c>
      <c r="DN194" s="228">
        <v>0.35</v>
      </c>
      <c r="DO194" s="228">
        <v>0.35</v>
      </c>
      <c r="DP194" s="228">
        <v>0.61</v>
      </c>
      <c r="DQ194" s="228">
        <v>0.63</v>
      </c>
      <c r="DR194" s="228">
        <v>-0.02</v>
      </c>
      <c r="DS194" s="229">
        <v>-3.1699999999999999E-2</v>
      </c>
      <c r="DT194" s="228">
        <v>700</v>
      </c>
      <c r="DU194" s="228">
        <v>650</v>
      </c>
      <c r="DV194" s="228">
        <v>0.44</v>
      </c>
      <c r="DW194" s="228">
        <v>0.51</v>
      </c>
      <c r="DX194" s="228">
        <v>-7.0000000000000007E-2</v>
      </c>
      <c r="DY194" s="229">
        <v>-0.13730000000000001</v>
      </c>
      <c r="DZ194" s="229">
        <v>0.15679999999999999</v>
      </c>
      <c r="EA194" s="230">
        <v>1833600</v>
      </c>
      <c r="EB194" s="229">
        <v>3.3E-3</v>
      </c>
      <c r="EC194" s="229">
        <v>0.15679999999999999</v>
      </c>
      <c r="ED194" s="228">
        <v>2.33</v>
      </c>
      <c r="EE194" s="229">
        <v>3.5999999999999999E-3</v>
      </c>
      <c r="EF194" s="230">
        <v>166144</v>
      </c>
      <c r="EG194" s="230">
        <v>402073</v>
      </c>
      <c r="EH194" s="229">
        <v>-0.58679999999999999</v>
      </c>
      <c r="EI194" s="229">
        <v>0.37919999999999998</v>
      </c>
      <c r="EJ194" s="231">
        <v>20328.39</v>
      </c>
      <c r="EK194" s="231">
        <v>8661.0300000000007</v>
      </c>
      <c r="EL194" s="231">
        <v>12333.14</v>
      </c>
      <c r="EM194" s="231">
        <v>1871</v>
      </c>
      <c r="EN194" s="231">
        <v>41322.559999999998</v>
      </c>
      <c r="EO194" s="231">
        <v>47300.37</v>
      </c>
      <c r="EP194" s="231">
        <v>-5977.81</v>
      </c>
      <c r="EQ194" s="229">
        <v>-0.12640000000000001</v>
      </c>
      <c r="ER194" s="231">
        <v>45991</v>
      </c>
      <c r="ES194" s="231">
        <v>26678</v>
      </c>
      <c r="ET194" s="231">
        <v>83595</v>
      </c>
      <c r="EU194" s="231">
        <v>27246569</v>
      </c>
      <c r="EV194" s="231">
        <v>156264</v>
      </c>
      <c r="EW194" s="231">
        <v>154983</v>
      </c>
      <c r="EX194" s="231">
        <v>1281</v>
      </c>
      <c r="EY194" s="229">
        <v>8.3000000000000001E-3</v>
      </c>
      <c r="EZ194" s="229">
        <v>0.86699999999999999</v>
      </c>
      <c r="FA194" s="227" t="s">
        <v>555</v>
      </c>
      <c r="FB194" s="161">
        <f t="shared" si="4"/>
        <v>0</v>
      </c>
    </row>
    <row r="195" spans="1:158" ht="17.25" thickBot="1" x14ac:dyDescent="0.3">
      <c r="A195" s="226">
        <v>46009</v>
      </c>
      <c r="B195" s="227" t="s">
        <v>221</v>
      </c>
      <c r="C195" s="227" t="s">
        <v>295</v>
      </c>
      <c r="D195" s="228">
        <v>175</v>
      </c>
      <c r="E195" s="231">
        <v>3285.1</v>
      </c>
      <c r="F195" s="231">
        <v>3220.8</v>
      </c>
      <c r="G195" s="228">
        <v>64.3</v>
      </c>
      <c r="H195" s="229">
        <v>0.02</v>
      </c>
      <c r="I195" s="231">
        <v>3280.8</v>
      </c>
      <c r="J195" s="231">
        <v>3217.8</v>
      </c>
      <c r="K195" s="228">
        <v>63</v>
      </c>
      <c r="L195" s="229">
        <v>1.9599999999999999E-2</v>
      </c>
      <c r="M195" s="231">
        <v>3285.1</v>
      </c>
      <c r="N195" s="231">
        <v>3220.8</v>
      </c>
      <c r="O195" s="228">
        <v>64.3</v>
      </c>
      <c r="P195" s="229">
        <v>0.02</v>
      </c>
      <c r="Q195" s="231">
        <v>3302.2</v>
      </c>
      <c r="R195" s="231">
        <v>3234.2</v>
      </c>
      <c r="S195" s="228">
        <v>68</v>
      </c>
      <c r="T195" s="229">
        <v>2.1000000000000001E-2</v>
      </c>
      <c r="U195" s="231">
        <v>3318.4</v>
      </c>
      <c r="V195" s="231">
        <v>3253.7</v>
      </c>
      <c r="W195" s="228">
        <v>64.7</v>
      </c>
      <c r="X195" s="229">
        <v>1.9900000000000001E-2</v>
      </c>
      <c r="Y195" s="228">
        <v>4.3</v>
      </c>
      <c r="Z195" s="228">
        <v>3</v>
      </c>
      <c r="AA195" s="228">
        <v>1.3</v>
      </c>
      <c r="AB195" s="229">
        <v>1.2999999999999999E-3</v>
      </c>
      <c r="AC195" s="228">
        <v>4.3</v>
      </c>
      <c r="AD195" s="228">
        <v>3</v>
      </c>
      <c r="AE195" s="228">
        <v>1.3</v>
      </c>
      <c r="AF195" s="229">
        <v>1.2999999999999999E-3</v>
      </c>
      <c r="AG195" s="228">
        <v>21.4</v>
      </c>
      <c r="AH195" s="228">
        <v>16.399999999999999</v>
      </c>
      <c r="AI195" s="228">
        <v>5</v>
      </c>
      <c r="AJ195" s="229">
        <v>6.4999999999999997E-3</v>
      </c>
      <c r="AK195" s="228">
        <v>37.6</v>
      </c>
      <c r="AL195" s="228">
        <v>35.9</v>
      </c>
      <c r="AM195" s="228">
        <v>1.7</v>
      </c>
      <c r="AN195" s="229">
        <v>1.15E-2</v>
      </c>
      <c r="AO195" s="231">
        <v>3263.54</v>
      </c>
      <c r="AP195" s="231">
        <v>3280</v>
      </c>
      <c r="AQ195" s="228">
        <v>0</v>
      </c>
      <c r="AR195" s="230">
        <v>4424350</v>
      </c>
      <c r="AS195" s="230">
        <v>1783600</v>
      </c>
      <c r="AT195" s="230">
        <v>2640750</v>
      </c>
      <c r="AU195" s="229">
        <v>1.4805999999999999</v>
      </c>
      <c r="AV195" s="230">
        <v>3413900</v>
      </c>
      <c r="AW195" s="230">
        <v>1525650</v>
      </c>
      <c r="AX195" s="230">
        <v>1888250</v>
      </c>
      <c r="AY195" s="229">
        <v>1.2377</v>
      </c>
      <c r="AZ195" s="230">
        <v>878150</v>
      </c>
      <c r="BA195" s="230">
        <v>237300</v>
      </c>
      <c r="BB195" s="230">
        <v>640850</v>
      </c>
      <c r="BC195" s="229">
        <v>2.7006000000000001</v>
      </c>
      <c r="BD195" s="230">
        <v>132300</v>
      </c>
      <c r="BE195" s="230">
        <v>20650</v>
      </c>
      <c r="BF195" s="230">
        <v>111650</v>
      </c>
      <c r="BG195" s="229">
        <v>5.4067999999999996</v>
      </c>
      <c r="BH195" s="230">
        <v>24636325</v>
      </c>
      <c r="BI195" s="230">
        <v>7628425</v>
      </c>
      <c r="BJ195" s="230">
        <v>17007900</v>
      </c>
      <c r="BK195" s="229">
        <v>2.2294999999999998</v>
      </c>
      <c r="BL195" s="230">
        <v>12758550</v>
      </c>
      <c r="BM195" s="230">
        <v>3984400</v>
      </c>
      <c r="BN195" s="230">
        <v>8774150</v>
      </c>
      <c r="BO195" s="229">
        <v>2.2021000000000002</v>
      </c>
      <c r="BP195" s="230">
        <v>41819225</v>
      </c>
      <c r="BQ195" s="230">
        <v>13396425</v>
      </c>
      <c r="BR195" s="230">
        <v>28422800</v>
      </c>
      <c r="BS195" s="229">
        <v>2.1217000000000001</v>
      </c>
      <c r="BT195" s="230">
        <v>2616446</v>
      </c>
      <c r="BU195" s="230">
        <v>1413512</v>
      </c>
      <c r="BV195" s="230">
        <v>1202934</v>
      </c>
      <c r="BW195" s="229">
        <v>0.85099999999999998</v>
      </c>
      <c r="BX195" s="230">
        <v>25139625</v>
      </c>
      <c r="BY195" s="230">
        <v>25360125</v>
      </c>
      <c r="BZ195" s="230">
        <v>-220500</v>
      </c>
      <c r="CA195" s="229">
        <v>-8.6999999999999994E-3</v>
      </c>
      <c r="CB195" s="230">
        <v>22497125</v>
      </c>
      <c r="CC195" s="230">
        <v>22929550</v>
      </c>
      <c r="CD195" s="230">
        <v>-432425</v>
      </c>
      <c r="CE195" s="229">
        <v>-1.89E-2</v>
      </c>
      <c r="CF195" s="230">
        <v>2429175</v>
      </c>
      <c r="CG195" s="230">
        <v>2242100</v>
      </c>
      <c r="CH195" s="230">
        <v>187075</v>
      </c>
      <c r="CI195" s="229">
        <v>8.3400000000000002E-2</v>
      </c>
      <c r="CJ195" s="230">
        <v>213325</v>
      </c>
      <c r="CK195" s="230">
        <v>188475</v>
      </c>
      <c r="CL195" s="230">
        <v>24850</v>
      </c>
      <c r="CM195" s="229">
        <v>0.1318</v>
      </c>
      <c r="CN195" s="230">
        <v>9609075</v>
      </c>
      <c r="CO195" s="230">
        <v>9794750</v>
      </c>
      <c r="CP195" s="230">
        <v>-185675</v>
      </c>
      <c r="CQ195" s="229">
        <v>-1.9E-2</v>
      </c>
      <c r="CR195" s="230">
        <v>7643825</v>
      </c>
      <c r="CS195" s="230">
        <v>7737100</v>
      </c>
      <c r="CT195" s="230">
        <v>-93275</v>
      </c>
      <c r="CU195" s="229">
        <v>-1.21E-2</v>
      </c>
      <c r="CV195" s="230">
        <v>42392525</v>
      </c>
      <c r="CW195" s="230">
        <v>42891975</v>
      </c>
      <c r="CX195" s="230">
        <v>-499450</v>
      </c>
      <c r="CY195" s="229">
        <v>-1.1599999999999999E-2</v>
      </c>
      <c r="CZ195" s="228">
        <v>17.23</v>
      </c>
      <c r="DA195" s="228">
        <v>17.170000000000002</v>
      </c>
      <c r="DB195" s="228">
        <v>0.06</v>
      </c>
      <c r="DC195" s="228">
        <v>0.06</v>
      </c>
      <c r="DD195" s="228">
        <v>23.54</v>
      </c>
      <c r="DE195" s="228">
        <v>23.45</v>
      </c>
      <c r="DF195" s="228">
        <v>-6.31</v>
      </c>
      <c r="DG195" s="228">
        <v>0.09</v>
      </c>
      <c r="DH195" s="228">
        <v>16.440000000000001</v>
      </c>
      <c r="DI195" s="228">
        <v>16.91</v>
      </c>
      <c r="DJ195" s="228">
        <v>-0.47</v>
      </c>
      <c r="DK195" s="228">
        <v>-0.47</v>
      </c>
      <c r="DL195" s="228">
        <v>18.75</v>
      </c>
      <c r="DM195" s="228">
        <v>17.670000000000002</v>
      </c>
      <c r="DN195" s="228">
        <v>1.08</v>
      </c>
      <c r="DO195" s="228">
        <v>1.08</v>
      </c>
      <c r="DP195" s="228">
        <v>0.8</v>
      </c>
      <c r="DQ195" s="228">
        <v>0.79</v>
      </c>
      <c r="DR195" s="228">
        <v>0.01</v>
      </c>
      <c r="DS195" s="229">
        <v>1.2699999999999999E-2</v>
      </c>
      <c r="DT195" s="231">
        <v>3300</v>
      </c>
      <c r="DU195" s="231">
        <v>3200</v>
      </c>
      <c r="DV195" s="228">
        <v>0.52</v>
      </c>
      <c r="DW195" s="228">
        <v>0.52</v>
      </c>
      <c r="DX195" s="228">
        <v>0</v>
      </c>
      <c r="DY195" s="229">
        <v>0</v>
      </c>
      <c r="DZ195" s="229">
        <v>0.1051</v>
      </c>
      <c r="EA195" s="230">
        <v>2430575</v>
      </c>
      <c r="EB195" s="229">
        <v>5.1999999999999998E-3</v>
      </c>
      <c r="EC195" s="229">
        <v>0.1051</v>
      </c>
      <c r="ED195" s="228">
        <v>16.46</v>
      </c>
      <c r="EE195" s="229">
        <v>5.0000000000000001E-3</v>
      </c>
      <c r="EF195" s="230">
        <v>1226850</v>
      </c>
      <c r="EG195" s="230">
        <v>837415</v>
      </c>
      <c r="EH195" s="229">
        <v>0.46500000000000002</v>
      </c>
      <c r="EI195" s="229">
        <v>0.46889999999999998</v>
      </c>
      <c r="EJ195" s="231">
        <v>820090.88</v>
      </c>
      <c r="EK195" s="231">
        <v>407296.44</v>
      </c>
      <c r="EL195" s="231">
        <v>144579.51999999999</v>
      </c>
      <c r="EM195" s="231">
        <v>12110</v>
      </c>
      <c r="EN195" s="231">
        <v>1371966.84</v>
      </c>
      <c r="EO195" s="231">
        <v>435946.18</v>
      </c>
      <c r="EP195" s="231">
        <v>936020.66</v>
      </c>
      <c r="EQ195" s="229">
        <v>2.1471</v>
      </c>
      <c r="ER195" s="231">
        <v>318612</v>
      </c>
      <c r="ES195" s="231">
        <v>240034</v>
      </c>
      <c r="ET195" s="231">
        <v>826348</v>
      </c>
      <c r="EU195" s="231">
        <v>123298271</v>
      </c>
      <c r="EV195" s="231">
        <v>1384995</v>
      </c>
      <c r="EW195" s="231">
        <v>1382177</v>
      </c>
      <c r="EX195" s="231">
        <v>2818</v>
      </c>
      <c r="EY195" s="229">
        <v>2E-3</v>
      </c>
      <c r="EZ195" s="229">
        <v>0.34379999999999999</v>
      </c>
      <c r="FA195" s="227" t="s">
        <v>556</v>
      </c>
      <c r="FB195" s="161">
        <f t="shared" ref="FB195:FB258" si="5">BX261-CB261</f>
        <v>0</v>
      </c>
    </row>
    <row r="196" spans="1:158" ht="17.25" thickBot="1" x14ac:dyDescent="0.3">
      <c r="A196" s="226">
        <v>46009</v>
      </c>
      <c r="B196" s="227" t="s">
        <v>221</v>
      </c>
      <c r="C196" s="227" t="s">
        <v>296</v>
      </c>
      <c r="D196" s="228">
        <v>600</v>
      </c>
      <c r="E196" s="231">
        <v>1607.9</v>
      </c>
      <c r="F196" s="231">
        <v>1582.6</v>
      </c>
      <c r="G196" s="228">
        <v>25.3</v>
      </c>
      <c r="H196" s="229">
        <v>1.6E-2</v>
      </c>
      <c r="I196" s="231">
        <v>1605.6</v>
      </c>
      <c r="J196" s="231">
        <v>1579.4</v>
      </c>
      <c r="K196" s="228">
        <v>26.2</v>
      </c>
      <c r="L196" s="229">
        <v>1.66E-2</v>
      </c>
      <c r="M196" s="231">
        <v>1607.9</v>
      </c>
      <c r="N196" s="231">
        <v>1582.6</v>
      </c>
      <c r="O196" s="228">
        <v>25.3</v>
      </c>
      <c r="P196" s="229">
        <v>1.6E-2</v>
      </c>
      <c r="Q196" s="231">
        <v>1618.2</v>
      </c>
      <c r="R196" s="231">
        <v>1592.4</v>
      </c>
      <c r="S196" s="228">
        <v>25.8</v>
      </c>
      <c r="T196" s="229">
        <v>1.6199999999999999E-2</v>
      </c>
      <c r="U196" s="231">
        <v>1626.5</v>
      </c>
      <c r="V196" s="231">
        <v>1601</v>
      </c>
      <c r="W196" s="228">
        <v>25.5</v>
      </c>
      <c r="X196" s="229">
        <v>1.5900000000000001E-2</v>
      </c>
      <c r="Y196" s="228">
        <v>2.2999999999999998</v>
      </c>
      <c r="Z196" s="228">
        <v>3.2</v>
      </c>
      <c r="AA196" s="228">
        <v>-0.9</v>
      </c>
      <c r="AB196" s="229">
        <v>1.4E-3</v>
      </c>
      <c r="AC196" s="228">
        <v>2.2999999999999998</v>
      </c>
      <c r="AD196" s="228">
        <v>3.2</v>
      </c>
      <c r="AE196" s="228">
        <v>-0.9</v>
      </c>
      <c r="AF196" s="229">
        <v>1.4E-3</v>
      </c>
      <c r="AG196" s="228">
        <v>12.6</v>
      </c>
      <c r="AH196" s="228">
        <v>13</v>
      </c>
      <c r="AI196" s="228">
        <v>-0.4</v>
      </c>
      <c r="AJ196" s="229">
        <v>7.7999999999999996E-3</v>
      </c>
      <c r="AK196" s="228">
        <v>20.9</v>
      </c>
      <c r="AL196" s="228">
        <v>21.6</v>
      </c>
      <c r="AM196" s="228">
        <v>-0.7</v>
      </c>
      <c r="AN196" s="229">
        <v>1.2999999999999999E-2</v>
      </c>
      <c r="AO196" s="231">
        <v>1596.75</v>
      </c>
      <c r="AP196" s="231">
        <v>1605.73</v>
      </c>
      <c r="AQ196" s="228">
        <v>0</v>
      </c>
      <c r="AR196" s="230">
        <v>4032000</v>
      </c>
      <c r="AS196" s="230">
        <v>1109400</v>
      </c>
      <c r="AT196" s="230">
        <v>2922600</v>
      </c>
      <c r="AU196" s="229">
        <v>2.6343999999999999</v>
      </c>
      <c r="AV196" s="230">
        <v>3186600</v>
      </c>
      <c r="AW196" s="230">
        <v>936000</v>
      </c>
      <c r="AX196" s="230">
        <v>2250600</v>
      </c>
      <c r="AY196" s="229">
        <v>2.4045000000000001</v>
      </c>
      <c r="AZ196" s="230">
        <v>815400</v>
      </c>
      <c r="BA196" s="230">
        <v>167400</v>
      </c>
      <c r="BB196" s="230">
        <v>648000</v>
      </c>
      <c r="BC196" s="229">
        <v>3.871</v>
      </c>
      <c r="BD196" s="230">
        <v>30000</v>
      </c>
      <c r="BE196" s="230">
        <v>6000</v>
      </c>
      <c r="BF196" s="230">
        <v>24000</v>
      </c>
      <c r="BG196" s="229">
        <v>4</v>
      </c>
      <c r="BH196" s="230">
        <v>13175400</v>
      </c>
      <c r="BI196" s="230">
        <v>4126800</v>
      </c>
      <c r="BJ196" s="230">
        <v>9048600</v>
      </c>
      <c r="BK196" s="229">
        <v>2.1926000000000001</v>
      </c>
      <c r="BL196" s="230">
        <v>4624200</v>
      </c>
      <c r="BM196" s="230">
        <v>1711800</v>
      </c>
      <c r="BN196" s="230">
        <v>2912400</v>
      </c>
      <c r="BO196" s="229">
        <v>1.7014</v>
      </c>
      <c r="BP196" s="230">
        <v>21831600</v>
      </c>
      <c r="BQ196" s="230">
        <v>6948000</v>
      </c>
      <c r="BR196" s="230">
        <v>14883600</v>
      </c>
      <c r="BS196" s="229">
        <v>2.1421000000000001</v>
      </c>
      <c r="BT196" s="230">
        <v>1785220</v>
      </c>
      <c r="BU196" s="230">
        <v>594386</v>
      </c>
      <c r="BV196" s="230">
        <v>1190834</v>
      </c>
      <c r="BW196" s="229">
        <v>2.0034999999999998</v>
      </c>
      <c r="BX196" s="230">
        <v>22613400</v>
      </c>
      <c r="BY196" s="230">
        <v>21811800</v>
      </c>
      <c r="BZ196" s="230">
        <v>801600</v>
      </c>
      <c r="CA196" s="229">
        <v>3.6799999999999999E-2</v>
      </c>
      <c r="CB196" s="230">
        <v>21219000</v>
      </c>
      <c r="CC196" s="230">
        <v>20932800</v>
      </c>
      <c r="CD196" s="230">
        <v>286200</v>
      </c>
      <c r="CE196" s="229">
        <v>1.37E-2</v>
      </c>
      <c r="CF196" s="230">
        <v>1333200</v>
      </c>
      <c r="CG196" s="230">
        <v>821400</v>
      </c>
      <c r="CH196" s="230">
        <v>511800</v>
      </c>
      <c r="CI196" s="229">
        <v>0.62309999999999999</v>
      </c>
      <c r="CJ196" s="230">
        <v>61200</v>
      </c>
      <c r="CK196" s="230">
        <v>57600</v>
      </c>
      <c r="CL196" s="230">
        <v>3600</v>
      </c>
      <c r="CM196" s="229">
        <v>6.25E-2</v>
      </c>
      <c r="CN196" s="230">
        <v>6427800</v>
      </c>
      <c r="CO196" s="230">
        <v>6504000</v>
      </c>
      <c r="CP196" s="230">
        <v>-76200</v>
      </c>
      <c r="CQ196" s="229">
        <v>-1.17E-2</v>
      </c>
      <c r="CR196" s="230">
        <v>5621400</v>
      </c>
      <c r="CS196" s="230">
        <v>4959600</v>
      </c>
      <c r="CT196" s="230">
        <v>661800</v>
      </c>
      <c r="CU196" s="229">
        <v>0.13339999999999999</v>
      </c>
      <c r="CV196" s="230">
        <v>34662600</v>
      </c>
      <c r="CW196" s="230">
        <v>33275400</v>
      </c>
      <c r="CX196" s="230">
        <v>1387200</v>
      </c>
      <c r="CY196" s="229">
        <v>4.1700000000000001E-2</v>
      </c>
      <c r="CZ196" s="228">
        <v>19.28</v>
      </c>
      <c r="DA196" s="228">
        <v>19.46</v>
      </c>
      <c r="DB196" s="228">
        <v>-0.18</v>
      </c>
      <c r="DC196" s="228">
        <v>-0.18</v>
      </c>
      <c r="DD196" s="228">
        <v>28.55</v>
      </c>
      <c r="DE196" s="228">
        <v>28.54</v>
      </c>
      <c r="DF196" s="228">
        <v>-9.27</v>
      </c>
      <c r="DG196" s="228">
        <v>0.01</v>
      </c>
      <c r="DH196" s="228">
        <v>18.62</v>
      </c>
      <c r="DI196" s="228">
        <v>18.75</v>
      </c>
      <c r="DJ196" s="228">
        <v>-0.13</v>
      </c>
      <c r="DK196" s="228">
        <v>-0.13</v>
      </c>
      <c r="DL196" s="228">
        <v>21.17</v>
      </c>
      <c r="DM196" s="228">
        <v>21.2</v>
      </c>
      <c r="DN196" s="228">
        <v>-0.03</v>
      </c>
      <c r="DO196" s="228">
        <v>-0.03</v>
      </c>
      <c r="DP196" s="228">
        <v>0.87</v>
      </c>
      <c r="DQ196" s="228">
        <v>0.76</v>
      </c>
      <c r="DR196" s="228">
        <v>0.11</v>
      </c>
      <c r="DS196" s="229">
        <v>0.1447</v>
      </c>
      <c r="DT196" s="231">
        <v>1600</v>
      </c>
      <c r="DU196" s="231">
        <v>1560</v>
      </c>
      <c r="DV196" s="228">
        <v>0.35</v>
      </c>
      <c r="DW196" s="228">
        <v>0.41</v>
      </c>
      <c r="DX196" s="228">
        <v>-0.06</v>
      </c>
      <c r="DY196" s="229">
        <v>-0.14630000000000001</v>
      </c>
      <c r="DZ196" s="229">
        <v>6.1699999999999998E-2</v>
      </c>
      <c r="EA196" s="230">
        <v>879000</v>
      </c>
      <c r="EB196" s="229">
        <v>6.4000000000000003E-3</v>
      </c>
      <c r="EC196" s="229">
        <v>6.1699999999999998E-2</v>
      </c>
      <c r="ED196" s="228">
        <v>8.98</v>
      </c>
      <c r="EE196" s="229">
        <v>5.5999999999999999E-3</v>
      </c>
      <c r="EF196" s="230">
        <v>984047</v>
      </c>
      <c r="EG196" s="230">
        <v>305508</v>
      </c>
      <c r="EH196" s="229">
        <v>2.2210000000000001</v>
      </c>
      <c r="EI196" s="229">
        <v>0.55120000000000002</v>
      </c>
      <c r="EJ196" s="231">
        <v>214790.97</v>
      </c>
      <c r="EK196" s="231">
        <v>72379.460000000006</v>
      </c>
      <c r="EL196" s="231">
        <v>64460.2</v>
      </c>
      <c r="EM196" s="231">
        <v>3198</v>
      </c>
      <c r="EN196" s="231">
        <v>351630.63</v>
      </c>
      <c r="EO196" s="231">
        <v>111133.34</v>
      </c>
      <c r="EP196" s="231">
        <v>240497.29</v>
      </c>
      <c r="EQ196" s="229">
        <v>2.1640000000000001</v>
      </c>
      <c r="ER196" s="231">
        <v>103570</v>
      </c>
      <c r="ES196" s="231">
        <v>83605</v>
      </c>
      <c r="ET196" s="231">
        <v>363750</v>
      </c>
      <c r="EU196" s="231">
        <v>76137451</v>
      </c>
      <c r="EV196" s="231">
        <v>550924</v>
      </c>
      <c r="EW196" s="231">
        <v>522973</v>
      </c>
      <c r="EX196" s="231">
        <v>27951</v>
      </c>
      <c r="EY196" s="229">
        <v>5.3400000000000003E-2</v>
      </c>
      <c r="EZ196" s="229">
        <v>0.45529999999999998</v>
      </c>
      <c r="FA196" s="227" t="s">
        <v>555</v>
      </c>
      <c r="FB196" s="161">
        <f t="shared" si="5"/>
        <v>0</v>
      </c>
    </row>
    <row r="197" spans="1:158" ht="17.25" thickBot="1" x14ac:dyDescent="0.3">
      <c r="A197" s="226">
        <v>46009</v>
      </c>
      <c r="B197" s="227" t="s">
        <v>184</v>
      </c>
      <c r="C197" s="227" t="s">
        <v>595</v>
      </c>
      <c r="D197" s="228">
        <v>200</v>
      </c>
      <c r="E197" s="231">
        <v>2588.4</v>
      </c>
      <c r="F197" s="231">
        <v>2623.6</v>
      </c>
      <c r="G197" s="228">
        <v>-35.200000000000003</v>
      </c>
      <c r="H197" s="229">
        <v>-1.34E-2</v>
      </c>
      <c r="I197" s="231">
        <v>2579.9</v>
      </c>
      <c r="J197" s="231">
        <v>2614.1</v>
      </c>
      <c r="K197" s="228">
        <v>-34.200000000000003</v>
      </c>
      <c r="L197" s="229">
        <v>-1.3100000000000001E-2</v>
      </c>
      <c r="M197" s="231">
        <v>2588.4</v>
      </c>
      <c r="N197" s="231">
        <v>2623.6</v>
      </c>
      <c r="O197" s="228">
        <v>-35.200000000000003</v>
      </c>
      <c r="P197" s="229">
        <v>-1.34E-2</v>
      </c>
      <c r="Q197" s="231">
        <v>2604.8000000000002</v>
      </c>
      <c r="R197" s="231">
        <v>2637</v>
      </c>
      <c r="S197" s="228">
        <v>-32.200000000000003</v>
      </c>
      <c r="T197" s="229">
        <v>-1.2200000000000001E-2</v>
      </c>
      <c r="U197" s="231">
        <v>2624.7</v>
      </c>
      <c r="V197" s="231">
        <v>2647</v>
      </c>
      <c r="W197" s="228">
        <v>-22.3</v>
      </c>
      <c r="X197" s="229">
        <v>-8.3999999999999995E-3</v>
      </c>
      <c r="Y197" s="228">
        <v>8.5</v>
      </c>
      <c r="Z197" s="228">
        <v>9.5</v>
      </c>
      <c r="AA197" s="228">
        <v>-1</v>
      </c>
      <c r="AB197" s="229">
        <v>3.3E-3</v>
      </c>
      <c r="AC197" s="228">
        <v>8.5</v>
      </c>
      <c r="AD197" s="228">
        <v>9.5</v>
      </c>
      <c r="AE197" s="228">
        <v>-1</v>
      </c>
      <c r="AF197" s="229">
        <v>3.3E-3</v>
      </c>
      <c r="AG197" s="228">
        <v>24.9</v>
      </c>
      <c r="AH197" s="228">
        <v>22.9</v>
      </c>
      <c r="AI197" s="228">
        <v>2</v>
      </c>
      <c r="AJ197" s="229">
        <v>9.7000000000000003E-3</v>
      </c>
      <c r="AK197" s="228">
        <v>44.8</v>
      </c>
      <c r="AL197" s="228">
        <v>32.9</v>
      </c>
      <c r="AM197" s="228">
        <v>11.9</v>
      </c>
      <c r="AN197" s="229">
        <v>1.7399999999999999E-2</v>
      </c>
      <c r="AO197" s="231">
        <v>2596.67</v>
      </c>
      <c r="AP197" s="231">
        <v>2610.6999999999998</v>
      </c>
      <c r="AQ197" s="228">
        <v>0</v>
      </c>
      <c r="AR197" s="230">
        <v>361800</v>
      </c>
      <c r="AS197" s="230">
        <v>289400</v>
      </c>
      <c r="AT197" s="230">
        <v>72400</v>
      </c>
      <c r="AU197" s="229">
        <v>0.25019999999999998</v>
      </c>
      <c r="AV197" s="230">
        <v>268600</v>
      </c>
      <c r="AW197" s="230">
        <v>225600</v>
      </c>
      <c r="AX197" s="230">
        <v>43000</v>
      </c>
      <c r="AY197" s="229">
        <v>0.19059999999999999</v>
      </c>
      <c r="AZ197" s="230">
        <v>91400</v>
      </c>
      <c r="BA197" s="230">
        <v>62600</v>
      </c>
      <c r="BB197" s="230">
        <v>28800</v>
      </c>
      <c r="BC197" s="229">
        <v>0.46010000000000001</v>
      </c>
      <c r="BD197" s="230">
        <v>1800</v>
      </c>
      <c r="BE197" s="230">
        <v>1200</v>
      </c>
      <c r="BF197" s="228">
        <v>600</v>
      </c>
      <c r="BG197" s="229">
        <v>0.5</v>
      </c>
      <c r="BH197" s="230">
        <v>916400</v>
      </c>
      <c r="BI197" s="230">
        <v>1153000</v>
      </c>
      <c r="BJ197" s="230">
        <v>-236600</v>
      </c>
      <c r="BK197" s="229">
        <v>-0.20519999999999999</v>
      </c>
      <c r="BL197" s="230">
        <v>491000</v>
      </c>
      <c r="BM197" s="230">
        <v>246200</v>
      </c>
      <c r="BN197" s="230">
        <v>244800</v>
      </c>
      <c r="BO197" s="229">
        <v>0.99429999999999996</v>
      </c>
      <c r="BP197" s="230">
        <v>1769200</v>
      </c>
      <c r="BQ197" s="230">
        <v>1688600</v>
      </c>
      <c r="BR197" s="230">
        <v>80600</v>
      </c>
      <c r="BS197" s="229">
        <v>4.7699999999999999E-2</v>
      </c>
      <c r="BT197" s="230">
        <v>311996</v>
      </c>
      <c r="BU197" s="230">
        <v>183154</v>
      </c>
      <c r="BV197" s="230">
        <v>128842</v>
      </c>
      <c r="BW197" s="229">
        <v>0.70350000000000001</v>
      </c>
      <c r="BX197" s="230">
        <v>3284000</v>
      </c>
      <c r="BY197" s="230">
        <v>3188200</v>
      </c>
      <c r="BZ197" s="230">
        <v>95800</v>
      </c>
      <c r="CA197" s="229">
        <v>0.03</v>
      </c>
      <c r="CB197" s="230">
        <v>3063800</v>
      </c>
      <c r="CC197" s="230">
        <v>3020200</v>
      </c>
      <c r="CD197" s="230">
        <v>43600</v>
      </c>
      <c r="CE197" s="229">
        <v>1.44E-2</v>
      </c>
      <c r="CF197" s="230">
        <v>202400</v>
      </c>
      <c r="CG197" s="230">
        <v>150600</v>
      </c>
      <c r="CH197" s="230">
        <v>51800</v>
      </c>
      <c r="CI197" s="229">
        <v>0.34399999999999997</v>
      </c>
      <c r="CJ197" s="230">
        <v>17800</v>
      </c>
      <c r="CK197" s="230">
        <v>17400</v>
      </c>
      <c r="CL197" s="228">
        <v>400</v>
      </c>
      <c r="CM197" s="229">
        <v>2.3E-2</v>
      </c>
      <c r="CN197" s="230">
        <v>1562200</v>
      </c>
      <c r="CO197" s="230">
        <v>1581400</v>
      </c>
      <c r="CP197" s="230">
        <v>-19200</v>
      </c>
      <c r="CQ197" s="229">
        <v>-1.21E-2</v>
      </c>
      <c r="CR197" s="230">
        <v>1013400</v>
      </c>
      <c r="CS197" s="230">
        <v>953800</v>
      </c>
      <c r="CT197" s="230">
        <v>59600</v>
      </c>
      <c r="CU197" s="229">
        <v>6.25E-2</v>
      </c>
      <c r="CV197" s="230">
        <v>5859600</v>
      </c>
      <c r="CW197" s="230">
        <v>5723400</v>
      </c>
      <c r="CX197" s="230">
        <v>136200</v>
      </c>
      <c r="CY197" s="229">
        <v>2.3800000000000002E-2</v>
      </c>
      <c r="CZ197" s="228">
        <v>29.06</v>
      </c>
      <c r="DA197" s="228">
        <v>28.32</v>
      </c>
      <c r="DB197" s="228">
        <v>0.74</v>
      </c>
      <c r="DC197" s="228">
        <v>0.74</v>
      </c>
      <c r="DD197" s="228">
        <v>40.67</v>
      </c>
      <c r="DE197" s="228">
        <v>40.729999999999997</v>
      </c>
      <c r="DF197" s="228">
        <v>-11.61</v>
      </c>
      <c r="DG197" s="228">
        <v>-0.06</v>
      </c>
      <c r="DH197" s="228">
        <v>29.93</v>
      </c>
      <c r="DI197" s="228">
        <v>28.52</v>
      </c>
      <c r="DJ197" s="228">
        <v>1.41</v>
      </c>
      <c r="DK197" s="228">
        <v>1.41</v>
      </c>
      <c r="DL197" s="228">
        <v>27.44</v>
      </c>
      <c r="DM197" s="228">
        <v>27.39</v>
      </c>
      <c r="DN197" s="228">
        <v>0.05</v>
      </c>
      <c r="DO197" s="228">
        <v>0.05</v>
      </c>
      <c r="DP197" s="228">
        <v>0.65</v>
      </c>
      <c r="DQ197" s="228">
        <v>0.6</v>
      </c>
      <c r="DR197" s="228">
        <v>0.05</v>
      </c>
      <c r="DS197" s="229">
        <v>8.3299999999999999E-2</v>
      </c>
      <c r="DT197" s="231">
        <v>2800</v>
      </c>
      <c r="DU197" s="231">
        <v>2500</v>
      </c>
      <c r="DV197" s="228">
        <v>0.54</v>
      </c>
      <c r="DW197" s="228">
        <v>0.21</v>
      </c>
      <c r="DX197" s="228">
        <v>0.33</v>
      </c>
      <c r="DY197" s="229">
        <v>1.5713999999999999</v>
      </c>
      <c r="DZ197" s="229">
        <v>6.7100000000000007E-2</v>
      </c>
      <c r="EA197" s="230">
        <v>168000</v>
      </c>
      <c r="EB197" s="229">
        <v>6.3E-3</v>
      </c>
      <c r="EC197" s="229">
        <v>6.7100000000000007E-2</v>
      </c>
      <c r="ED197" s="228">
        <v>14.03</v>
      </c>
      <c r="EE197" s="229">
        <v>5.4000000000000003E-3</v>
      </c>
      <c r="EF197" s="230">
        <v>211626</v>
      </c>
      <c r="EG197" s="230">
        <v>99360</v>
      </c>
      <c r="EH197" s="229">
        <v>1.1298999999999999</v>
      </c>
      <c r="EI197" s="229">
        <v>0.67830000000000001</v>
      </c>
      <c r="EJ197" s="231">
        <v>25535.94</v>
      </c>
      <c r="EK197" s="231">
        <v>12330.89</v>
      </c>
      <c r="EL197" s="231">
        <v>9408.06</v>
      </c>
      <c r="EM197" s="231">
        <v>1331</v>
      </c>
      <c r="EN197" s="231">
        <v>47274.89</v>
      </c>
      <c r="EO197" s="231">
        <v>45930.37</v>
      </c>
      <c r="EP197" s="231">
        <v>1344.52</v>
      </c>
      <c r="EQ197" s="229">
        <v>2.93E-2</v>
      </c>
      <c r="ER197" s="231">
        <v>44400</v>
      </c>
      <c r="ES197" s="231">
        <v>26684</v>
      </c>
      <c r="ET197" s="231">
        <v>85043</v>
      </c>
      <c r="EU197" s="231">
        <v>14039249</v>
      </c>
      <c r="EV197" s="231">
        <v>156127</v>
      </c>
      <c r="EW197" s="231">
        <v>154088</v>
      </c>
      <c r="EX197" s="231">
        <v>2039</v>
      </c>
      <c r="EY197" s="229">
        <v>1.32E-2</v>
      </c>
      <c r="EZ197" s="229">
        <v>0.41739999999999999</v>
      </c>
      <c r="FA197" s="227" t="s">
        <v>567</v>
      </c>
      <c r="FB197" s="161">
        <f t="shared" si="5"/>
        <v>0</v>
      </c>
    </row>
    <row r="198" spans="1:158" ht="17.25" thickBot="1" x14ac:dyDescent="0.3">
      <c r="A198" s="226">
        <v>46009</v>
      </c>
      <c r="B198" s="227" t="s">
        <v>184</v>
      </c>
      <c r="C198" s="227" t="s">
        <v>663</v>
      </c>
      <c r="D198" s="228">
        <v>725</v>
      </c>
      <c r="E198" s="228">
        <v>772.15</v>
      </c>
      <c r="F198" s="228">
        <v>775.3</v>
      </c>
      <c r="G198" s="228">
        <v>-3.15</v>
      </c>
      <c r="H198" s="229">
        <v>-4.1000000000000003E-3</v>
      </c>
      <c r="I198" s="228">
        <v>772.35</v>
      </c>
      <c r="J198" s="228">
        <v>774.55</v>
      </c>
      <c r="K198" s="228">
        <v>-2.2000000000000002</v>
      </c>
      <c r="L198" s="229">
        <v>-2.8E-3</v>
      </c>
      <c r="M198" s="228">
        <v>772.15</v>
      </c>
      <c r="N198" s="228">
        <v>775.3</v>
      </c>
      <c r="O198" s="228">
        <v>-3.15</v>
      </c>
      <c r="P198" s="229">
        <v>-4.1000000000000003E-3</v>
      </c>
      <c r="Q198" s="228">
        <v>0</v>
      </c>
      <c r="R198" s="228">
        <v>0</v>
      </c>
      <c r="S198" s="228">
        <v>0</v>
      </c>
      <c r="T198" s="229">
        <v>0</v>
      </c>
      <c r="U198" s="228">
        <v>0</v>
      </c>
      <c r="V198" s="228">
        <v>0</v>
      </c>
      <c r="W198" s="228">
        <v>0</v>
      </c>
      <c r="X198" s="229">
        <v>0</v>
      </c>
      <c r="Y198" s="228">
        <v>-0.2</v>
      </c>
      <c r="Z198" s="228">
        <v>0.75</v>
      </c>
      <c r="AA198" s="228">
        <v>-0.95</v>
      </c>
      <c r="AB198" s="229">
        <v>-2.9999999999999997E-4</v>
      </c>
      <c r="AC198" s="228">
        <v>-0.2</v>
      </c>
      <c r="AD198" s="228">
        <v>0.75</v>
      </c>
      <c r="AE198" s="228">
        <v>-0.95</v>
      </c>
      <c r="AF198" s="229">
        <v>-2.9999999999999997E-4</v>
      </c>
      <c r="AG198" s="228">
        <v>0</v>
      </c>
      <c r="AH198" s="228">
        <v>0</v>
      </c>
      <c r="AI198" s="228">
        <v>0</v>
      </c>
      <c r="AJ198" s="229">
        <v>0</v>
      </c>
      <c r="AK198" s="228">
        <v>0</v>
      </c>
      <c r="AL198" s="228">
        <v>0</v>
      </c>
      <c r="AM198" s="228">
        <v>0</v>
      </c>
      <c r="AN198" s="229">
        <v>0</v>
      </c>
      <c r="AO198" s="228">
        <v>773.48</v>
      </c>
      <c r="AP198" s="228">
        <v>0</v>
      </c>
      <c r="AQ198" s="228">
        <v>0</v>
      </c>
      <c r="AR198" s="230">
        <v>1062850</v>
      </c>
      <c r="AS198" s="230">
        <v>632925</v>
      </c>
      <c r="AT198" s="230">
        <v>429925</v>
      </c>
      <c r="AU198" s="229">
        <v>0.67930000000000001</v>
      </c>
      <c r="AV198" s="230">
        <v>1062850</v>
      </c>
      <c r="AW198" s="230">
        <v>632925</v>
      </c>
      <c r="AX198" s="230">
        <v>429925</v>
      </c>
      <c r="AY198" s="229">
        <v>0.67930000000000001</v>
      </c>
      <c r="AZ198" s="228">
        <v>0</v>
      </c>
      <c r="BA198" s="228">
        <v>0</v>
      </c>
      <c r="BB198" s="228">
        <v>0</v>
      </c>
      <c r="BC198" s="229">
        <v>0</v>
      </c>
      <c r="BD198" s="228">
        <v>0</v>
      </c>
      <c r="BE198" s="228">
        <v>0</v>
      </c>
      <c r="BF198" s="228">
        <v>0</v>
      </c>
      <c r="BG198" s="229">
        <v>0</v>
      </c>
      <c r="BH198" s="230">
        <v>5596275</v>
      </c>
      <c r="BI198" s="230">
        <v>2161225</v>
      </c>
      <c r="BJ198" s="230">
        <v>3435050</v>
      </c>
      <c r="BK198" s="229">
        <v>1.5893999999999999</v>
      </c>
      <c r="BL198" s="230">
        <v>1185375</v>
      </c>
      <c r="BM198" s="230">
        <v>911325</v>
      </c>
      <c r="BN198" s="230">
        <v>274050</v>
      </c>
      <c r="BO198" s="229">
        <v>0.30070000000000002</v>
      </c>
      <c r="BP198" s="230">
        <v>7844500</v>
      </c>
      <c r="BQ198" s="230">
        <v>3705475</v>
      </c>
      <c r="BR198" s="230">
        <v>4139025</v>
      </c>
      <c r="BS198" s="229">
        <v>1.117</v>
      </c>
      <c r="BT198" s="230">
        <v>1188885</v>
      </c>
      <c r="BU198" s="230">
        <v>421010</v>
      </c>
      <c r="BV198" s="230">
        <v>767875</v>
      </c>
      <c r="BW198" s="229">
        <v>1.8239000000000001</v>
      </c>
      <c r="BX198" s="230">
        <v>5452725</v>
      </c>
      <c r="BY198" s="230">
        <v>5496950</v>
      </c>
      <c r="BZ198" s="230">
        <v>-44225</v>
      </c>
      <c r="CA198" s="229">
        <v>-8.0000000000000002E-3</v>
      </c>
      <c r="CB198" s="230">
        <v>5452725</v>
      </c>
      <c r="CC198" s="230">
        <v>5496950</v>
      </c>
      <c r="CD198" s="230">
        <v>-44225</v>
      </c>
      <c r="CE198" s="229">
        <v>-8.0000000000000002E-3</v>
      </c>
      <c r="CF198" s="228">
        <v>0</v>
      </c>
      <c r="CG198" s="228">
        <v>0</v>
      </c>
      <c r="CH198" s="228">
        <v>0</v>
      </c>
      <c r="CI198" s="229">
        <v>0</v>
      </c>
      <c r="CJ198" s="228">
        <v>0</v>
      </c>
      <c r="CK198" s="228">
        <v>0</v>
      </c>
      <c r="CL198" s="228">
        <v>0</v>
      </c>
      <c r="CM198" s="229">
        <v>0</v>
      </c>
      <c r="CN198" s="230">
        <v>4062900</v>
      </c>
      <c r="CO198" s="230">
        <v>3792475</v>
      </c>
      <c r="CP198" s="230">
        <v>270425</v>
      </c>
      <c r="CQ198" s="229">
        <v>7.1300000000000002E-2</v>
      </c>
      <c r="CR198" s="230">
        <v>1969825</v>
      </c>
      <c r="CS198" s="230">
        <v>1877750</v>
      </c>
      <c r="CT198" s="230">
        <v>92075</v>
      </c>
      <c r="CU198" s="229">
        <v>4.9000000000000002E-2</v>
      </c>
      <c r="CV198" s="230">
        <v>11485450</v>
      </c>
      <c r="CW198" s="230">
        <v>11167175</v>
      </c>
      <c r="CX198" s="230">
        <v>318275</v>
      </c>
      <c r="CY198" s="229">
        <v>2.8500000000000001E-2</v>
      </c>
      <c r="CZ198" s="228">
        <v>32.74</v>
      </c>
      <c r="DA198" s="228">
        <v>33.15</v>
      </c>
      <c r="DB198" s="228">
        <v>-0.41</v>
      </c>
      <c r="DC198" s="228">
        <v>-0.41</v>
      </c>
      <c r="DD198" s="228">
        <v>51.89</v>
      </c>
      <c r="DE198" s="228">
        <v>52.02</v>
      </c>
      <c r="DF198" s="228">
        <v>-19.149999999999999</v>
      </c>
      <c r="DG198" s="228">
        <v>-0.13</v>
      </c>
      <c r="DH198" s="228">
        <v>32.729999999999997</v>
      </c>
      <c r="DI198" s="228">
        <v>33.75</v>
      </c>
      <c r="DJ198" s="228">
        <v>-1.02</v>
      </c>
      <c r="DK198" s="228">
        <v>-1.02</v>
      </c>
      <c r="DL198" s="228">
        <v>32.81</v>
      </c>
      <c r="DM198" s="228">
        <v>31.73</v>
      </c>
      <c r="DN198" s="228">
        <v>1.08</v>
      </c>
      <c r="DO198" s="228">
        <v>1.08</v>
      </c>
      <c r="DP198" s="228">
        <v>0.48</v>
      </c>
      <c r="DQ198" s="228">
        <v>0.5</v>
      </c>
      <c r="DR198" s="228">
        <v>-0.02</v>
      </c>
      <c r="DS198" s="229">
        <v>-0.04</v>
      </c>
      <c r="DT198" s="228">
        <v>840</v>
      </c>
      <c r="DU198" s="228">
        <v>760</v>
      </c>
      <c r="DV198" s="228">
        <v>0.21</v>
      </c>
      <c r="DW198" s="228">
        <v>0.42</v>
      </c>
      <c r="DX198" s="228">
        <v>-0.21</v>
      </c>
      <c r="DY198" s="229">
        <v>-0.5</v>
      </c>
      <c r="DZ198" s="229">
        <v>0</v>
      </c>
      <c r="EA198" s="228">
        <v>0</v>
      </c>
      <c r="EB198" s="229">
        <v>0</v>
      </c>
      <c r="EC198" s="229">
        <v>0</v>
      </c>
      <c r="ED198" s="228">
        <v>0</v>
      </c>
      <c r="EE198" s="229">
        <v>0</v>
      </c>
      <c r="EF198" s="230">
        <v>162170</v>
      </c>
      <c r="EG198" s="230">
        <v>121735</v>
      </c>
      <c r="EH198" s="229">
        <v>0.3322</v>
      </c>
      <c r="EI198" s="229">
        <v>0.13639999999999999</v>
      </c>
      <c r="EJ198" s="231">
        <v>45729.19</v>
      </c>
      <c r="EK198" s="231">
        <v>9054.5400000000009</v>
      </c>
      <c r="EL198" s="231">
        <v>8220.94</v>
      </c>
      <c r="EM198" s="231">
        <v>1115</v>
      </c>
      <c r="EN198" s="231">
        <v>63004.67</v>
      </c>
      <c r="EO198" s="231">
        <v>29995.08</v>
      </c>
      <c r="EP198" s="231">
        <v>33009.589999999997</v>
      </c>
      <c r="EQ198" s="229">
        <v>1.1005</v>
      </c>
      <c r="ER198" s="231">
        <v>34854</v>
      </c>
      <c r="ES198" s="231">
        <v>15470</v>
      </c>
      <c r="ET198" s="231">
        <v>42103</v>
      </c>
      <c r="EU198" s="231">
        <v>12028036</v>
      </c>
      <c r="EV198" s="231">
        <v>92427</v>
      </c>
      <c r="EW198" s="231">
        <v>90132</v>
      </c>
      <c r="EX198" s="231">
        <v>2295</v>
      </c>
      <c r="EY198" s="229">
        <v>2.5499999999999998E-2</v>
      </c>
      <c r="EZ198" s="229">
        <v>0.95489999999999997</v>
      </c>
      <c r="FA198" s="227" t="s">
        <v>568</v>
      </c>
      <c r="FB198" s="161">
        <f t="shared" si="5"/>
        <v>0</v>
      </c>
    </row>
    <row r="199" spans="1:158" ht="17.25" thickBot="1" x14ac:dyDescent="0.3">
      <c r="A199" s="226">
        <v>46009</v>
      </c>
      <c r="B199" s="227" t="s">
        <v>168</v>
      </c>
      <c r="C199" s="227" t="s">
        <v>297</v>
      </c>
      <c r="D199" s="228">
        <v>175</v>
      </c>
      <c r="E199" s="231">
        <v>3923.2</v>
      </c>
      <c r="F199" s="231">
        <v>3912.7</v>
      </c>
      <c r="G199" s="228">
        <v>10.5</v>
      </c>
      <c r="H199" s="229">
        <v>2.7000000000000001E-3</v>
      </c>
      <c r="I199" s="231">
        <v>3919.3</v>
      </c>
      <c r="J199" s="231">
        <v>3907.9</v>
      </c>
      <c r="K199" s="228">
        <v>11.4</v>
      </c>
      <c r="L199" s="229">
        <v>2.8999999999999998E-3</v>
      </c>
      <c r="M199" s="231">
        <v>3923.2</v>
      </c>
      <c r="N199" s="231">
        <v>3912.7</v>
      </c>
      <c r="O199" s="228">
        <v>10.5</v>
      </c>
      <c r="P199" s="229">
        <v>2.7000000000000001E-3</v>
      </c>
      <c r="Q199" s="231">
        <v>3949.2</v>
      </c>
      <c r="R199" s="231">
        <v>3935.8</v>
      </c>
      <c r="S199" s="228">
        <v>13.4</v>
      </c>
      <c r="T199" s="229">
        <v>3.3999999999999998E-3</v>
      </c>
      <c r="U199" s="231">
        <v>3969.4</v>
      </c>
      <c r="V199" s="231">
        <v>3956.4</v>
      </c>
      <c r="W199" s="228">
        <v>13</v>
      </c>
      <c r="X199" s="229">
        <v>3.3E-3</v>
      </c>
      <c r="Y199" s="228">
        <v>3.9</v>
      </c>
      <c r="Z199" s="228">
        <v>4.8</v>
      </c>
      <c r="AA199" s="228">
        <v>-0.9</v>
      </c>
      <c r="AB199" s="229">
        <v>1E-3</v>
      </c>
      <c r="AC199" s="228">
        <v>3.9</v>
      </c>
      <c r="AD199" s="228">
        <v>4.8</v>
      </c>
      <c r="AE199" s="228">
        <v>-0.9</v>
      </c>
      <c r="AF199" s="229">
        <v>1E-3</v>
      </c>
      <c r="AG199" s="228">
        <v>29.9</v>
      </c>
      <c r="AH199" s="228">
        <v>27.9</v>
      </c>
      <c r="AI199" s="228">
        <v>2</v>
      </c>
      <c r="AJ199" s="229">
        <v>7.6E-3</v>
      </c>
      <c r="AK199" s="228">
        <v>50.1</v>
      </c>
      <c r="AL199" s="228">
        <v>48.5</v>
      </c>
      <c r="AM199" s="228">
        <v>1.6</v>
      </c>
      <c r="AN199" s="229">
        <v>1.2800000000000001E-2</v>
      </c>
      <c r="AO199" s="231">
        <v>3916.51</v>
      </c>
      <c r="AP199" s="231">
        <v>3940.99</v>
      </c>
      <c r="AQ199" s="228">
        <v>0</v>
      </c>
      <c r="AR199" s="230">
        <v>1530375</v>
      </c>
      <c r="AS199" s="230">
        <v>1172850</v>
      </c>
      <c r="AT199" s="230">
        <v>357525</v>
      </c>
      <c r="AU199" s="229">
        <v>0.30480000000000002</v>
      </c>
      <c r="AV199" s="230">
        <v>995925</v>
      </c>
      <c r="AW199" s="230">
        <v>833875</v>
      </c>
      <c r="AX199" s="230">
        <v>162050</v>
      </c>
      <c r="AY199" s="229">
        <v>0.1943</v>
      </c>
      <c r="AZ199" s="230">
        <v>523775</v>
      </c>
      <c r="BA199" s="230">
        <v>329875</v>
      </c>
      <c r="BB199" s="230">
        <v>193900</v>
      </c>
      <c r="BC199" s="229">
        <v>0.58779999999999999</v>
      </c>
      <c r="BD199" s="230">
        <v>10675</v>
      </c>
      <c r="BE199" s="230">
        <v>9100</v>
      </c>
      <c r="BF199" s="230">
        <v>1575</v>
      </c>
      <c r="BG199" s="229">
        <v>0.1731</v>
      </c>
      <c r="BH199" s="230">
        <v>3608850</v>
      </c>
      <c r="BI199" s="230">
        <v>5565875</v>
      </c>
      <c r="BJ199" s="230">
        <v>-1957025</v>
      </c>
      <c r="BK199" s="229">
        <v>-0.35160000000000002</v>
      </c>
      <c r="BL199" s="230">
        <v>1923600</v>
      </c>
      <c r="BM199" s="230">
        <v>3537800</v>
      </c>
      <c r="BN199" s="230">
        <v>-1614200</v>
      </c>
      <c r="BO199" s="229">
        <v>-0.45629999999999998</v>
      </c>
      <c r="BP199" s="230">
        <v>7062825</v>
      </c>
      <c r="BQ199" s="230">
        <v>10276525</v>
      </c>
      <c r="BR199" s="230">
        <v>-3213700</v>
      </c>
      <c r="BS199" s="229">
        <v>-0.31269999999999998</v>
      </c>
      <c r="BT199" s="230">
        <v>522949</v>
      </c>
      <c r="BU199" s="230">
        <v>690049</v>
      </c>
      <c r="BV199" s="230">
        <v>-167100</v>
      </c>
      <c r="BW199" s="229">
        <v>-0.2422</v>
      </c>
      <c r="BX199" s="230">
        <v>9439675</v>
      </c>
      <c r="BY199" s="230">
        <v>9315950</v>
      </c>
      <c r="BZ199" s="230">
        <v>123725</v>
      </c>
      <c r="CA199" s="229">
        <v>1.3299999999999999E-2</v>
      </c>
      <c r="CB199" s="230">
        <v>7804650</v>
      </c>
      <c r="CC199" s="230">
        <v>8154650</v>
      </c>
      <c r="CD199" s="230">
        <v>-350000</v>
      </c>
      <c r="CE199" s="229">
        <v>-4.2900000000000001E-2</v>
      </c>
      <c r="CF199" s="230">
        <v>1522850</v>
      </c>
      <c r="CG199" s="230">
        <v>1050350</v>
      </c>
      <c r="CH199" s="230">
        <v>472500</v>
      </c>
      <c r="CI199" s="229">
        <v>0.44990000000000002</v>
      </c>
      <c r="CJ199" s="230">
        <v>112175</v>
      </c>
      <c r="CK199" s="230">
        <v>110950</v>
      </c>
      <c r="CL199" s="230">
        <v>1225</v>
      </c>
      <c r="CM199" s="229">
        <v>1.0999999999999999E-2</v>
      </c>
      <c r="CN199" s="230">
        <v>3715600</v>
      </c>
      <c r="CO199" s="230">
        <v>3753050</v>
      </c>
      <c r="CP199" s="230">
        <v>-37450</v>
      </c>
      <c r="CQ199" s="229">
        <v>-0.01</v>
      </c>
      <c r="CR199" s="230">
        <v>2352875</v>
      </c>
      <c r="CS199" s="230">
        <v>2309475</v>
      </c>
      <c r="CT199" s="230">
        <v>43400</v>
      </c>
      <c r="CU199" s="229">
        <v>1.8800000000000001E-2</v>
      </c>
      <c r="CV199" s="230">
        <v>15508150</v>
      </c>
      <c r="CW199" s="230">
        <v>15378475</v>
      </c>
      <c r="CX199" s="230">
        <v>129675</v>
      </c>
      <c r="CY199" s="229">
        <v>8.3999999999999995E-3</v>
      </c>
      <c r="CZ199" s="228">
        <v>15.44</v>
      </c>
      <c r="DA199" s="228">
        <v>16.46</v>
      </c>
      <c r="DB199" s="228">
        <v>-1.02</v>
      </c>
      <c r="DC199" s="228">
        <v>-1.02</v>
      </c>
      <c r="DD199" s="228">
        <v>24.75</v>
      </c>
      <c r="DE199" s="228">
        <v>24.81</v>
      </c>
      <c r="DF199" s="228">
        <v>-9.31</v>
      </c>
      <c r="DG199" s="228">
        <v>-0.06</v>
      </c>
      <c r="DH199" s="228">
        <v>15.09</v>
      </c>
      <c r="DI199" s="228">
        <v>16.16</v>
      </c>
      <c r="DJ199" s="228">
        <v>-1.07</v>
      </c>
      <c r="DK199" s="228">
        <v>-1.07</v>
      </c>
      <c r="DL199" s="228">
        <v>16.09</v>
      </c>
      <c r="DM199" s="228">
        <v>16.940000000000001</v>
      </c>
      <c r="DN199" s="228">
        <v>-0.85</v>
      </c>
      <c r="DO199" s="228">
        <v>-0.85</v>
      </c>
      <c r="DP199" s="228">
        <v>0.63</v>
      </c>
      <c r="DQ199" s="228">
        <v>0.62</v>
      </c>
      <c r="DR199" s="228">
        <v>0.01</v>
      </c>
      <c r="DS199" s="229">
        <v>1.61E-2</v>
      </c>
      <c r="DT199" s="231">
        <v>4000</v>
      </c>
      <c r="DU199" s="231">
        <v>3800</v>
      </c>
      <c r="DV199" s="228">
        <v>0.53</v>
      </c>
      <c r="DW199" s="228">
        <v>0.64</v>
      </c>
      <c r="DX199" s="228">
        <v>-0.11</v>
      </c>
      <c r="DY199" s="229">
        <v>-0.1719</v>
      </c>
      <c r="DZ199" s="229">
        <v>0.17319999999999999</v>
      </c>
      <c r="EA199" s="230">
        <v>1161300</v>
      </c>
      <c r="EB199" s="229">
        <v>6.6E-3</v>
      </c>
      <c r="EC199" s="229">
        <v>0.17319999999999999</v>
      </c>
      <c r="ED199" s="228">
        <v>24.48</v>
      </c>
      <c r="EE199" s="229">
        <v>6.3E-3</v>
      </c>
      <c r="EF199" s="230">
        <v>311113</v>
      </c>
      <c r="EG199" s="230">
        <v>473267</v>
      </c>
      <c r="EH199" s="229">
        <v>-0.34260000000000002</v>
      </c>
      <c r="EI199" s="229">
        <v>0.59489999999999998</v>
      </c>
      <c r="EJ199" s="231">
        <v>144298.60999999999</v>
      </c>
      <c r="EK199" s="231">
        <v>74330.83</v>
      </c>
      <c r="EL199" s="231">
        <v>60070.35</v>
      </c>
      <c r="EM199" s="231">
        <v>6504</v>
      </c>
      <c r="EN199" s="231">
        <v>278699.78999999998</v>
      </c>
      <c r="EO199" s="231">
        <v>405831.67999999999</v>
      </c>
      <c r="EP199" s="231">
        <v>-127131.89</v>
      </c>
      <c r="EQ199" s="229">
        <v>-0.31330000000000002</v>
      </c>
      <c r="ER199" s="231">
        <v>148184</v>
      </c>
      <c r="ES199" s="231">
        <v>88091</v>
      </c>
      <c r="ET199" s="231">
        <v>370785</v>
      </c>
      <c r="EU199" s="231">
        <v>41744334</v>
      </c>
      <c r="EV199" s="231">
        <v>607061</v>
      </c>
      <c r="EW199" s="231">
        <v>600975</v>
      </c>
      <c r="EX199" s="231">
        <v>6086</v>
      </c>
      <c r="EY199" s="229">
        <v>1.01E-2</v>
      </c>
      <c r="EZ199" s="229">
        <v>0.3715</v>
      </c>
      <c r="FA199" s="227" t="s">
        <v>555</v>
      </c>
      <c r="FB199" s="161">
        <f t="shared" si="5"/>
        <v>0</v>
      </c>
    </row>
    <row r="200" spans="1:158" ht="17.25" thickBot="1" x14ac:dyDescent="0.3">
      <c r="A200" s="226">
        <v>46009</v>
      </c>
      <c r="B200" s="227" t="s">
        <v>162</v>
      </c>
      <c r="C200" s="227" t="s">
        <v>690</v>
      </c>
      <c r="D200" s="228">
        <v>800</v>
      </c>
      <c r="E200" s="228">
        <v>347.05</v>
      </c>
      <c r="F200" s="228">
        <v>346.6</v>
      </c>
      <c r="G200" s="228">
        <v>0.45</v>
      </c>
      <c r="H200" s="229">
        <v>1.2999999999999999E-3</v>
      </c>
      <c r="I200" s="228">
        <v>345.8</v>
      </c>
      <c r="J200" s="228">
        <v>346.35</v>
      </c>
      <c r="K200" s="228">
        <v>-0.55000000000000004</v>
      </c>
      <c r="L200" s="229">
        <v>-1.6000000000000001E-3</v>
      </c>
      <c r="M200" s="228">
        <v>347.05</v>
      </c>
      <c r="N200" s="228">
        <v>346.6</v>
      </c>
      <c r="O200" s="228">
        <v>0.45</v>
      </c>
      <c r="P200" s="229">
        <v>1.2999999999999999E-3</v>
      </c>
      <c r="Q200" s="228">
        <v>349</v>
      </c>
      <c r="R200" s="228">
        <v>348.45</v>
      </c>
      <c r="S200" s="228">
        <v>0.55000000000000004</v>
      </c>
      <c r="T200" s="229">
        <v>1.6000000000000001E-3</v>
      </c>
      <c r="U200" s="228">
        <v>351</v>
      </c>
      <c r="V200" s="228">
        <v>351.15</v>
      </c>
      <c r="W200" s="228">
        <v>-0.15</v>
      </c>
      <c r="X200" s="229">
        <v>-4.0000000000000002E-4</v>
      </c>
      <c r="Y200" s="228">
        <v>1.25</v>
      </c>
      <c r="Z200" s="228">
        <v>0.25</v>
      </c>
      <c r="AA200" s="228">
        <v>1</v>
      </c>
      <c r="AB200" s="229">
        <v>3.5999999999999999E-3</v>
      </c>
      <c r="AC200" s="228">
        <v>1.25</v>
      </c>
      <c r="AD200" s="228">
        <v>0.25</v>
      </c>
      <c r="AE200" s="228">
        <v>1</v>
      </c>
      <c r="AF200" s="229">
        <v>3.5999999999999999E-3</v>
      </c>
      <c r="AG200" s="228">
        <v>3.2</v>
      </c>
      <c r="AH200" s="228">
        <v>2.1</v>
      </c>
      <c r="AI200" s="228">
        <v>1.1000000000000001</v>
      </c>
      <c r="AJ200" s="229">
        <v>9.2999999999999992E-3</v>
      </c>
      <c r="AK200" s="228">
        <v>5.2</v>
      </c>
      <c r="AL200" s="228">
        <v>4.8</v>
      </c>
      <c r="AM200" s="228">
        <v>0.4</v>
      </c>
      <c r="AN200" s="229">
        <v>1.4999999999999999E-2</v>
      </c>
      <c r="AO200" s="228">
        <v>343.4</v>
      </c>
      <c r="AP200" s="228">
        <v>345.94</v>
      </c>
      <c r="AQ200" s="228">
        <v>0</v>
      </c>
      <c r="AR200" s="230">
        <v>29520800</v>
      </c>
      <c r="AS200" s="230">
        <v>13652800</v>
      </c>
      <c r="AT200" s="230">
        <v>15868000</v>
      </c>
      <c r="AU200" s="229">
        <v>1.1623000000000001</v>
      </c>
      <c r="AV200" s="230">
        <v>22187200</v>
      </c>
      <c r="AW200" s="230">
        <v>10107200</v>
      </c>
      <c r="AX200" s="230">
        <v>12080000</v>
      </c>
      <c r="AY200" s="229">
        <v>1.1952</v>
      </c>
      <c r="AZ200" s="230">
        <v>6495200</v>
      </c>
      <c r="BA200" s="230">
        <v>3327200</v>
      </c>
      <c r="BB200" s="230">
        <v>3168000</v>
      </c>
      <c r="BC200" s="229">
        <v>0.95220000000000005</v>
      </c>
      <c r="BD200" s="230">
        <v>838400</v>
      </c>
      <c r="BE200" s="230">
        <v>218400</v>
      </c>
      <c r="BF200" s="230">
        <v>620000</v>
      </c>
      <c r="BG200" s="229">
        <v>2.8388</v>
      </c>
      <c r="BH200" s="230">
        <v>155172800</v>
      </c>
      <c r="BI200" s="230">
        <v>61768000</v>
      </c>
      <c r="BJ200" s="230">
        <v>93404800</v>
      </c>
      <c r="BK200" s="229">
        <v>1.5122</v>
      </c>
      <c r="BL200" s="230">
        <v>46058400</v>
      </c>
      <c r="BM200" s="230">
        <v>19312800</v>
      </c>
      <c r="BN200" s="230">
        <v>26745600</v>
      </c>
      <c r="BO200" s="229">
        <v>1.3849</v>
      </c>
      <c r="BP200" s="230">
        <v>230752000</v>
      </c>
      <c r="BQ200" s="230">
        <v>94733600</v>
      </c>
      <c r="BR200" s="230">
        <v>136018400</v>
      </c>
      <c r="BS200" s="229">
        <v>1.4358</v>
      </c>
      <c r="BT200" s="230">
        <v>15417506</v>
      </c>
      <c r="BU200" s="230">
        <v>7045390</v>
      </c>
      <c r="BV200" s="230">
        <v>8372116</v>
      </c>
      <c r="BW200" s="229">
        <v>1.1882999999999999</v>
      </c>
      <c r="BX200" s="230">
        <v>100901600</v>
      </c>
      <c r="BY200" s="230">
        <v>97409600</v>
      </c>
      <c r="BZ200" s="230">
        <v>3492000</v>
      </c>
      <c r="CA200" s="229">
        <v>3.5799999999999998E-2</v>
      </c>
      <c r="CB200" s="230">
        <v>81984800</v>
      </c>
      <c r="CC200" s="230">
        <v>82269600</v>
      </c>
      <c r="CD200" s="230">
        <v>-284800</v>
      </c>
      <c r="CE200" s="229">
        <v>-3.5000000000000001E-3</v>
      </c>
      <c r="CF200" s="230">
        <v>17182400</v>
      </c>
      <c r="CG200" s="230">
        <v>13760000</v>
      </c>
      <c r="CH200" s="230">
        <v>3422400</v>
      </c>
      <c r="CI200" s="229">
        <v>0.2487</v>
      </c>
      <c r="CJ200" s="230">
        <v>1734400</v>
      </c>
      <c r="CK200" s="230">
        <v>1380000</v>
      </c>
      <c r="CL200" s="230">
        <v>354400</v>
      </c>
      <c r="CM200" s="229">
        <v>0.25679999999999997</v>
      </c>
      <c r="CN200" s="230">
        <v>71372800</v>
      </c>
      <c r="CO200" s="230">
        <v>75400000</v>
      </c>
      <c r="CP200" s="230">
        <v>-4027200</v>
      </c>
      <c r="CQ200" s="229">
        <v>-5.3400000000000003E-2</v>
      </c>
      <c r="CR200" s="230">
        <v>35629600</v>
      </c>
      <c r="CS200" s="230">
        <v>35515200</v>
      </c>
      <c r="CT200" s="230">
        <v>114400</v>
      </c>
      <c r="CU200" s="229">
        <v>3.2000000000000002E-3</v>
      </c>
      <c r="CV200" s="230">
        <v>207904000</v>
      </c>
      <c r="CW200" s="230">
        <v>208324800</v>
      </c>
      <c r="CX200" s="230">
        <v>-420800</v>
      </c>
      <c r="CY200" s="229">
        <v>-2E-3</v>
      </c>
      <c r="CZ200" s="228">
        <v>25.14</v>
      </c>
      <c r="DA200" s="228">
        <v>26.96</v>
      </c>
      <c r="DB200" s="228">
        <v>-1.82</v>
      </c>
      <c r="DC200" s="228">
        <v>-1.82</v>
      </c>
      <c r="DD200" s="228">
        <v>34.090000000000003</v>
      </c>
      <c r="DE200" s="228">
        <v>34.17</v>
      </c>
      <c r="DF200" s="228">
        <v>-8.9499999999999993</v>
      </c>
      <c r="DG200" s="228">
        <v>-0.08</v>
      </c>
      <c r="DH200" s="228">
        <v>25.56</v>
      </c>
      <c r="DI200" s="228">
        <v>28.11</v>
      </c>
      <c r="DJ200" s="228">
        <v>-2.5499999999999998</v>
      </c>
      <c r="DK200" s="228">
        <v>-2.5499999999999998</v>
      </c>
      <c r="DL200" s="228">
        <v>23.74</v>
      </c>
      <c r="DM200" s="228">
        <v>23.28</v>
      </c>
      <c r="DN200" s="228">
        <v>0.46</v>
      </c>
      <c r="DO200" s="228">
        <v>0.46</v>
      </c>
      <c r="DP200" s="228">
        <v>0.5</v>
      </c>
      <c r="DQ200" s="228">
        <v>0.47</v>
      </c>
      <c r="DR200" s="228">
        <v>0.03</v>
      </c>
      <c r="DS200" s="229">
        <v>6.3799999999999996E-2</v>
      </c>
      <c r="DT200" s="228">
        <v>360</v>
      </c>
      <c r="DU200" s="228">
        <v>340</v>
      </c>
      <c r="DV200" s="228">
        <v>0.3</v>
      </c>
      <c r="DW200" s="228">
        <v>0.31</v>
      </c>
      <c r="DX200" s="228">
        <v>-0.01</v>
      </c>
      <c r="DY200" s="229">
        <v>-3.2300000000000002E-2</v>
      </c>
      <c r="DZ200" s="229">
        <v>0.1875</v>
      </c>
      <c r="EA200" s="230">
        <v>15140000</v>
      </c>
      <c r="EB200" s="229">
        <v>5.5999999999999999E-3</v>
      </c>
      <c r="EC200" s="229">
        <v>0.1875</v>
      </c>
      <c r="ED200" s="228">
        <v>2.54</v>
      </c>
      <c r="EE200" s="229">
        <v>7.4000000000000003E-3</v>
      </c>
      <c r="EF200" s="230">
        <v>6798363</v>
      </c>
      <c r="EG200" s="230">
        <v>3460424</v>
      </c>
      <c r="EH200" s="229">
        <v>0.96460000000000001</v>
      </c>
      <c r="EI200" s="229">
        <v>0.441</v>
      </c>
      <c r="EJ200" s="231">
        <v>568934.56000000006</v>
      </c>
      <c r="EK200" s="231">
        <v>156973.46</v>
      </c>
      <c r="EL200" s="231">
        <v>101569.37</v>
      </c>
      <c r="EM200" s="231">
        <v>14931</v>
      </c>
      <c r="EN200" s="231">
        <v>827477.39</v>
      </c>
      <c r="EO200" s="231">
        <v>343009.22</v>
      </c>
      <c r="EP200" s="231">
        <v>484468.17</v>
      </c>
      <c r="EQ200" s="229">
        <v>1.4124000000000001</v>
      </c>
      <c r="ER200" s="231">
        <v>271667</v>
      </c>
      <c r="ES200" s="231">
        <v>125174</v>
      </c>
      <c r="ET200" s="231">
        <v>350583</v>
      </c>
      <c r="EU200" s="231">
        <v>284575867</v>
      </c>
      <c r="EV200" s="231">
        <v>747423</v>
      </c>
      <c r="EW200" s="231">
        <v>750002</v>
      </c>
      <c r="EX200" s="231">
        <v>-2579</v>
      </c>
      <c r="EY200" s="229">
        <v>-3.3999999999999998E-3</v>
      </c>
      <c r="EZ200" s="229">
        <v>0.73060000000000003</v>
      </c>
      <c r="FA200" s="227" t="s">
        <v>555</v>
      </c>
      <c r="FB200" s="161">
        <f t="shared" si="5"/>
        <v>0</v>
      </c>
    </row>
    <row r="201" spans="1:158" ht="17.25" thickBot="1" x14ac:dyDescent="0.3">
      <c r="A201" s="226">
        <v>46009</v>
      </c>
      <c r="B201" s="227" t="s">
        <v>170</v>
      </c>
      <c r="C201" s="227" t="s">
        <v>298</v>
      </c>
      <c r="D201" s="228">
        <v>250</v>
      </c>
      <c r="E201" s="231">
        <v>3761.4</v>
      </c>
      <c r="F201" s="231">
        <v>3772.1</v>
      </c>
      <c r="G201" s="228">
        <v>-10.7</v>
      </c>
      <c r="H201" s="229">
        <v>-2.8E-3</v>
      </c>
      <c r="I201" s="231">
        <v>3759.5</v>
      </c>
      <c r="J201" s="231">
        <v>3770.8</v>
      </c>
      <c r="K201" s="228">
        <v>-11.3</v>
      </c>
      <c r="L201" s="229">
        <v>-3.0000000000000001E-3</v>
      </c>
      <c r="M201" s="231">
        <v>3761.4</v>
      </c>
      <c r="N201" s="231">
        <v>3772.1</v>
      </c>
      <c r="O201" s="228">
        <v>-10.7</v>
      </c>
      <c r="P201" s="229">
        <v>-2.8E-3</v>
      </c>
      <c r="Q201" s="231">
        <v>3785.9</v>
      </c>
      <c r="R201" s="231">
        <v>3794.1</v>
      </c>
      <c r="S201" s="228">
        <v>-8.1999999999999993</v>
      </c>
      <c r="T201" s="229">
        <v>-2.2000000000000001E-3</v>
      </c>
      <c r="U201" s="231">
        <v>3780.6</v>
      </c>
      <c r="V201" s="231">
        <v>3771.9</v>
      </c>
      <c r="W201" s="228">
        <v>8.6999999999999993</v>
      </c>
      <c r="X201" s="229">
        <v>2.3E-3</v>
      </c>
      <c r="Y201" s="228">
        <v>1.9</v>
      </c>
      <c r="Z201" s="228">
        <v>1.3</v>
      </c>
      <c r="AA201" s="228">
        <v>0.6</v>
      </c>
      <c r="AB201" s="229">
        <v>5.0000000000000001E-4</v>
      </c>
      <c r="AC201" s="228">
        <v>1.9</v>
      </c>
      <c r="AD201" s="228">
        <v>1.3</v>
      </c>
      <c r="AE201" s="228">
        <v>0.6</v>
      </c>
      <c r="AF201" s="229">
        <v>5.0000000000000001E-4</v>
      </c>
      <c r="AG201" s="228">
        <v>26.4</v>
      </c>
      <c r="AH201" s="228">
        <v>23.3</v>
      </c>
      <c r="AI201" s="228">
        <v>3.1</v>
      </c>
      <c r="AJ201" s="229">
        <v>7.0000000000000001E-3</v>
      </c>
      <c r="AK201" s="228">
        <v>21.1</v>
      </c>
      <c r="AL201" s="228">
        <v>1.1000000000000001</v>
      </c>
      <c r="AM201" s="228">
        <v>20</v>
      </c>
      <c r="AN201" s="229">
        <v>5.5999999999999999E-3</v>
      </c>
      <c r="AO201" s="231">
        <v>3750.75</v>
      </c>
      <c r="AP201" s="231">
        <v>3777.43</v>
      </c>
      <c r="AQ201" s="228">
        <v>0</v>
      </c>
      <c r="AR201" s="230">
        <v>239000</v>
      </c>
      <c r="AS201" s="230">
        <v>207750</v>
      </c>
      <c r="AT201" s="230">
        <v>31250</v>
      </c>
      <c r="AU201" s="229">
        <v>0.15040000000000001</v>
      </c>
      <c r="AV201" s="230">
        <v>207750</v>
      </c>
      <c r="AW201" s="230">
        <v>191500</v>
      </c>
      <c r="AX201" s="230">
        <v>16250</v>
      </c>
      <c r="AY201" s="229">
        <v>8.4900000000000003E-2</v>
      </c>
      <c r="AZ201" s="230">
        <v>30000</v>
      </c>
      <c r="BA201" s="230">
        <v>16000</v>
      </c>
      <c r="BB201" s="230">
        <v>14000</v>
      </c>
      <c r="BC201" s="229">
        <v>0.875</v>
      </c>
      <c r="BD201" s="230">
        <v>1250</v>
      </c>
      <c r="BE201" s="228">
        <v>250</v>
      </c>
      <c r="BF201" s="230">
        <v>1000</v>
      </c>
      <c r="BG201" s="229">
        <v>4</v>
      </c>
      <c r="BH201" s="230">
        <v>329500</v>
      </c>
      <c r="BI201" s="230">
        <v>440250</v>
      </c>
      <c r="BJ201" s="230">
        <v>-110750</v>
      </c>
      <c r="BK201" s="229">
        <v>-0.25159999999999999</v>
      </c>
      <c r="BL201" s="230">
        <v>117250</v>
      </c>
      <c r="BM201" s="230">
        <v>205500</v>
      </c>
      <c r="BN201" s="230">
        <v>-88250</v>
      </c>
      <c r="BO201" s="229">
        <v>-0.4294</v>
      </c>
      <c r="BP201" s="230">
        <v>685750</v>
      </c>
      <c r="BQ201" s="230">
        <v>853500</v>
      </c>
      <c r="BR201" s="230">
        <v>-167750</v>
      </c>
      <c r="BS201" s="229">
        <v>-0.19650000000000001</v>
      </c>
      <c r="BT201" s="230">
        <v>125995</v>
      </c>
      <c r="BU201" s="230">
        <v>146931</v>
      </c>
      <c r="BV201" s="230">
        <v>-20936</v>
      </c>
      <c r="BW201" s="229">
        <v>-0.14249999999999999</v>
      </c>
      <c r="BX201" s="230">
        <v>2361000</v>
      </c>
      <c r="BY201" s="230">
        <v>2385000</v>
      </c>
      <c r="BZ201" s="230">
        <v>-24000</v>
      </c>
      <c r="CA201" s="229">
        <v>-1.01E-2</v>
      </c>
      <c r="CB201" s="230">
        <v>2323000</v>
      </c>
      <c r="CC201" s="230">
        <v>2357000</v>
      </c>
      <c r="CD201" s="230">
        <v>-34000</v>
      </c>
      <c r="CE201" s="229">
        <v>-1.44E-2</v>
      </c>
      <c r="CF201" s="230">
        <v>33500</v>
      </c>
      <c r="CG201" s="230">
        <v>23750</v>
      </c>
      <c r="CH201" s="230">
        <v>9750</v>
      </c>
      <c r="CI201" s="229">
        <v>0.41049999999999998</v>
      </c>
      <c r="CJ201" s="230">
        <v>4500</v>
      </c>
      <c r="CK201" s="230">
        <v>4250</v>
      </c>
      <c r="CL201" s="228">
        <v>250</v>
      </c>
      <c r="CM201" s="229">
        <v>5.8799999999999998E-2</v>
      </c>
      <c r="CN201" s="230">
        <v>648750</v>
      </c>
      <c r="CO201" s="230">
        <v>673750</v>
      </c>
      <c r="CP201" s="230">
        <v>-25000</v>
      </c>
      <c r="CQ201" s="229">
        <v>-3.7100000000000001E-2</v>
      </c>
      <c r="CR201" s="230">
        <v>321750</v>
      </c>
      <c r="CS201" s="230">
        <v>315500</v>
      </c>
      <c r="CT201" s="230">
        <v>6250</v>
      </c>
      <c r="CU201" s="229">
        <v>1.9800000000000002E-2</v>
      </c>
      <c r="CV201" s="230">
        <v>3331500</v>
      </c>
      <c r="CW201" s="230">
        <v>3374250</v>
      </c>
      <c r="CX201" s="230">
        <v>-42750</v>
      </c>
      <c r="CY201" s="229">
        <v>-1.2699999999999999E-2</v>
      </c>
      <c r="CZ201" s="228">
        <v>16.75</v>
      </c>
      <c r="DA201" s="228">
        <v>18.2</v>
      </c>
      <c r="DB201" s="228">
        <v>-1.45</v>
      </c>
      <c r="DC201" s="228">
        <v>-1.45</v>
      </c>
      <c r="DD201" s="228">
        <v>25.28</v>
      </c>
      <c r="DE201" s="228">
        <v>25.34</v>
      </c>
      <c r="DF201" s="228">
        <v>-8.5299999999999994</v>
      </c>
      <c r="DG201" s="228">
        <v>-0.06</v>
      </c>
      <c r="DH201" s="228">
        <v>16.79</v>
      </c>
      <c r="DI201" s="228">
        <v>17.989999999999998</v>
      </c>
      <c r="DJ201" s="228">
        <v>-1.2</v>
      </c>
      <c r="DK201" s="228">
        <v>-1.2</v>
      </c>
      <c r="DL201" s="228">
        <v>16.649999999999999</v>
      </c>
      <c r="DM201" s="228">
        <v>18.649999999999999</v>
      </c>
      <c r="DN201" s="228">
        <v>-2</v>
      </c>
      <c r="DO201" s="228">
        <v>-2</v>
      </c>
      <c r="DP201" s="228">
        <v>0.5</v>
      </c>
      <c r="DQ201" s="228">
        <v>0.47</v>
      </c>
      <c r="DR201" s="228">
        <v>0.03</v>
      </c>
      <c r="DS201" s="229">
        <v>6.3799999999999996E-2</v>
      </c>
      <c r="DT201" s="231">
        <v>3800</v>
      </c>
      <c r="DU201" s="231">
        <v>3800</v>
      </c>
      <c r="DV201" s="228">
        <v>0.36</v>
      </c>
      <c r="DW201" s="228">
        <v>0.47</v>
      </c>
      <c r="DX201" s="228">
        <v>-0.11</v>
      </c>
      <c r="DY201" s="229">
        <v>-0.23400000000000001</v>
      </c>
      <c r="DZ201" s="229">
        <v>1.61E-2</v>
      </c>
      <c r="EA201" s="230">
        <v>28000</v>
      </c>
      <c r="EB201" s="229">
        <v>6.4999999999999997E-3</v>
      </c>
      <c r="EC201" s="229">
        <v>1.61E-2</v>
      </c>
      <c r="ED201" s="228">
        <v>26.68</v>
      </c>
      <c r="EE201" s="229">
        <v>7.1000000000000004E-3</v>
      </c>
      <c r="EF201" s="230">
        <v>77483</v>
      </c>
      <c r="EG201" s="230">
        <v>87429</v>
      </c>
      <c r="EH201" s="229">
        <v>-0.1138</v>
      </c>
      <c r="EI201" s="229">
        <v>0.61499999999999999</v>
      </c>
      <c r="EJ201" s="231">
        <v>12763.99</v>
      </c>
      <c r="EK201" s="231">
        <v>4370.33</v>
      </c>
      <c r="EL201" s="231">
        <v>8972.56</v>
      </c>
      <c r="EM201" s="228">
        <v>837</v>
      </c>
      <c r="EN201" s="231">
        <v>26106.880000000001</v>
      </c>
      <c r="EO201" s="231">
        <v>32484.81</v>
      </c>
      <c r="EP201" s="231">
        <v>-6377.93</v>
      </c>
      <c r="EQ201" s="229">
        <v>-0.1963</v>
      </c>
      <c r="ER201" s="231">
        <v>25293</v>
      </c>
      <c r="ES201" s="231">
        <v>11746</v>
      </c>
      <c r="ET201" s="231">
        <v>88816</v>
      </c>
      <c r="EU201" s="231">
        <v>16072672</v>
      </c>
      <c r="EV201" s="231">
        <v>125855</v>
      </c>
      <c r="EW201" s="231">
        <v>127748</v>
      </c>
      <c r="EX201" s="231">
        <v>-1893</v>
      </c>
      <c r="EY201" s="229">
        <v>-1.4800000000000001E-2</v>
      </c>
      <c r="EZ201" s="229">
        <v>0.20730000000000001</v>
      </c>
      <c r="FA201" s="227" t="s">
        <v>568</v>
      </c>
      <c r="FB201" s="161">
        <f t="shared" si="5"/>
        <v>0</v>
      </c>
    </row>
    <row r="202" spans="1:158" ht="17.25" thickBot="1" x14ac:dyDescent="0.3">
      <c r="A202" s="226">
        <v>46009</v>
      </c>
      <c r="B202" s="227" t="s">
        <v>161</v>
      </c>
      <c r="C202" s="227" t="s">
        <v>299</v>
      </c>
      <c r="D202" s="228">
        <v>375</v>
      </c>
      <c r="E202" s="231">
        <v>1255.0999999999999</v>
      </c>
      <c r="F202" s="231">
        <v>1279.4000000000001</v>
      </c>
      <c r="G202" s="228">
        <v>-24.3</v>
      </c>
      <c r="H202" s="229">
        <v>-1.9E-2</v>
      </c>
      <c r="I202" s="231">
        <v>1252.7</v>
      </c>
      <c r="J202" s="231">
        <v>1274.5</v>
      </c>
      <c r="K202" s="228">
        <v>-21.8</v>
      </c>
      <c r="L202" s="229">
        <v>-1.7100000000000001E-2</v>
      </c>
      <c r="M202" s="231">
        <v>1255.0999999999999</v>
      </c>
      <c r="N202" s="231">
        <v>1279.4000000000001</v>
      </c>
      <c r="O202" s="228">
        <v>-24.3</v>
      </c>
      <c r="P202" s="229">
        <v>-1.9E-2</v>
      </c>
      <c r="Q202" s="231">
        <v>1264.0999999999999</v>
      </c>
      <c r="R202" s="231">
        <v>1285.5999999999999</v>
      </c>
      <c r="S202" s="228">
        <v>-21.5</v>
      </c>
      <c r="T202" s="229">
        <v>-1.67E-2</v>
      </c>
      <c r="U202" s="231">
        <v>1258</v>
      </c>
      <c r="V202" s="231">
        <v>1290</v>
      </c>
      <c r="W202" s="228">
        <v>-32</v>
      </c>
      <c r="X202" s="229">
        <v>-2.4799999999999999E-2</v>
      </c>
      <c r="Y202" s="228">
        <v>2.4</v>
      </c>
      <c r="Z202" s="228">
        <v>4.9000000000000004</v>
      </c>
      <c r="AA202" s="228">
        <v>-2.5</v>
      </c>
      <c r="AB202" s="229">
        <v>1.9E-3</v>
      </c>
      <c r="AC202" s="228">
        <v>2.4</v>
      </c>
      <c r="AD202" s="228">
        <v>4.9000000000000004</v>
      </c>
      <c r="AE202" s="228">
        <v>-2.5</v>
      </c>
      <c r="AF202" s="229">
        <v>1.9E-3</v>
      </c>
      <c r="AG202" s="228">
        <v>11.4</v>
      </c>
      <c r="AH202" s="228">
        <v>11.1</v>
      </c>
      <c r="AI202" s="228">
        <v>0.3</v>
      </c>
      <c r="AJ202" s="229">
        <v>9.1000000000000004E-3</v>
      </c>
      <c r="AK202" s="228">
        <v>5.3</v>
      </c>
      <c r="AL202" s="228">
        <v>15.5</v>
      </c>
      <c r="AM202" s="228">
        <v>-10.199999999999999</v>
      </c>
      <c r="AN202" s="229">
        <v>4.1999999999999997E-3</v>
      </c>
      <c r="AO202" s="231">
        <v>1263.26</v>
      </c>
      <c r="AP202" s="231">
        <v>1272.67</v>
      </c>
      <c r="AQ202" s="228">
        <v>0</v>
      </c>
      <c r="AR202" s="230">
        <v>741000</v>
      </c>
      <c r="AS202" s="230">
        <v>671250</v>
      </c>
      <c r="AT202" s="230">
        <v>69750</v>
      </c>
      <c r="AU202" s="229">
        <v>0.10390000000000001</v>
      </c>
      <c r="AV202" s="230">
        <v>466875</v>
      </c>
      <c r="AW202" s="230">
        <v>406125</v>
      </c>
      <c r="AX202" s="230">
        <v>60750</v>
      </c>
      <c r="AY202" s="229">
        <v>0.14960000000000001</v>
      </c>
      <c r="AZ202" s="230">
        <v>267375</v>
      </c>
      <c r="BA202" s="230">
        <v>259875</v>
      </c>
      <c r="BB202" s="230">
        <v>7500</v>
      </c>
      <c r="BC202" s="229">
        <v>2.8899999999999999E-2</v>
      </c>
      <c r="BD202" s="230">
        <v>6750</v>
      </c>
      <c r="BE202" s="230">
        <v>5250</v>
      </c>
      <c r="BF202" s="230">
        <v>1500</v>
      </c>
      <c r="BG202" s="229">
        <v>0.28570000000000001</v>
      </c>
      <c r="BH202" s="230">
        <v>1191000</v>
      </c>
      <c r="BI202" s="230">
        <v>1317375</v>
      </c>
      <c r="BJ202" s="230">
        <v>-126375</v>
      </c>
      <c r="BK202" s="229">
        <v>-9.5899999999999999E-2</v>
      </c>
      <c r="BL202" s="230">
        <v>635250</v>
      </c>
      <c r="BM202" s="230">
        <v>543750</v>
      </c>
      <c r="BN202" s="230">
        <v>91500</v>
      </c>
      <c r="BO202" s="229">
        <v>0.16830000000000001</v>
      </c>
      <c r="BP202" s="230">
        <v>2567250</v>
      </c>
      <c r="BQ202" s="230">
        <v>2532375</v>
      </c>
      <c r="BR202" s="230">
        <v>34875</v>
      </c>
      <c r="BS202" s="229">
        <v>1.38E-2</v>
      </c>
      <c r="BT202" s="230">
        <v>450275</v>
      </c>
      <c r="BU202" s="230">
        <v>404351</v>
      </c>
      <c r="BV202" s="230">
        <v>45924</v>
      </c>
      <c r="BW202" s="229">
        <v>0.11360000000000001</v>
      </c>
      <c r="BX202" s="230">
        <v>2854125</v>
      </c>
      <c r="BY202" s="230">
        <v>2811750</v>
      </c>
      <c r="BZ202" s="230">
        <v>42375</v>
      </c>
      <c r="CA202" s="229">
        <v>1.5100000000000001E-2</v>
      </c>
      <c r="CB202" s="230">
        <v>2331375</v>
      </c>
      <c r="CC202" s="230">
        <v>2486625</v>
      </c>
      <c r="CD202" s="230">
        <v>-155250</v>
      </c>
      <c r="CE202" s="229">
        <v>-6.2399999999999997E-2</v>
      </c>
      <c r="CF202" s="230">
        <v>499800</v>
      </c>
      <c r="CG202" s="230">
        <v>306000</v>
      </c>
      <c r="CH202" s="230">
        <v>193800</v>
      </c>
      <c r="CI202" s="229">
        <v>0.63329999999999997</v>
      </c>
      <c r="CJ202" s="230">
        <v>22950</v>
      </c>
      <c r="CK202" s="230">
        <v>19125</v>
      </c>
      <c r="CL202" s="230">
        <v>3825</v>
      </c>
      <c r="CM202" s="229">
        <v>0.2</v>
      </c>
      <c r="CN202" s="230">
        <v>1368375</v>
      </c>
      <c r="CO202" s="230">
        <v>1282250</v>
      </c>
      <c r="CP202" s="230">
        <v>86125</v>
      </c>
      <c r="CQ202" s="229">
        <v>6.7199999999999996E-2</v>
      </c>
      <c r="CR202" s="230">
        <v>756300</v>
      </c>
      <c r="CS202" s="230">
        <v>749450</v>
      </c>
      <c r="CT202" s="230">
        <v>6850</v>
      </c>
      <c r="CU202" s="229">
        <v>9.1000000000000004E-3</v>
      </c>
      <c r="CV202" s="230">
        <v>4978800</v>
      </c>
      <c r="CW202" s="230">
        <v>4843450</v>
      </c>
      <c r="CX202" s="230">
        <v>135350</v>
      </c>
      <c r="CY202" s="229">
        <v>2.7900000000000001E-2</v>
      </c>
      <c r="CZ202" s="228">
        <v>23.25</v>
      </c>
      <c r="DA202" s="228">
        <v>22.66</v>
      </c>
      <c r="DB202" s="228">
        <v>0.59</v>
      </c>
      <c r="DC202" s="228">
        <v>0.59</v>
      </c>
      <c r="DD202" s="228">
        <v>39.82</v>
      </c>
      <c r="DE202" s="228">
        <v>39.83</v>
      </c>
      <c r="DF202" s="228">
        <v>-16.57</v>
      </c>
      <c r="DG202" s="228">
        <v>-0.01</v>
      </c>
      <c r="DH202" s="228">
        <v>23.47</v>
      </c>
      <c r="DI202" s="228">
        <v>22.68</v>
      </c>
      <c r="DJ202" s="228">
        <v>0.79</v>
      </c>
      <c r="DK202" s="228">
        <v>0.79</v>
      </c>
      <c r="DL202" s="228">
        <v>22.83</v>
      </c>
      <c r="DM202" s="228">
        <v>22.61</v>
      </c>
      <c r="DN202" s="228">
        <v>0.22</v>
      </c>
      <c r="DO202" s="228">
        <v>0.22</v>
      </c>
      <c r="DP202" s="228">
        <v>0.55000000000000004</v>
      </c>
      <c r="DQ202" s="228">
        <v>0.57999999999999996</v>
      </c>
      <c r="DR202" s="228">
        <v>-0.03</v>
      </c>
      <c r="DS202" s="229">
        <v>-5.1700000000000003E-2</v>
      </c>
      <c r="DT202" s="231">
        <v>1300</v>
      </c>
      <c r="DU202" s="231">
        <v>1300</v>
      </c>
      <c r="DV202" s="228">
        <v>0.53</v>
      </c>
      <c r="DW202" s="228">
        <v>0.41</v>
      </c>
      <c r="DX202" s="228">
        <v>0.12</v>
      </c>
      <c r="DY202" s="229">
        <v>0.29270000000000002</v>
      </c>
      <c r="DZ202" s="229">
        <v>0.1832</v>
      </c>
      <c r="EA202" s="230">
        <v>325125</v>
      </c>
      <c r="EB202" s="229">
        <v>7.1999999999999998E-3</v>
      </c>
      <c r="EC202" s="229">
        <v>0.1832</v>
      </c>
      <c r="ED202" s="228">
        <v>9.41</v>
      </c>
      <c r="EE202" s="229">
        <v>7.4000000000000003E-3</v>
      </c>
      <c r="EF202" s="230">
        <v>307509</v>
      </c>
      <c r="EG202" s="230">
        <v>199309</v>
      </c>
      <c r="EH202" s="229">
        <v>0.54290000000000005</v>
      </c>
      <c r="EI202" s="229">
        <v>0.68289999999999995</v>
      </c>
      <c r="EJ202" s="231">
        <v>15714.87</v>
      </c>
      <c r="EK202" s="231">
        <v>7948.11</v>
      </c>
      <c r="EL202" s="231">
        <v>9850.7000000000007</v>
      </c>
      <c r="EM202" s="231">
        <v>1521</v>
      </c>
      <c r="EN202" s="231">
        <v>33513.68</v>
      </c>
      <c r="EO202" s="231">
        <v>33596.15</v>
      </c>
      <c r="EP202" s="228">
        <v>-82.47</v>
      </c>
      <c r="EQ202" s="229">
        <v>-2.5000000000000001E-3</v>
      </c>
      <c r="ER202" s="231">
        <v>18346</v>
      </c>
      <c r="ES202" s="231">
        <v>9528</v>
      </c>
      <c r="ET202" s="231">
        <v>35868</v>
      </c>
      <c r="EU202" s="231">
        <v>24646022</v>
      </c>
      <c r="EV202" s="231">
        <v>63741</v>
      </c>
      <c r="EW202" s="231">
        <v>62744</v>
      </c>
      <c r="EX202" s="228">
        <v>997</v>
      </c>
      <c r="EY202" s="229">
        <v>1.5900000000000001E-2</v>
      </c>
      <c r="EZ202" s="229">
        <v>0.20200000000000001</v>
      </c>
      <c r="FA202" s="227" t="s">
        <v>567</v>
      </c>
      <c r="FB202" s="161">
        <f t="shared" si="5"/>
        <v>0</v>
      </c>
    </row>
    <row r="203" spans="1:158" ht="17.25" thickBot="1" x14ac:dyDescent="0.3">
      <c r="A203" s="226">
        <v>46009</v>
      </c>
      <c r="B203" s="227" t="s">
        <v>197</v>
      </c>
      <c r="C203" s="227" t="s">
        <v>482</v>
      </c>
      <c r="D203" s="228">
        <v>100</v>
      </c>
      <c r="E203" s="231">
        <v>4042.2</v>
      </c>
      <c r="F203" s="231">
        <v>4057.2</v>
      </c>
      <c r="G203" s="228">
        <v>-15</v>
      </c>
      <c r="H203" s="229">
        <v>-3.7000000000000002E-3</v>
      </c>
      <c r="I203" s="231">
        <v>4030</v>
      </c>
      <c r="J203" s="231">
        <v>4045.2</v>
      </c>
      <c r="K203" s="228">
        <v>-15.2</v>
      </c>
      <c r="L203" s="229">
        <v>-3.8E-3</v>
      </c>
      <c r="M203" s="231">
        <v>4042.2</v>
      </c>
      <c r="N203" s="231">
        <v>4057.2</v>
      </c>
      <c r="O203" s="228">
        <v>-15</v>
      </c>
      <c r="P203" s="229">
        <v>-3.7000000000000002E-3</v>
      </c>
      <c r="Q203" s="231">
        <v>4067.5</v>
      </c>
      <c r="R203" s="231">
        <v>4080.1</v>
      </c>
      <c r="S203" s="228">
        <v>-12.6</v>
      </c>
      <c r="T203" s="229">
        <v>-3.0999999999999999E-3</v>
      </c>
      <c r="U203" s="231">
        <v>4091</v>
      </c>
      <c r="V203" s="231">
        <v>4102.8</v>
      </c>
      <c r="W203" s="228">
        <v>-11.8</v>
      </c>
      <c r="X203" s="229">
        <v>-2.8999999999999998E-3</v>
      </c>
      <c r="Y203" s="228">
        <v>12.2</v>
      </c>
      <c r="Z203" s="228">
        <v>12</v>
      </c>
      <c r="AA203" s="228">
        <v>0.2</v>
      </c>
      <c r="AB203" s="229">
        <v>3.0000000000000001E-3</v>
      </c>
      <c r="AC203" s="228">
        <v>12.2</v>
      </c>
      <c r="AD203" s="228">
        <v>12</v>
      </c>
      <c r="AE203" s="228">
        <v>0.2</v>
      </c>
      <c r="AF203" s="229">
        <v>3.0000000000000001E-3</v>
      </c>
      <c r="AG203" s="228">
        <v>37.5</v>
      </c>
      <c r="AH203" s="228">
        <v>34.9</v>
      </c>
      <c r="AI203" s="228">
        <v>2.6</v>
      </c>
      <c r="AJ203" s="229">
        <v>9.2999999999999992E-3</v>
      </c>
      <c r="AK203" s="228">
        <v>61</v>
      </c>
      <c r="AL203" s="228">
        <v>57.6</v>
      </c>
      <c r="AM203" s="228">
        <v>3.4</v>
      </c>
      <c r="AN203" s="229">
        <v>1.5100000000000001E-2</v>
      </c>
      <c r="AO203" s="231">
        <v>4033.19</v>
      </c>
      <c r="AP203" s="231">
        <v>4057.33</v>
      </c>
      <c r="AQ203" s="228">
        <v>0</v>
      </c>
      <c r="AR203" s="230">
        <v>792300</v>
      </c>
      <c r="AS203" s="230">
        <v>625600</v>
      </c>
      <c r="AT203" s="230">
        <v>166700</v>
      </c>
      <c r="AU203" s="229">
        <v>0.26650000000000001</v>
      </c>
      <c r="AV203" s="230">
        <v>542400</v>
      </c>
      <c r="AW203" s="230">
        <v>481800</v>
      </c>
      <c r="AX203" s="230">
        <v>60600</v>
      </c>
      <c r="AY203" s="229">
        <v>0.1258</v>
      </c>
      <c r="AZ203" s="230">
        <v>233400</v>
      </c>
      <c r="BA203" s="230">
        <v>128100</v>
      </c>
      <c r="BB203" s="230">
        <v>105300</v>
      </c>
      <c r="BC203" s="229">
        <v>0.82199999999999995</v>
      </c>
      <c r="BD203" s="230">
        <v>16500</v>
      </c>
      <c r="BE203" s="230">
        <v>15700</v>
      </c>
      <c r="BF203" s="228">
        <v>800</v>
      </c>
      <c r="BG203" s="229">
        <v>5.0999999999999997E-2</v>
      </c>
      <c r="BH203" s="230">
        <v>4597700</v>
      </c>
      <c r="BI203" s="230">
        <v>4132700</v>
      </c>
      <c r="BJ203" s="230">
        <v>465000</v>
      </c>
      <c r="BK203" s="229">
        <v>0.1125</v>
      </c>
      <c r="BL203" s="230">
        <v>1514000</v>
      </c>
      <c r="BM203" s="230">
        <v>2216800</v>
      </c>
      <c r="BN203" s="230">
        <v>-702800</v>
      </c>
      <c r="BO203" s="229">
        <v>-0.317</v>
      </c>
      <c r="BP203" s="230">
        <v>6904000</v>
      </c>
      <c r="BQ203" s="230">
        <v>6975100</v>
      </c>
      <c r="BR203" s="230">
        <v>-71100</v>
      </c>
      <c r="BS203" s="229">
        <v>-1.0200000000000001E-2</v>
      </c>
      <c r="BT203" s="230">
        <v>670032</v>
      </c>
      <c r="BU203" s="230">
        <v>536728</v>
      </c>
      <c r="BV203" s="230">
        <v>133304</v>
      </c>
      <c r="BW203" s="229">
        <v>0.24840000000000001</v>
      </c>
      <c r="BX203" s="230">
        <v>9180200</v>
      </c>
      <c r="BY203" s="230">
        <v>9094800</v>
      </c>
      <c r="BZ203" s="230">
        <v>85400</v>
      </c>
      <c r="CA203" s="229">
        <v>9.4000000000000004E-3</v>
      </c>
      <c r="CB203" s="230">
        <v>8050200</v>
      </c>
      <c r="CC203" s="230">
        <v>8131000</v>
      </c>
      <c r="CD203" s="230">
        <v>-80800</v>
      </c>
      <c r="CE203" s="229">
        <v>-9.9000000000000008E-3</v>
      </c>
      <c r="CF203" s="230">
        <v>1011400</v>
      </c>
      <c r="CG203" s="230">
        <v>850400</v>
      </c>
      <c r="CH203" s="230">
        <v>161000</v>
      </c>
      <c r="CI203" s="229">
        <v>0.1893</v>
      </c>
      <c r="CJ203" s="230">
        <v>118600</v>
      </c>
      <c r="CK203" s="230">
        <v>113400</v>
      </c>
      <c r="CL203" s="230">
        <v>5200</v>
      </c>
      <c r="CM203" s="229">
        <v>4.5900000000000003E-2</v>
      </c>
      <c r="CN203" s="230">
        <v>5500300</v>
      </c>
      <c r="CO203" s="230">
        <v>5407700</v>
      </c>
      <c r="CP203" s="230">
        <v>92600</v>
      </c>
      <c r="CQ203" s="229">
        <v>1.7100000000000001E-2</v>
      </c>
      <c r="CR203" s="230">
        <v>2877500</v>
      </c>
      <c r="CS203" s="230">
        <v>2898400</v>
      </c>
      <c r="CT203" s="230">
        <v>-20900</v>
      </c>
      <c r="CU203" s="229">
        <v>-7.1999999999999998E-3</v>
      </c>
      <c r="CV203" s="230">
        <v>17558000</v>
      </c>
      <c r="CW203" s="230">
        <v>17400900</v>
      </c>
      <c r="CX203" s="230">
        <v>157100</v>
      </c>
      <c r="CY203" s="229">
        <v>8.9999999999999993E-3</v>
      </c>
      <c r="CZ203" s="228">
        <v>26.57</v>
      </c>
      <c r="DA203" s="228">
        <v>27.21</v>
      </c>
      <c r="DB203" s="228">
        <v>-0.64</v>
      </c>
      <c r="DC203" s="228">
        <v>-0.64</v>
      </c>
      <c r="DD203" s="228">
        <v>42.36</v>
      </c>
      <c r="DE203" s="228">
        <v>42.47</v>
      </c>
      <c r="DF203" s="228">
        <v>-15.79</v>
      </c>
      <c r="DG203" s="228">
        <v>-0.11</v>
      </c>
      <c r="DH203" s="228">
        <v>27.33</v>
      </c>
      <c r="DI203" s="228">
        <v>28.42</v>
      </c>
      <c r="DJ203" s="228">
        <v>-1.0900000000000001</v>
      </c>
      <c r="DK203" s="228">
        <v>-1.0900000000000001</v>
      </c>
      <c r="DL203" s="228">
        <v>24.26</v>
      </c>
      <c r="DM203" s="228">
        <v>24.94</v>
      </c>
      <c r="DN203" s="228">
        <v>-0.68</v>
      </c>
      <c r="DO203" s="228">
        <v>-0.68</v>
      </c>
      <c r="DP203" s="228">
        <v>0.52</v>
      </c>
      <c r="DQ203" s="228">
        <v>0.54</v>
      </c>
      <c r="DR203" s="228">
        <v>-0.02</v>
      </c>
      <c r="DS203" s="229">
        <v>-3.6999999999999998E-2</v>
      </c>
      <c r="DT203" s="231">
        <v>4300</v>
      </c>
      <c r="DU203" s="231">
        <v>4000</v>
      </c>
      <c r="DV203" s="228">
        <v>0.33</v>
      </c>
      <c r="DW203" s="228">
        <v>0.54</v>
      </c>
      <c r="DX203" s="228">
        <v>-0.21</v>
      </c>
      <c r="DY203" s="229">
        <v>-0.38890000000000002</v>
      </c>
      <c r="DZ203" s="229">
        <v>0.1231</v>
      </c>
      <c r="EA203" s="230">
        <v>963800</v>
      </c>
      <c r="EB203" s="229">
        <v>6.3E-3</v>
      </c>
      <c r="EC203" s="229">
        <v>0.1231</v>
      </c>
      <c r="ED203" s="228">
        <v>24.14</v>
      </c>
      <c r="EE203" s="229">
        <v>6.0000000000000001E-3</v>
      </c>
      <c r="EF203" s="230">
        <v>426314</v>
      </c>
      <c r="EG203" s="230">
        <v>326212</v>
      </c>
      <c r="EH203" s="229">
        <v>0.30690000000000001</v>
      </c>
      <c r="EI203" s="229">
        <v>0.63629999999999998</v>
      </c>
      <c r="EJ203" s="231">
        <v>196970.26</v>
      </c>
      <c r="EK203" s="231">
        <v>60823.99</v>
      </c>
      <c r="EL203" s="231">
        <v>32019.18</v>
      </c>
      <c r="EM203" s="231">
        <v>8676</v>
      </c>
      <c r="EN203" s="231">
        <v>289813.43</v>
      </c>
      <c r="EO203" s="231">
        <v>294057.8</v>
      </c>
      <c r="EP203" s="231">
        <v>-4244.37</v>
      </c>
      <c r="EQ203" s="229">
        <v>-1.44E-2</v>
      </c>
      <c r="ER203" s="231">
        <v>243001</v>
      </c>
      <c r="ES203" s="231">
        <v>121215</v>
      </c>
      <c r="ET203" s="231">
        <v>371396</v>
      </c>
      <c r="EU203" s="231">
        <v>33590487</v>
      </c>
      <c r="EV203" s="231">
        <v>735611</v>
      </c>
      <c r="EW203" s="231">
        <v>730735</v>
      </c>
      <c r="EX203" s="231">
        <v>4876</v>
      </c>
      <c r="EY203" s="229">
        <v>6.7000000000000002E-3</v>
      </c>
      <c r="EZ203" s="229">
        <v>0.52270000000000005</v>
      </c>
      <c r="FA203" s="227" t="s">
        <v>567</v>
      </c>
      <c r="FB203" s="161">
        <f t="shared" si="5"/>
        <v>0</v>
      </c>
    </row>
    <row r="204" spans="1:158" ht="17.25" thickBot="1" x14ac:dyDescent="0.3">
      <c r="A204" s="226">
        <v>46009</v>
      </c>
      <c r="B204" s="227" t="s">
        <v>162</v>
      </c>
      <c r="C204" s="227" t="s">
        <v>300</v>
      </c>
      <c r="D204" s="228">
        <v>175</v>
      </c>
      <c r="E204" s="231">
        <v>3593.8</v>
      </c>
      <c r="F204" s="231">
        <v>3643.9</v>
      </c>
      <c r="G204" s="228">
        <v>-50.1</v>
      </c>
      <c r="H204" s="229">
        <v>-1.37E-2</v>
      </c>
      <c r="I204" s="231">
        <v>3592.2</v>
      </c>
      <c r="J204" s="231">
        <v>3638.9</v>
      </c>
      <c r="K204" s="228">
        <v>-46.7</v>
      </c>
      <c r="L204" s="229">
        <v>-1.2800000000000001E-2</v>
      </c>
      <c r="M204" s="231">
        <v>3593.8</v>
      </c>
      <c r="N204" s="231">
        <v>3643.9</v>
      </c>
      <c r="O204" s="228">
        <v>-50.1</v>
      </c>
      <c r="P204" s="229">
        <v>-1.37E-2</v>
      </c>
      <c r="Q204" s="231">
        <v>3614.9</v>
      </c>
      <c r="R204" s="231">
        <v>3661.7</v>
      </c>
      <c r="S204" s="228">
        <v>-46.8</v>
      </c>
      <c r="T204" s="229">
        <v>-1.2800000000000001E-2</v>
      </c>
      <c r="U204" s="231">
        <v>3623.3</v>
      </c>
      <c r="V204" s="231">
        <v>3671.4</v>
      </c>
      <c r="W204" s="228">
        <v>-48.1</v>
      </c>
      <c r="X204" s="229">
        <v>-1.3100000000000001E-2</v>
      </c>
      <c r="Y204" s="228">
        <v>1.6</v>
      </c>
      <c r="Z204" s="228">
        <v>5</v>
      </c>
      <c r="AA204" s="228">
        <v>-3.4</v>
      </c>
      <c r="AB204" s="229">
        <v>4.0000000000000002E-4</v>
      </c>
      <c r="AC204" s="228">
        <v>1.6</v>
      </c>
      <c r="AD204" s="228">
        <v>5</v>
      </c>
      <c r="AE204" s="228">
        <v>-3.4</v>
      </c>
      <c r="AF204" s="229">
        <v>4.0000000000000002E-4</v>
      </c>
      <c r="AG204" s="228">
        <v>22.7</v>
      </c>
      <c r="AH204" s="228">
        <v>22.8</v>
      </c>
      <c r="AI204" s="228">
        <v>-0.1</v>
      </c>
      <c r="AJ204" s="229">
        <v>6.3E-3</v>
      </c>
      <c r="AK204" s="228">
        <v>31.1</v>
      </c>
      <c r="AL204" s="228">
        <v>32.5</v>
      </c>
      <c r="AM204" s="228">
        <v>-1.4</v>
      </c>
      <c r="AN204" s="229">
        <v>8.6999999999999994E-3</v>
      </c>
      <c r="AO204" s="231">
        <v>3592.95</v>
      </c>
      <c r="AP204" s="231">
        <v>3615.69</v>
      </c>
      <c r="AQ204" s="228">
        <v>0</v>
      </c>
      <c r="AR204" s="230">
        <v>1192625</v>
      </c>
      <c r="AS204" s="230">
        <v>451675</v>
      </c>
      <c r="AT204" s="230">
        <v>740950</v>
      </c>
      <c r="AU204" s="229">
        <v>1.6404000000000001</v>
      </c>
      <c r="AV204" s="230">
        <v>1063475</v>
      </c>
      <c r="AW204" s="230">
        <v>408100</v>
      </c>
      <c r="AX204" s="230">
        <v>655375</v>
      </c>
      <c r="AY204" s="229">
        <v>1.6059000000000001</v>
      </c>
      <c r="AZ204" s="230">
        <v>124075</v>
      </c>
      <c r="BA204" s="230">
        <v>43050</v>
      </c>
      <c r="BB204" s="230">
        <v>81025</v>
      </c>
      <c r="BC204" s="229">
        <v>1.8821000000000001</v>
      </c>
      <c r="BD204" s="230">
        <v>5075</v>
      </c>
      <c r="BE204" s="228">
        <v>525</v>
      </c>
      <c r="BF204" s="230">
        <v>4550</v>
      </c>
      <c r="BG204" s="229">
        <v>8.6667000000000005</v>
      </c>
      <c r="BH204" s="230">
        <v>3638950</v>
      </c>
      <c r="BI204" s="230">
        <v>1949675</v>
      </c>
      <c r="BJ204" s="230">
        <v>1689275</v>
      </c>
      <c r="BK204" s="229">
        <v>0.86639999999999995</v>
      </c>
      <c r="BL204" s="230">
        <v>4008900</v>
      </c>
      <c r="BM204" s="230">
        <v>1071175</v>
      </c>
      <c r="BN204" s="230">
        <v>2937725</v>
      </c>
      <c r="BO204" s="229">
        <v>2.7425000000000002</v>
      </c>
      <c r="BP204" s="230">
        <v>8840475</v>
      </c>
      <c r="BQ204" s="230">
        <v>3472525</v>
      </c>
      <c r="BR204" s="230">
        <v>5367950</v>
      </c>
      <c r="BS204" s="229">
        <v>1.5458000000000001</v>
      </c>
      <c r="BT204" s="230">
        <v>921557</v>
      </c>
      <c r="BU204" s="230">
        <v>449395</v>
      </c>
      <c r="BV204" s="230">
        <v>472162</v>
      </c>
      <c r="BW204" s="229">
        <v>1.0507</v>
      </c>
      <c r="BX204" s="230">
        <v>7564550</v>
      </c>
      <c r="BY204" s="230">
        <v>7476700</v>
      </c>
      <c r="BZ204" s="230">
        <v>87850</v>
      </c>
      <c r="CA204" s="229">
        <v>1.17E-2</v>
      </c>
      <c r="CB204" s="230">
        <v>7387625</v>
      </c>
      <c r="CC204" s="230">
        <v>7336525</v>
      </c>
      <c r="CD204" s="230">
        <v>51100</v>
      </c>
      <c r="CE204" s="229">
        <v>7.0000000000000001E-3</v>
      </c>
      <c r="CF204" s="230">
        <v>141400</v>
      </c>
      <c r="CG204" s="230">
        <v>105350</v>
      </c>
      <c r="CH204" s="230">
        <v>36050</v>
      </c>
      <c r="CI204" s="229">
        <v>0.3422</v>
      </c>
      <c r="CJ204" s="230">
        <v>35525</v>
      </c>
      <c r="CK204" s="230">
        <v>34825</v>
      </c>
      <c r="CL204" s="228">
        <v>700</v>
      </c>
      <c r="CM204" s="229">
        <v>2.01E-2</v>
      </c>
      <c r="CN204" s="230">
        <v>1821925</v>
      </c>
      <c r="CO204" s="230">
        <v>1812825</v>
      </c>
      <c r="CP204" s="230">
        <v>9100</v>
      </c>
      <c r="CQ204" s="229">
        <v>5.0000000000000001E-3</v>
      </c>
      <c r="CR204" s="230">
        <v>1727425</v>
      </c>
      <c r="CS204" s="230">
        <v>1796900</v>
      </c>
      <c r="CT204" s="230">
        <v>-69475</v>
      </c>
      <c r="CU204" s="229">
        <v>-3.8699999999999998E-2</v>
      </c>
      <c r="CV204" s="230">
        <v>11113900</v>
      </c>
      <c r="CW204" s="230">
        <v>11086425</v>
      </c>
      <c r="CX204" s="230">
        <v>27475</v>
      </c>
      <c r="CY204" s="229">
        <v>2.5000000000000001E-3</v>
      </c>
      <c r="CZ204" s="228">
        <v>20.67</v>
      </c>
      <c r="DA204" s="228">
        <v>20.6</v>
      </c>
      <c r="DB204" s="228">
        <v>7.0000000000000007E-2</v>
      </c>
      <c r="DC204" s="228">
        <v>7.0000000000000007E-2</v>
      </c>
      <c r="DD204" s="228">
        <v>29.66</v>
      </c>
      <c r="DE204" s="228">
        <v>29.68</v>
      </c>
      <c r="DF204" s="228">
        <v>-8.99</v>
      </c>
      <c r="DG204" s="228">
        <v>-0.02</v>
      </c>
      <c r="DH204" s="228">
        <v>20.55</v>
      </c>
      <c r="DI204" s="228">
        <v>20.27</v>
      </c>
      <c r="DJ204" s="228">
        <v>0.28000000000000003</v>
      </c>
      <c r="DK204" s="228">
        <v>0.28000000000000003</v>
      </c>
      <c r="DL204" s="228">
        <v>20.78</v>
      </c>
      <c r="DM204" s="228">
        <v>21.21</v>
      </c>
      <c r="DN204" s="228">
        <v>-0.43</v>
      </c>
      <c r="DO204" s="228">
        <v>-0.43</v>
      </c>
      <c r="DP204" s="228">
        <v>0.95</v>
      </c>
      <c r="DQ204" s="228">
        <v>0.99</v>
      </c>
      <c r="DR204" s="228">
        <v>-0.04</v>
      </c>
      <c r="DS204" s="229">
        <v>-4.0399999999999998E-2</v>
      </c>
      <c r="DT204" s="231">
        <v>3700</v>
      </c>
      <c r="DU204" s="231">
        <v>3400</v>
      </c>
      <c r="DV204" s="228">
        <v>1.1000000000000001</v>
      </c>
      <c r="DW204" s="228">
        <v>0.55000000000000004</v>
      </c>
      <c r="DX204" s="228">
        <v>0.55000000000000004</v>
      </c>
      <c r="DY204" s="229">
        <v>1</v>
      </c>
      <c r="DZ204" s="229">
        <v>2.3400000000000001E-2</v>
      </c>
      <c r="EA204" s="230">
        <v>140175</v>
      </c>
      <c r="EB204" s="229">
        <v>5.8999999999999999E-3</v>
      </c>
      <c r="EC204" s="229">
        <v>2.3400000000000001E-2</v>
      </c>
      <c r="ED204" s="228">
        <v>22.74</v>
      </c>
      <c r="EE204" s="229">
        <v>6.3E-3</v>
      </c>
      <c r="EF204" s="230">
        <v>657833</v>
      </c>
      <c r="EG204" s="230">
        <v>299749</v>
      </c>
      <c r="EH204" s="229">
        <v>1.1946000000000001</v>
      </c>
      <c r="EI204" s="229">
        <v>0.71379999999999999</v>
      </c>
      <c r="EJ204" s="231">
        <v>135268.51</v>
      </c>
      <c r="EK204" s="231">
        <v>142940.46</v>
      </c>
      <c r="EL204" s="231">
        <v>42879.77</v>
      </c>
      <c r="EM204" s="231">
        <v>2431</v>
      </c>
      <c r="EN204" s="231">
        <v>321088.74</v>
      </c>
      <c r="EO204" s="231">
        <v>127732.98</v>
      </c>
      <c r="EP204" s="231">
        <v>193355.76</v>
      </c>
      <c r="EQ204" s="229">
        <v>1.5137</v>
      </c>
      <c r="ER204" s="231">
        <v>67234</v>
      </c>
      <c r="ES204" s="231">
        <v>58961</v>
      </c>
      <c r="ET204" s="231">
        <v>271895</v>
      </c>
      <c r="EU204" s="231">
        <v>35369445</v>
      </c>
      <c r="EV204" s="231">
        <v>398090</v>
      </c>
      <c r="EW204" s="231">
        <v>400868</v>
      </c>
      <c r="EX204" s="231">
        <v>-2778</v>
      </c>
      <c r="EY204" s="229">
        <v>-6.8999999999999999E-3</v>
      </c>
      <c r="EZ204" s="229">
        <v>0.31419999999999998</v>
      </c>
      <c r="FA204" s="227" t="s">
        <v>567</v>
      </c>
      <c r="FB204" s="161">
        <f t="shared" si="5"/>
        <v>0</v>
      </c>
    </row>
    <row r="205" spans="1:158" ht="17.25" thickBot="1" x14ac:dyDescent="0.3">
      <c r="A205" s="226">
        <v>46009</v>
      </c>
      <c r="B205" s="227" t="s">
        <v>157</v>
      </c>
      <c r="C205" s="227" t="s">
        <v>302</v>
      </c>
      <c r="D205" s="228">
        <v>50</v>
      </c>
      <c r="E205" s="231">
        <v>11479</v>
      </c>
      <c r="F205" s="231">
        <v>11568</v>
      </c>
      <c r="G205" s="228">
        <v>-89</v>
      </c>
      <c r="H205" s="229">
        <v>-7.7000000000000002E-3</v>
      </c>
      <c r="I205" s="231">
        <v>11461</v>
      </c>
      <c r="J205" s="231">
        <v>11540</v>
      </c>
      <c r="K205" s="228">
        <v>-79</v>
      </c>
      <c r="L205" s="229">
        <v>-6.7999999999999996E-3</v>
      </c>
      <c r="M205" s="231">
        <v>11479</v>
      </c>
      <c r="N205" s="231">
        <v>11568</v>
      </c>
      <c r="O205" s="228">
        <v>-89</v>
      </c>
      <c r="P205" s="229">
        <v>-7.7000000000000002E-3</v>
      </c>
      <c r="Q205" s="231">
        <v>11553</v>
      </c>
      <c r="R205" s="231">
        <v>11637</v>
      </c>
      <c r="S205" s="228">
        <v>-84</v>
      </c>
      <c r="T205" s="229">
        <v>-7.1999999999999998E-3</v>
      </c>
      <c r="U205" s="231">
        <v>11621</v>
      </c>
      <c r="V205" s="231">
        <v>11713</v>
      </c>
      <c r="W205" s="228">
        <v>-92</v>
      </c>
      <c r="X205" s="229">
        <v>-7.9000000000000008E-3</v>
      </c>
      <c r="Y205" s="228">
        <v>18</v>
      </c>
      <c r="Z205" s="228">
        <v>28</v>
      </c>
      <c r="AA205" s="228">
        <v>-10</v>
      </c>
      <c r="AB205" s="229">
        <v>1.6000000000000001E-3</v>
      </c>
      <c r="AC205" s="228">
        <v>18</v>
      </c>
      <c r="AD205" s="228">
        <v>28</v>
      </c>
      <c r="AE205" s="228">
        <v>-10</v>
      </c>
      <c r="AF205" s="229">
        <v>1.6000000000000001E-3</v>
      </c>
      <c r="AG205" s="228">
        <v>92</v>
      </c>
      <c r="AH205" s="228">
        <v>97</v>
      </c>
      <c r="AI205" s="228">
        <v>-5</v>
      </c>
      <c r="AJ205" s="229">
        <v>8.0000000000000002E-3</v>
      </c>
      <c r="AK205" s="228">
        <v>160</v>
      </c>
      <c r="AL205" s="228">
        <v>173</v>
      </c>
      <c r="AM205" s="228">
        <v>-13</v>
      </c>
      <c r="AN205" s="229">
        <v>1.4E-2</v>
      </c>
      <c r="AO205" s="231">
        <v>11516.21</v>
      </c>
      <c r="AP205" s="231">
        <v>11592.13</v>
      </c>
      <c r="AQ205" s="228">
        <v>0</v>
      </c>
      <c r="AR205" s="230">
        <v>795250</v>
      </c>
      <c r="AS205" s="230">
        <v>228950</v>
      </c>
      <c r="AT205" s="230">
        <v>566300</v>
      </c>
      <c r="AU205" s="229">
        <v>2.4735</v>
      </c>
      <c r="AV205" s="230">
        <v>440300</v>
      </c>
      <c r="AW205" s="230">
        <v>150000</v>
      </c>
      <c r="AX205" s="230">
        <v>290300</v>
      </c>
      <c r="AY205" s="229">
        <v>1.9353</v>
      </c>
      <c r="AZ205" s="230">
        <v>353100</v>
      </c>
      <c r="BA205" s="230">
        <v>78100</v>
      </c>
      <c r="BB205" s="230">
        <v>275000</v>
      </c>
      <c r="BC205" s="229">
        <v>3.5211000000000001</v>
      </c>
      <c r="BD205" s="230">
        <v>1850</v>
      </c>
      <c r="BE205" s="228">
        <v>850</v>
      </c>
      <c r="BF205" s="230">
        <v>1000</v>
      </c>
      <c r="BG205" s="229">
        <v>1.1765000000000001</v>
      </c>
      <c r="BH205" s="230">
        <v>1072750</v>
      </c>
      <c r="BI205" s="230">
        <v>681400</v>
      </c>
      <c r="BJ205" s="230">
        <v>391350</v>
      </c>
      <c r="BK205" s="229">
        <v>0.57430000000000003</v>
      </c>
      <c r="BL205" s="230">
        <v>451100</v>
      </c>
      <c r="BM205" s="230">
        <v>240550</v>
      </c>
      <c r="BN205" s="230">
        <v>210550</v>
      </c>
      <c r="BO205" s="229">
        <v>0.87529999999999997</v>
      </c>
      <c r="BP205" s="230">
        <v>2319100</v>
      </c>
      <c r="BQ205" s="230">
        <v>1150900</v>
      </c>
      <c r="BR205" s="230">
        <v>1168200</v>
      </c>
      <c r="BS205" s="229">
        <v>1.0149999999999999</v>
      </c>
      <c r="BT205" s="230">
        <v>109984</v>
      </c>
      <c r="BU205" s="230">
        <v>208589</v>
      </c>
      <c r="BV205" s="230">
        <v>-98605</v>
      </c>
      <c r="BW205" s="229">
        <v>-0.47270000000000001</v>
      </c>
      <c r="BX205" s="230">
        <v>2976000</v>
      </c>
      <c r="BY205" s="230">
        <v>2948250</v>
      </c>
      <c r="BZ205" s="230">
        <v>27750</v>
      </c>
      <c r="CA205" s="229">
        <v>9.4000000000000004E-3</v>
      </c>
      <c r="CB205" s="230">
        <v>2373450</v>
      </c>
      <c r="CC205" s="230">
        <v>2685500</v>
      </c>
      <c r="CD205" s="230">
        <v>-312050</v>
      </c>
      <c r="CE205" s="229">
        <v>-0.1162</v>
      </c>
      <c r="CF205" s="230">
        <v>588750</v>
      </c>
      <c r="CG205" s="230">
        <v>250150</v>
      </c>
      <c r="CH205" s="230">
        <v>338600</v>
      </c>
      <c r="CI205" s="229">
        <v>1.3535999999999999</v>
      </c>
      <c r="CJ205" s="230">
        <v>13800</v>
      </c>
      <c r="CK205" s="230">
        <v>12600</v>
      </c>
      <c r="CL205" s="230">
        <v>1200</v>
      </c>
      <c r="CM205" s="229">
        <v>9.5200000000000007E-2</v>
      </c>
      <c r="CN205" s="230">
        <v>1100700</v>
      </c>
      <c r="CO205" s="230">
        <v>1001650</v>
      </c>
      <c r="CP205" s="230">
        <v>99050</v>
      </c>
      <c r="CQ205" s="229">
        <v>9.8900000000000002E-2</v>
      </c>
      <c r="CR205" s="230">
        <v>605800</v>
      </c>
      <c r="CS205" s="230">
        <v>588150</v>
      </c>
      <c r="CT205" s="230">
        <v>17650</v>
      </c>
      <c r="CU205" s="229">
        <v>0.03</v>
      </c>
      <c r="CV205" s="230">
        <v>4682500</v>
      </c>
      <c r="CW205" s="230">
        <v>4538050</v>
      </c>
      <c r="CX205" s="230">
        <v>144450</v>
      </c>
      <c r="CY205" s="229">
        <v>3.1800000000000002E-2</v>
      </c>
      <c r="CZ205" s="228">
        <v>15.91</v>
      </c>
      <c r="DA205" s="228">
        <v>16.559999999999999</v>
      </c>
      <c r="DB205" s="228">
        <v>-0.65</v>
      </c>
      <c r="DC205" s="228">
        <v>-0.65</v>
      </c>
      <c r="DD205" s="228">
        <v>24.02</v>
      </c>
      <c r="DE205" s="228">
        <v>24.06</v>
      </c>
      <c r="DF205" s="228">
        <v>-8.11</v>
      </c>
      <c r="DG205" s="228">
        <v>-0.04</v>
      </c>
      <c r="DH205" s="228">
        <v>16.239999999999998</v>
      </c>
      <c r="DI205" s="228">
        <v>16.91</v>
      </c>
      <c r="DJ205" s="228">
        <v>-0.67</v>
      </c>
      <c r="DK205" s="228">
        <v>-0.67</v>
      </c>
      <c r="DL205" s="228">
        <v>15.11</v>
      </c>
      <c r="DM205" s="228">
        <v>15.58</v>
      </c>
      <c r="DN205" s="228">
        <v>-0.47</v>
      </c>
      <c r="DO205" s="228">
        <v>-0.47</v>
      </c>
      <c r="DP205" s="228">
        <v>0.55000000000000004</v>
      </c>
      <c r="DQ205" s="228">
        <v>0.59</v>
      </c>
      <c r="DR205" s="228">
        <v>-0.04</v>
      </c>
      <c r="DS205" s="229">
        <v>-6.7799999999999999E-2</v>
      </c>
      <c r="DT205" s="231">
        <v>12000</v>
      </c>
      <c r="DU205" s="231">
        <v>10800</v>
      </c>
      <c r="DV205" s="228">
        <v>0.42</v>
      </c>
      <c r="DW205" s="228">
        <v>0.35</v>
      </c>
      <c r="DX205" s="228">
        <v>7.0000000000000007E-2</v>
      </c>
      <c r="DY205" s="229">
        <v>0.2</v>
      </c>
      <c r="DZ205" s="229">
        <v>0.20250000000000001</v>
      </c>
      <c r="EA205" s="230">
        <v>262750</v>
      </c>
      <c r="EB205" s="229">
        <v>6.4000000000000003E-3</v>
      </c>
      <c r="EC205" s="229">
        <v>0.20250000000000001</v>
      </c>
      <c r="ED205" s="228">
        <v>75.92</v>
      </c>
      <c r="EE205" s="229">
        <v>6.6E-3</v>
      </c>
      <c r="EF205" s="230">
        <v>59825</v>
      </c>
      <c r="EG205" s="230">
        <v>137767</v>
      </c>
      <c r="EH205" s="229">
        <v>-0.56579999999999997</v>
      </c>
      <c r="EI205" s="229">
        <v>0.54390000000000005</v>
      </c>
      <c r="EJ205" s="231">
        <v>126840.12</v>
      </c>
      <c r="EK205" s="231">
        <v>51354.87</v>
      </c>
      <c r="EL205" s="231">
        <v>91852.66</v>
      </c>
      <c r="EM205" s="231">
        <v>5344</v>
      </c>
      <c r="EN205" s="231">
        <v>270047.65000000002</v>
      </c>
      <c r="EO205" s="231">
        <v>135587.69</v>
      </c>
      <c r="EP205" s="231">
        <v>134459.96</v>
      </c>
      <c r="EQ205" s="229">
        <v>0.99170000000000003</v>
      </c>
      <c r="ER205" s="231">
        <v>132594</v>
      </c>
      <c r="ES205" s="231">
        <v>68418</v>
      </c>
      <c r="ET205" s="231">
        <v>342070</v>
      </c>
      <c r="EU205" s="231">
        <v>11962066</v>
      </c>
      <c r="EV205" s="231">
        <v>543083</v>
      </c>
      <c r="EW205" s="231">
        <v>528989</v>
      </c>
      <c r="EX205" s="231">
        <v>14094</v>
      </c>
      <c r="EY205" s="229">
        <v>2.6599999999999999E-2</v>
      </c>
      <c r="EZ205" s="229">
        <v>0.39140000000000003</v>
      </c>
      <c r="FA205" s="227" t="s">
        <v>567</v>
      </c>
      <c r="FB205" s="161">
        <f t="shared" si="5"/>
        <v>0</v>
      </c>
    </row>
    <row r="206" spans="1:158" ht="17.25" thickBot="1" x14ac:dyDescent="0.3">
      <c r="A206" s="226">
        <v>46009</v>
      </c>
      <c r="B206" s="227" t="s">
        <v>172</v>
      </c>
      <c r="C206" s="227" t="s">
        <v>593</v>
      </c>
      <c r="D206" s="228">
        <v>4425</v>
      </c>
      <c r="E206" s="228">
        <v>154.08000000000001</v>
      </c>
      <c r="F206" s="228">
        <v>153.55000000000001</v>
      </c>
      <c r="G206" s="228">
        <v>0.53</v>
      </c>
      <c r="H206" s="229">
        <v>3.5000000000000001E-3</v>
      </c>
      <c r="I206" s="228">
        <v>154.15</v>
      </c>
      <c r="J206" s="228">
        <v>153.04</v>
      </c>
      <c r="K206" s="228">
        <v>1.1100000000000001</v>
      </c>
      <c r="L206" s="229">
        <v>7.3000000000000001E-3</v>
      </c>
      <c r="M206" s="228">
        <v>154.08000000000001</v>
      </c>
      <c r="N206" s="228">
        <v>153.55000000000001</v>
      </c>
      <c r="O206" s="228">
        <v>0.53</v>
      </c>
      <c r="P206" s="229">
        <v>3.5000000000000001E-3</v>
      </c>
      <c r="Q206" s="228">
        <v>154.68</v>
      </c>
      <c r="R206" s="228">
        <v>154.1</v>
      </c>
      <c r="S206" s="228">
        <v>0.57999999999999996</v>
      </c>
      <c r="T206" s="229">
        <v>3.8E-3</v>
      </c>
      <c r="U206" s="228">
        <v>155.43</v>
      </c>
      <c r="V206" s="228">
        <v>154.79</v>
      </c>
      <c r="W206" s="228">
        <v>0.64</v>
      </c>
      <c r="X206" s="229">
        <v>4.1000000000000003E-3</v>
      </c>
      <c r="Y206" s="228">
        <v>-7.0000000000000007E-2</v>
      </c>
      <c r="Z206" s="228">
        <v>0.51</v>
      </c>
      <c r="AA206" s="228">
        <v>-0.57999999999999996</v>
      </c>
      <c r="AB206" s="229">
        <v>-5.0000000000000001E-4</v>
      </c>
      <c r="AC206" s="228">
        <v>-7.0000000000000007E-2</v>
      </c>
      <c r="AD206" s="228">
        <v>0.51</v>
      </c>
      <c r="AE206" s="228">
        <v>-0.57999999999999996</v>
      </c>
      <c r="AF206" s="229">
        <v>-5.0000000000000001E-4</v>
      </c>
      <c r="AG206" s="228">
        <v>0.53</v>
      </c>
      <c r="AH206" s="228">
        <v>1.06</v>
      </c>
      <c r="AI206" s="228">
        <v>-0.53</v>
      </c>
      <c r="AJ206" s="229">
        <v>3.3999999999999998E-3</v>
      </c>
      <c r="AK206" s="228">
        <v>1.28</v>
      </c>
      <c r="AL206" s="228">
        <v>1.75</v>
      </c>
      <c r="AM206" s="228">
        <v>-0.47</v>
      </c>
      <c r="AN206" s="229">
        <v>8.3000000000000001E-3</v>
      </c>
      <c r="AO206" s="228">
        <v>154.05000000000001</v>
      </c>
      <c r="AP206" s="228">
        <v>154.66999999999999</v>
      </c>
      <c r="AQ206" s="228">
        <v>0</v>
      </c>
      <c r="AR206" s="230">
        <v>12978525</v>
      </c>
      <c r="AS206" s="230">
        <v>11699700</v>
      </c>
      <c r="AT206" s="230">
        <v>1278825</v>
      </c>
      <c r="AU206" s="229">
        <v>0.10929999999999999</v>
      </c>
      <c r="AV206" s="230">
        <v>10836825</v>
      </c>
      <c r="AW206" s="230">
        <v>9540300</v>
      </c>
      <c r="AX206" s="230">
        <v>1296525</v>
      </c>
      <c r="AY206" s="229">
        <v>0.13589999999999999</v>
      </c>
      <c r="AZ206" s="230">
        <v>2084175</v>
      </c>
      <c r="BA206" s="230">
        <v>2097450</v>
      </c>
      <c r="BB206" s="230">
        <v>-13275</v>
      </c>
      <c r="BC206" s="229">
        <v>-6.3E-3</v>
      </c>
      <c r="BD206" s="230">
        <v>57525</v>
      </c>
      <c r="BE206" s="230">
        <v>61950</v>
      </c>
      <c r="BF206" s="230">
        <v>-4425</v>
      </c>
      <c r="BG206" s="229">
        <v>-7.1400000000000005E-2</v>
      </c>
      <c r="BH206" s="230">
        <v>22855125</v>
      </c>
      <c r="BI206" s="230">
        <v>16784025</v>
      </c>
      <c r="BJ206" s="230">
        <v>6071100</v>
      </c>
      <c r="BK206" s="229">
        <v>0.36170000000000002</v>
      </c>
      <c r="BL206" s="230">
        <v>13248450</v>
      </c>
      <c r="BM206" s="230">
        <v>8938500</v>
      </c>
      <c r="BN206" s="230">
        <v>4309950</v>
      </c>
      <c r="BO206" s="229">
        <v>0.48220000000000002</v>
      </c>
      <c r="BP206" s="230">
        <v>49082100</v>
      </c>
      <c r="BQ206" s="230">
        <v>37422225</v>
      </c>
      <c r="BR206" s="230">
        <v>11659875</v>
      </c>
      <c r="BS206" s="229">
        <v>0.31159999999999999</v>
      </c>
      <c r="BT206" s="230">
        <v>8948618</v>
      </c>
      <c r="BU206" s="230">
        <v>10114338</v>
      </c>
      <c r="BV206" s="230">
        <v>-1165720</v>
      </c>
      <c r="BW206" s="229">
        <v>-0.1153</v>
      </c>
      <c r="BX206" s="230">
        <v>74910825</v>
      </c>
      <c r="BY206" s="230">
        <v>76490550</v>
      </c>
      <c r="BZ206" s="230">
        <v>-1579725</v>
      </c>
      <c r="CA206" s="229">
        <v>-2.07E-2</v>
      </c>
      <c r="CB206" s="230">
        <v>66299775</v>
      </c>
      <c r="CC206" s="230">
        <v>68317575</v>
      </c>
      <c r="CD206" s="230">
        <v>-2017800</v>
      </c>
      <c r="CE206" s="229">
        <v>-2.9499999999999998E-2</v>
      </c>
      <c r="CF206" s="230">
        <v>7942875</v>
      </c>
      <c r="CG206" s="230">
        <v>7504800</v>
      </c>
      <c r="CH206" s="230">
        <v>438075</v>
      </c>
      <c r="CI206" s="229">
        <v>5.8400000000000001E-2</v>
      </c>
      <c r="CJ206" s="230">
        <v>668175</v>
      </c>
      <c r="CK206" s="230">
        <v>668175</v>
      </c>
      <c r="CL206" s="228">
        <v>0</v>
      </c>
      <c r="CM206" s="229">
        <v>0</v>
      </c>
      <c r="CN206" s="230">
        <v>37816050</v>
      </c>
      <c r="CO206" s="230">
        <v>39037350</v>
      </c>
      <c r="CP206" s="230">
        <v>-1221300</v>
      </c>
      <c r="CQ206" s="229">
        <v>-3.1300000000000001E-2</v>
      </c>
      <c r="CR206" s="230">
        <v>25492425</v>
      </c>
      <c r="CS206" s="230">
        <v>26328750</v>
      </c>
      <c r="CT206" s="230">
        <v>-836325</v>
      </c>
      <c r="CU206" s="229">
        <v>-3.1800000000000002E-2</v>
      </c>
      <c r="CV206" s="230">
        <v>138219300</v>
      </c>
      <c r="CW206" s="230">
        <v>141856650</v>
      </c>
      <c r="CX206" s="230">
        <v>-3637350</v>
      </c>
      <c r="CY206" s="229">
        <v>-2.5600000000000001E-2</v>
      </c>
      <c r="CZ206" s="228">
        <v>27.63</v>
      </c>
      <c r="DA206" s="228">
        <v>29.15</v>
      </c>
      <c r="DB206" s="228">
        <v>-1.52</v>
      </c>
      <c r="DC206" s="228">
        <v>-1.52</v>
      </c>
      <c r="DD206" s="228">
        <v>40.64</v>
      </c>
      <c r="DE206" s="228">
        <v>40.74</v>
      </c>
      <c r="DF206" s="228">
        <v>-13.01</v>
      </c>
      <c r="DG206" s="228">
        <v>-0.1</v>
      </c>
      <c r="DH206" s="228">
        <v>27.07</v>
      </c>
      <c r="DI206" s="228">
        <v>29.25</v>
      </c>
      <c r="DJ206" s="228">
        <v>-2.1800000000000002</v>
      </c>
      <c r="DK206" s="228">
        <v>-2.1800000000000002</v>
      </c>
      <c r="DL206" s="228">
        <v>28.59</v>
      </c>
      <c r="DM206" s="228">
        <v>28.96</v>
      </c>
      <c r="DN206" s="228">
        <v>-0.37</v>
      </c>
      <c r="DO206" s="228">
        <v>-0.37</v>
      </c>
      <c r="DP206" s="228">
        <v>0.67</v>
      </c>
      <c r="DQ206" s="228">
        <v>0.67</v>
      </c>
      <c r="DR206" s="228">
        <v>0</v>
      </c>
      <c r="DS206" s="229">
        <v>0</v>
      </c>
      <c r="DT206" s="228">
        <v>160</v>
      </c>
      <c r="DU206" s="228">
        <v>150</v>
      </c>
      <c r="DV206" s="228">
        <v>0.57999999999999996</v>
      </c>
      <c r="DW206" s="228">
        <v>0.53</v>
      </c>
      <c r="DX206" s="228">
        <v>0.05</v>
      </c>
      <c r="DY206" s="229">
        <v>9.4299999999999995E-2</v>
      </c>
      <c r="DZ206" s="229">
        <v>0.115</v>
      </c>
      <c r="EA206" s="230">
        <v>8172975</v>
      </c>
      <c r="EB206" s="229">
        <v>3.8999999999999998E-3</v>
      </c>
      <c r="EC206" s="229">
        <v>0.115</v>
      </c>
      <c r="ED206" s="228">
        <v>0.62</v>
      </c>
      <c r="EE206" s="229">
        <v>4.0000000000000001E-3</v>
      </c>
      <c r="EF206" s="230">
        <v>3859422</v>
      </c>
      <c r="EG206" s="230">
        <v>5645089</v>
      </c>
      <c r="EH206" s="229">
        <v>-0.31630000000000003</v>
      </c>
      <c r="EI206" s="229">
        <v>0.43130000000000002</v>
      </c>
      <c r="EJ206" s="231">
        <v>36598.54</v>
      </c>
      <c r="EK206" s="231">
        <v>19575.7</v>
      </c>
      <c r="EL206" s="231">
        <v>20007.11</v>
      </c>
      <c r="EM206" s="231">
        <v>2609</v>
      </c>
      <c r="EN206" s="231">
        <v>76181.350000000006</v>
      </c>
      <c r="EO206" s="231">
        <v>58388.89</v>
      </c>
      <c r="EP206" s="231">
        <v>17792.46</v>
      </c>
      <c r="EQ206" s="229">
        <v>0.30470000000000003</v>
      </c>
      <c r="ER206" s="231">
        <v>60605</v>
      </c>
      <c r="ES206" s="231">
        <v>37729</v>
      </c>
      <c r="ET206" s="231">
        <v>115479</v>
      </c>
      <c r="EU206" s="231">
        <v>289041713</v>
      </c>
      <c r="EV206" s="231">
        <v>213813</v>
      </c>
      <c r="EW206" s="231">
        <v>218794</v>
      </c>
      <c r="EX206" s="231">
        <v>-4981</v>
      </c>
      <c r="EY206" s="229">
        <v>-2.2800000000000001E-2</v>
      </c>
      <c r="EZ206" s="229">
        <v>0.47820000000000001</v>
      </c>
      <c r="FA206" s="227" t="s">
        <v>556</v>
      </c>
      <c r="FB206" s="161">
        <f t="shared" si="5"/>
        <v>0</v>
      </c>
    </row>
    <row r="207" spans="1:158" ht="17.25" thickBot="1" x14ac:dyDescent="0.3">
      <c r="A207" s="226">
        <v>46009</v>
      </c>
      <c r="B207" s="227" t="s">
        <v>168</v>
      </c>
      <c r="C207" s="227" t="s">
        <v>569</v>
      </c>
      <c r="D207" s="228">
        <v>400</v>
      </c>
      <c r="E207" s="231">
        <v>1393.8</v>
      </c>
      <c r="F207" s="231">
        <v>1422.1</v>
      </c>
      <c r="G207" s="228">
        <v>-28.3</v>
      </c>
      <c r="H207" s="229">
        <v>-1.9900000000000001E-2</v>
      </c>
      <c r="I207" s="231">
        <v>1391.2</v>
      </c>
      <c r="J207" s="231">
        <v>1424.9</v>
      </c>
      <c r="K207" s="228">
        <v>-33.700000000000003</v>
      </c>
      <c r="L207" s="229">
        <v>-2.3699999999999999E-2</v>
      </c>
      <c r="M207" s="231">
        <v>1393.8</v>
      </c>
      <c r="N207" s="231">
        <v>1422.1</v>
      </c>
      <c r="O207" s="228">
        <v>-28.3</v>
      </c>
      <c r="P207" s="229">
        <v>-1.9900000000000001E-2</v>
      </c>
      <c r="Q207" s="231">
        <v>1403.1</v>
      </c>
      <c r="R207" s="231">
        <v>1430.1</v>
      </c>
      <c r="S207" s="228">
        <v>-27</v>
      </c>
      <c r="T207" s="229">
        <v>-1.89E-2</v>
      </c>
      <c r="U207" s="231">
        <v>1414.7</v>
      </c>
      <c r="V207" s="231">
        <v>1442.5</v>
      </c>
      <c r="W207" s="228">
        <v>-27.8</v>
      </c>
      <c r="X207" s="229">
        <v>-1.9300000000000001E-2</v>
      </c>
      <c r="Y207" s="228">
        <v>2.6</v>
      </c>
      <c r="Z207" s="228">
        <v>-2.8</v>
      </c>
      <c r="AA207" s="228">
        <v>5.4</v>
      </c>
      <c r="AB207" s="229">
        <v>1.9E-3</v>
      </c>
      <c r="AC207" s="228">
        <v>2.6</v>
      </c>
      <c r="AD207" s="228">
        <v>-2.8</v>
      </c>
      <c r="AE207" s="228">
        <v>5.4</v>
      </c>
      <c r="AF207" s="229">
        <v>1.9E-3</v>
      </c>
      <c r="AG207" s="228">
        <v>11.9</v>
      </c>
      <c r="AH207" s="228">
        <v>5.2</v>
      </c>
      <c r="AI207" s="228">
        <v>6.7</v>
      </c>
      <c r="AJ207" s="229">
        <v>8.6E-3</v>
      </c>
      <c r="AK207" s="228">
        <v>23.5</v>
      </c>
      <c r="AL207" s="228">
        <v>17.600000000000001</v>
      </c>
      <c r="AM207" s="228">
        <v>5.9</v>
      </c>
      <c r="AN207" s="229">
        <v>1.6899999999999998E-2</v>
      </c>
      <c r="AO207" s="231">
        <v>1392.24</v>
      </c>
      <c r="AP207" s="231">
        <v>1401.96</v>
      </c>
      <c r="AQ207" s="228">
        <v>0</v>
      </c>
      <c r="AR207" s="230">
        <v>4110800</v>
      </c>
      <c r="AS207" s="230">
        <v>2270800</v>
      </c>
      <c r="AT207" s="230">
        <v>1840000</v>
      </c>
      <c r="AU207" s="229">
        <v>0.81030000000000002</v>
      </c>
      <c r="AV207" s="230">
        <v>3602000</v>
      </c>
      <c r="AW207" s="230">
        <v>2031200</v>
      </c>
      <c r="AX207" s="230">
        <v>1570800</v>
      </c>
      <c r="AY207" s="229">
        <v>0.77329999999999999</v>
      </c>
      <c r="AZ207" s="230">
        <v>490800</v>
      </c>
      <c r="BA207" s="230">
        <v>231200</v>
      </c>
      <c r="BB207" s="230">
        <v>259600</v>
      </c>
      <c r="BC207" s="229">
        <v>1.1228</v>
      </c>
      <c r="BD207" s="230">
        <v>18000</v>
      </c>
      <c r="BE207" s="230">
        <v>8400</v>
      </c>
      <c r="BF207" s="230">
        <v>9600</v>
      </c>
      <c r="BG207" s="229">
        <v>1.1429</v>
      </c>
      <c r="BH207" s="230">
        <v>7522400</v>
      </c>
      <c r="BI207" s="230">
        <v>3691200</v>
      </c>
      <c r="BJ207" s="230">
        <v>3831200</v>
      </c>
      <c r="BK207" s="229">
        <v>1.0379</v>
      </c>
      <c r="BL207" s="230">
        <v>8820800</v>
      </c>
      <c r="BM207" s="230">
        <v>3090000</v>
      </c>
      <c r="BN207" s="230">
        <v>5730800</v>
      </c>
      <c r="BO207" s="229">
        <v>1.8546</v>
      </c>
      <c r="BP207" s="230">
        <v>20454000</v>
      </c>
      <c r="BQ207" s="230">
        <v>9052000</v>
      </c>
      <c r="BR207" s="230">
        <v>11402000</v>
      </c>
      <c r="BS207" s="229">
        <v>1.2596000000000001</v>
      </c>
      <c r="BT207" s="230">
        <v>1185835</v>
      </c>
      <c r="BU207" s="230">
        <v>1185574</v>
      </c>
      <c r="BV207" s="228">
        <v>261</v>
      </c>
      <c r="BW207" s="229">
        <v>2.0000000000000001E-4</v>
      </c>
      <c r="BX207" s="230">
        <v>12098800</v>
      </c>
      <c r="BY207" s="230">
        <v>12549600</v>
      </c>
      <c r="BZ207" s="230">
        <v>-450800</v>
      </c>
      <c r="CA207" s="229">
        <v>-3.5900000000000001E-2</v>
      </c>
      <c r="CB207" s="230">
        <v>11496800</v>
      </c>
      <c r="CC207" s="230">
        <v>12192000</v>
      </c>
      <c r="CD207" s="230">
        <v>-695200</v>
      </c>
      <c r="CE207" s="229">
        <v>-5.7000000000000002E-2</v>
      </c>
      <c r="CF207" s="230">
        <v>564800</v>
      </c>
      <c r="CG207" s="230">
        <v>330000</v>
      </c>
      <c r="CH207" s="230">
        <v>234800</v>
      </c>
      <c r="CI207" s="229">
        <v>0.71150000000000002</v>
      </c>
      <c r="CJ207" s="230">
        <v>37200</v>
      </c>
      <c r="CK207" s="230">
        <v>27600</v>
      </c>
      <c r="CL207" s="230">
        <v>9600</v>
      </c>
      <c r="CM207" s="229">
        <v>0.3478</v>
      </c>
      <c r="CN207" s="230">
        <v>4288800</v>
      </c>
      <c r="CO207" s="230">
        <v>4028400</v>
      </c>
      <c r="CP207" s="230">
        <v>260400</v>
      </c>
      <c r="CQ207" s="229">
        <v>6.4600000000000005E-2</v>
      </c>
      <c r="CR207" s="230">
        <v>3427600</v>
      </c>
      <c r="CS207" s="230">
        <v>3418000</v>
      </c>
      <c r="CT207" s="230">
        <v>9600</v>
      </c>
      <c r="CU207" s="229">
        <v>2.8E-3</v>
      </c>
      <c r="CV207" s="230">
        <v>19815200</v>
      </c>
      <c r="CW207" s="230">
        <v>19996000</v>
      </c>
      <c r="CX207" s="230">
        <v>-180800</v>
      </c>
      <c r="CY207" s="229">
        <v>-8.9999999999999993E-3</v>
      </c>
      <c r="CZ207" s="228">
        <v>21.28</v>
      </c>
      <c r="DA207" s="228">
        <v>22.34</v>
      </c>
      <c r="DB207" s="228">
        <v>-1.06</v>
      </c>
      <c r="DC207" s="228">
        <v>-1.06</v>
      </c>
      <c r="DD207" s="228">
        <v>27.17</v>
      </c>
      <c r="DE207" s="228">
        <v>27.04</v>
      </c>
      <c r="DF207" s="228">
        <v>-5.89</v>
      </c>
      <c r="DG207" s="228">
        <v>0.13</v>
      </c>
      <c r="DH207" s="228">
        <v>21.73</v>
      </c>
      <c r="DI207" s="228">
        <v>22.77</v>
      </c>
      <c r="DJ207" s="228">
        <v>-1.04</v>
      </c>
      <c r="DK207" s="228">
        <v>-1.04</v>
      </c>
      <c r="DL207" s="228">
        <v>20.9</v>
      </c>
      <c r="DM207" s="228">
        <v>21.83</v>
      </c>
      <c r="DN207" s="228">
        <v>-0.93</v>
      </c>
      <c r="DO207" s="228">
        <v>-0.93</v>
      </c>
      <c r="DP207" s="228">
        <v>0.8</v>
      </c>
      <c r="DQ207" s="228">
        <v>0.85</v>
      </c>
      <c r="DR207" s="228">
        <v>-0.05</v>
      </c>
      <c r="DS207" s="229">
        <v>-5.8799999999999998E-2</v>
      </c>
      <c r="DT207" s="231">
        <v>1500</v>
      </c>
      <c r="DU207" s="231">
        <v>1400</v>
      </c>
      <c r="DV207" s="228">
        <v>1.17</v>
      </c>
      <c r="DW207" s="228">
        <v>0.84</v>
      </c>
      <c r="DX207" s="228">
        <v>0.33</v>
      </c>
      <c r="DY207" s="229">
        <v>0.39290000000000003</v>
      </c>
      <c r="DZ207" s="229">
        <v>4.9799999999999997E-2</v>
      </c>
      <c r="EA207" s="230">
        <v>357600</v>
      </c>
      <c r="EB207" s="229">
        <v>6.7000000000000002E-3</v>
      </c>
      <c r="EC207" s="229">
        <v>4.9799999999999997E-2</v>
      </c>
      <c r="ED207" s="228">
        <v>9.7200000000000006</v>
      </c>
      <c r="EE207" s="229">
        <v>7.0000000000000001E-3</v>
      </c>
      <c r="EF207" s="230">
        <v>551903</v>
      </c>
      <c r="EG207" s="230">
        <v>885836</v>
      </c>
      <c r="EH207" s="229">
        <v>-0.377</v>
      </c>
      <c r="EI207" s="229">
        <v>0.46539999999999998</v>
      </c>
      <c r="EJ207" s="231">
        <v>109088.56</v>
      </c>
      <c r="EK207" s="231">
        <v>123095.13</v>
      </c>
      <c r="EL207" s="231">
        <v>57282.77</v>
      </c>
      <c r="EM207" s="231">
        <v>2674</v>
      </c>
      <c r="EN207" s="231">
        <v>289466.46000000002</v>
      </c>
      <c r="EO207" s="231">
        <v>131496.13</v>
      </c>
      <c r="EP207" s="231">
        <v>157970.32999999999</v>
      </c>
      <c r="EQ207" s="229">
        <v>1.2013</v>
      </c>
      <c r="ER207" s="231">
        <v>63426</v>
      </c>
      <c r="ES207" s="231">
        <v>47559</v>
      </c>
      <c r="ET207" s="231">
        <v>168693</v>
      </c>
      <c r="EU207" s="231">
        <v>47269416</v>
      </c>
      <c r="EV207" s="231">
        <v>279678</v>
      </c>
      <c r="EW207" s="231">
        <v>286363</v>
      </c>
      <c r="EX207" s="231">
        <v>-6685</v>
      </c>
      <c r="EY207" s="229">
        <v>-2.3300000000000001E-2</v>
      </c>
      <c r="EZ207" s="229">
        <v>0.41920000000000002</v>
      </c>
      <c r="FA207" s="227" t="s">
        <v>568</v>
      </c>
      <c r="FB207" s="161">
        <f t="shared" si="5"/>
        <v>0</v>
      </c>
    </row>
    <row r="208" spans="1:158" ht="17.25" thickBot="1" x14ac:dyDescent="0.3">
      <c r="A208" s="226">
        <v>46009</v>
      </c>
      <c r="B208" s="227" t="s">
        <v>162</v>
      </c>
      <c r="C208" s="227" t="s">
        <v>675</v>
      </c>
      <c r="D208" s="228">
        <v>550</v>
      </c>
      <c r="E208" s="231">
        <v>1228.7</v>
      </c>
      <c r="F208" s="231">
        <v>1251.5</v>
      </c>
      <c r="G208" s="228">
        <v>-22.8</v>
      </c>
      <c r="H208" s="229">
        <v>-1.8200000000000001E-2</v>
      </c>
      <c r="I208" s="231">
        <v>1226.5999999999999</v>
      </c>
      <c r="J208" s="231">
        <v>1248.8</v>
      </c>
      <c r="K208" s="228">
        <v>-22.2</v>
      </c>
      <c r="L208" s="229">
        <v>-1.78E-2</v>
      </c>
      <c r="M208" s="231">
        <v>1228.7</v>
      </c>
      <c r="N208" s="231">
        <v>1251.5</v>
      </c>
      <c r="O208" s="228">
        <v>-22.8</v>
      </c>
      <c r="P208" s="229">
        <v>-1.8200000000000001E-2</v>
      </c>
      <c r="Q208" s="231">
        <v>1236.4000000000001</v>
      </c>
      <c r="R208" s="231">
        <v>1258.9000000000001</v>
      </c>
      <c r="S208" s="228">
        <v>-22.5</v>
      </c>
      <c r="T208" s="229">
        <v>-1.7899999999999999E-2</v>
      </c>
      <c r="U208" s="231">
        <v>1235.0999999999999</v>
      </c>
      <c r="V208" s="231">
        <v>1256</v>
      </c>
      <c r="W208" s="228">
        <v>-20.9</v>
      </c>
      <c r="X208" s="229">
        <v>-1.66E-2</v>
      </c>
      <c r="Y208" s="228">
        <v>2.1</v>
      </c>
      <c r="Z208" s="228">
        <v>2.7</v>
      </c>
      <c r="AA208" s="228">
        <v>-0.6</v>
      </c>
      <c r="AB208" s="229">
        <v>1.6999999999999999E-3</v>
      </c>
      <c r="AC208" s="228">
        <v>2.1</v>
      </c>
      <c r="AD208" s="228">
        <v>2.7</v>
      </c>
      <c r="AE208" s="228">
        <v>-0.6</v>
      </c>
      <c r="AF208" s="229">
        <v>1.6999999999999999E-3</v>
      </c>
      <c r="AG208" s="228">
        <v>9.8000000000000007</v>
      </c>
      <c r="AH208" s="228">
        <v>10.1</v>
      </c>
      <c r="AI208" s="228">
        <v>-0.3</v>
      </c>
      <c r="AJ208" s="229">
        <v>8.0000000000000002E-3</v>
      </c>
      <c r="AK208" s="228">
        <v>8.5</v>
      </c>
      <c r="AL208" s="228">
        <v>7.2</v>
      </c>
      <c r="AM208" s="228">
        <v>1.3</v>
      </c>
      <c r="AN208" s="229">
        <v>6.8999999999999999E-3</v>
      </c>
      <c r="AO208" s="231">
        <v>1227.8</v>
      </c>
      <c r="AP208" s="231">
        <v>1236</v>
      </c>
      <c r="AQ208" s="228">
        <v>0</v>
      </c>
      <c r="AR208" s="230">
        <v>603900</v>
      </c>
      <c r="AS208" s="230">
        <v>411400</v>
      </c>
      <c r="AT208" s="230">
        <v>192500</v>
      </c>
      <c r="AU208" s="229">
        <v>0.46789999999999998</v>
      </c>
      <c r="AV208" s="230">
        <v>524150</v>
      </c>
      <c r="AW208" s="230">
        <v>389400</v>
      </c>
      <c r="AX208" s="230">
        <v>134750</v>
      </c>
      <c r="AY208" s="229">
        <v>0.34599999999999997</v>
      </c>
      <c r="AZ208" s="230">
        <v>77550</v>
      </c>
      <c r="BA208" s="230">
        <v>20900</v>
      </c>
      <c r="BB208" s="230">
        <v>56650</v>
      </c>
      <c r="BC208" s="229">
        <v>2.7105000000000001</v>
      </c>
      <c r="BD208" s="230">
        <v>2200</v>
      </c>
      <c r="BE208" s="230">
        <v>1100</v>
      </c>
      <c r="BF208" s="230">
        <v>1100</v>
      </c>
      <c r="BG208" s="229">
        <v>1</v>
      </c>
      <c r="BH208" s="230">
        <v>2065250</v>
      </c>
      <c r="BI208" s="230">
        <v>1199000</v>
      </c>
      <c r="BJ208" s="230">
        <v>866250</v>
      </c>
      <c r="BK208" s="229">
        <v>0.72250000000000003</v>
      </c>
      <c r="BL208" s="230">
        <v>1074150</v>
      </c>
      <c r="BM208" s="230">
        <v>431200</v>
      </c>
      <c r="BN208" s="230">
        <v>642950</v>
      </c>
      <c r="BO208" s="229">
        <v>1.4911000000000001</v>
      </c>
      <c r="BP208" s="230">
        <v>3743300</v>
      </c>
      <c r="BQ208" s="230">
        <v>2041600</v>
      </c>
      <c r="BR208" s="230">
        <v>1701700</v>
      </c>
      <c r="BS208" s="229">
        <v>0.83350000000000002</v>
      </c>
      <c r="BT208" s="230">
        <v>322750</v>
      </c>
      <c r="BU208" s="230">
        <v>383340</v>
      </c>
      <c r="BV208" s="230">
        <v>-60590</v>
      </c>
      <c r="BW208" s="229">
        <v>-0.15809999999999999</v>
      </c>
      <c r="BX208" s="230">
        <v>4371950</v>
      </c>
      <c r="BY208" s="230">
        <v>4317500</v>
      </c>
      <c r="BZ208" s="230">
        <v>54450</v>
      </c>
      <c r="CA208" s="229">
        <v>1.26E-2</v>
      </c>
      <c r="CB208" s="230">
        <v>4144250</v>
      </c>
      <c r="CC208" s="230">
        <v>4125550</v>
      </c>
      <c r="CD208" s="230">
        <v>18700</v>
      </c>
      <c r="CE208" s="229">
        <v>4.4999999999999997E-3</v>
      </c>
      <c r="CF208" s="230">
        <v>220000</v>
      </c>
      <c r="CG208" s="230">
        <v>184800</v>
      </c>
      <c r="CH208" s="230">
        <v>35200</v>
      </c>
      <c r="CI208" s="229">
        <v>0.1905</v>
      </c>
      <c r="CJ208" s="230">
        <v>7700</v>
      </c>
      <c r="CK208" s="230">
        <v>7150</v>
      </c>
      <c r="CL208" s="228">
        <v>550</v>
      </c>
      <c r="CM208" s="229">
        <v>7.6899999999999996E-2</v>
      </c>
      <c r="CN208" s="230">
        <v>2969450</v>
      </c>
      <c r="CO208" s="230">
        <v>2790700</v>
      </c>
      <c r="CP208" s="230">
        <v>178750</v>
      </c>
      <c r="CQ208" s="229">
        <v>6.4100000000000004E-2</v>
      </c>
      <c r="CR208" s="230">
        <v>1545500</v>
      </c>
      <c r="CS208" s="230">
        <v>1563100</v>
      </c>
      <c r="CT208" s="230">
        <v>-17600</v>
      </c>
      <c r="CU208" s="229">
        <v>-1.1299999999999999E-2</v>
      </c>
      <c r="CV208" s="230">
        <v>8886900</v>
      </c>
      <c r="CW208" s="230">
        <v>8671300</v>
      </c>
      <c r="CX208" s="230">
        <v>215600</v>
      </c>
      <c r="CY208" s="229">
        <v>2.4899999999999999E-2</v>
      </c>
      <c r="CZ208" s="228">
        <v>27.66</v>
      </c>
      <c r="DA208" s="228">
        <v>25.88</v>
      </c>
      <c r="DB208" s="228">
        <v>1.78</v>
      </c>
      <c r="DC208" s="228">
        <v>1.78</v>
      </c>
      <c r="DD208" s="228">
        <v>40.43</v>
      </c>
      <c r="DE208" s="228">
        <v>40.450000000000003</v>
      </c>
      <c r="DF208" s="228">
        <v>-12.77</v>
      </c>
      <c r="DG208" s="228">
        <v>-0.02</v>
      </c>
      <c r="DH208" s="228">
        <v>28.97</v>
      </c>
      <c r="DI208" s="228">
        <v>25.97</v>
      </c>
      <c r="DJ208" s="228">
        <v>3</v>
      </c>
      <c r="DK208" s="228">
        <v>3</v>
      </c>
      <c r="DL208" s="228">
        <v>25.15</v>
      </c>
      <c r="DM208" s="228">
        <v>25.61</v>
      </c>
      <c r="DN208" s="228">
        <v>-0.46</v>
      </c>
      <c r="DO208" s="228">
        <v>-0.46</v>
      </c>
      <c r="DP208" s="228">
        <v>0.52</v>
      </c>
      <c r="DQ208" s="228">
        <v>0.56000000000000005</v>
      </c>
      <c r="DR208" s="228">
        <v>-0.04</v>
      </c>
      <c r="DS208" s="229">
        <v>-7.1400000000000005E-2</v>
      </c>
      <c r="DT208" s="231">
        <v>1320</v>
      </c>
      <c r="DU208" s="231">
        <v>1180</v>
      </c>
      <c r="DV208" s="228">
        <v>0.52</v>
      </c>
      <c r="DW208" s="228">
        <v>0.36</v>
      </c>
      <c r="DX208" s="228">
        <v>0.16</v>
      </c>
      <c r="DY208" s="229">
        <v>0.44440000000000002</v>
      </c>
      <c r="DZ208" s="229">
        <v>5.21E-2</v>
      </c>
      <c r="EA208" s="230">
        <v>191950</v>
      </c>
      <c r="EB208" s="229">
        <v>6.3E-3</v>
      </c>
      <c r="EC208" s="229">
        <v>5.21E-2</v>
      </c>
      <c r="ED208" s="228">
        <v>8.1999999999999993</v>
      </c>
      <c r="EE208" s="229">
        <v>6.7000000000000002E-3</v>
      </c>
      <c r="EF208" s="230">
        <v>137258</v>
      </c>
      <c r="EG208" s="230">
        <v>198359</v>
      </c>
      <c r="EH208" s="229">
        <v>-0.308</v>
      </c>
      <c r="EI208" s="229">
        <v>0.42530000000000001</v>
      </c>
      <c r="EJ208" s="231">
        <v>27169.05</v>
      </c>
      <c r="EK208" s="231">
        <v>13201.69</v>
      </c>
      <c r="EL208" s="231">
        <v>7421.24</v>
      </c>
      <c r="EM208" s="231">
        <v>1869</v>
      </c>
      <c r="EN208" s="231">
        <v>47791.98</v>
      </c>
      <c r="EO208" s="231">
        <v>26126.11</v>
      </c>
      <c r="EP208" s="231">
        <v>21665.87</v>
      </c>
      <c r="EQ208" s="229">
        <v>0.82930000000000004</v>
      </c>
      <c r="ER208" s="231">
        <v>39229</v>
      </c>
      <c r="ES208" s="231">
        <v>19146</v>
      </c>
      <c r="ET208" s="231">
        <v>53736</v>
      </c>
      <c r="EU208" s="231">
        <v>22813802</v>
      </c>
      <c r="EV208" s="231">
        <v>112111</v>
      </c>
      <c r="EW208" s="231">
        <v>110392</v>
      </c>
      <c r="EX208" s="231">
        <v>1719</v>
      </c>
      <c r="EY208" s="229">
        <v>1.5599999999999999E-2</v>
      </c>
      <c r="EZ208" s="229">
        <v>0.38950000000000001</v>
      </c>
      <c r="FA208" s="227" t="s">
        <v>567</v>
      </c>
      <c r="FB208" s="161">
        <f t="shared" si="5"/>
        <v>0</v>
      </c>
    </row>
    <row r="209" spans="1:158" ht="17.25" thickBot="1" x14ac:dyDescent="0.3">
      <c r="A209" s="226">
        <v>46009</v>
      </c>
      <c r="B209" s="227" t="s">
        <v>498</v>
      </c>
      <c r="C209" s="227" t="s">
        <v>303</v>
      </c>
      <c r="D209" s="228">
        <v>1355</v>
      </c>
      <c r="E209" s="228">
        <v>745.25</v>
      </c>
      <c r="F209" s="228">
        <v>747.75</v>
      </c>
      <c r="G209" s="228">
        <v>-2.5</v>
      </c>
      <c r="H209" s="229">
        <v>-3.3E-3</v>
      </c>
      <c r="I209" s="228">
        <v>744.4</v>
      </c>
      <c r="J209" s="228">
        <v>746.3</v>
      </c>
      <c r="K209" s="228">
        <v>-1.9</v>
      </c>
      <c r="L209" s="229">
        <v>-2.5000000000000001E-3</v>
      </c>
      <c r="M209" s="228">
        <v>745.25</v>
      </c>
      <c r="N209" s="228">
        <v>747.75</v>
      </c>
      <c r="O209" s="228">
        <v>-2.5</v>
      </c>
      <c r="P209" s="229">
        <v>-3.3E-3</v>
      </c>
      <c r="Q209" s="228">
        <v>750</v>
      </c>
      <c r="R209" s="228">
        <v>752.45</v>
      </c>
      <c r="S209" s="228">
        <v>-2.4500000000000002</v>
      </c>
      <c r="T209" s="229">
        <v>-3.3E-3</v>
      </c>
      <c r="U209" s="228">
        <v>755.7</v>
      </c>
      <c r="V209" s="228">
        <v>755.45</v>
      </c>
      <c r="W209" s="228">
        <v>0.25</v>
      </c>
      <c r="X209" s="229">
        <v>2.9999999999999997E-4</v>
      </c>
      <c r="Y209" s="228">
        <v>0.85</v>
      </c>
      <c r="Z209" s="228">
        <v>1.45</v>
      </c>
      <c r="AA209" s="228">
        <v>-0.6</v>
      </c>
      <c r="AB209" s="229">
        <v>1.1000000000000001E-3</v>
      </c>
      <c r="AC209" s="228">
        <v>0.85</v>
      </c>
      <c r="AD209" s="228">
        <v>1.45</v>
      </c>
      <c r="AE209" s="228">
        <v>-0.6</v>
      </c>
      <c r="AF209" s="229">
        <v>1.1000000000000001E-3</v>
      </c>
      <c r="AG209" s="228">
        <v>5.6</v>
      </c>
      <c r="AH209" s="228">
        <v>6.15</v>
      </c>
      <c r="AI209" s="228">
        <v>-0.55000000000000004</v>
      </c>
      <c r="AJ209" s="229">
        <v>7.4999999999999997E-3</v>
      </c>
      <c r="AK209" s="228">
        <v>11.3</v>
      </c>
      <c r="AL209" s="228">
        <v>9.15</v>
      </c>
      <c r="AM209" s="228">
        <v>2.15</v>
      </c>
      <c r="AN209" s="229">
        <v>1.52E-2</v>
      </c>
      <c r="AO209" s="228">
        <v>743.56</v>
      </c>
      <c r="AP209" s="228">
        <v>748.77</v>
      </c>
      <c r="AQ209" s="228">
        <v>0</v>
      </c>
      <c r="AR209" s="230">
        <v>2672060</v>
      </c>
      <c r="AS209" s="230">
        <v>2247945</v>
      </c>
      <c r="AT209" s="230">
        <v>424115</v>
      </c>
      <c r="AU209" s="229">
        <v>0.18870000000000001</v>
      </c>
      <c r="AV209" s="230">
        <v>2191035</v>
      </c>
      <c r="AW209" s="230">
        <v>1990495</v>
      </c>
      <c r="AX209" s="230">
        <v>200540</v>
      </c>
      <c r="AY209" s="229">
        <v>0.1007</v>
      </c>
      <c r="AZ209" s="230">
        <v>471540</v>
      </c>
      <c r="BA209" s="230">
        <v>247965</v>
      </c>
      <c r="BB209" s="230">
        <v>223575</v>
      </c>
      <c r="BC209" s="229">
        <v>0.90159999999999996</v>
      </c>
      <c r="BD209" s="230">
        <v>9485</v>
      </c>
      <c r="BE209" s="230">
        <v>9485</v>
      </c>
      <c r="BF209" s="228">
        <v>0</v>
      </c>
      <c r="BG209" s="229">
        <v>0</v>
      </c>
      <c r="BH209" s="230">
        <v>6655760</v>
      </c>
      <c r="BI209" s="230">
        <v>6933535</v>
      </c>
      <c r="BJ209" s="230">
        <v>-277775</v>
      </c>
      <c r="BK209" s="229">
        <v>-4.0099999999999997E-2</v>
      </c>
      <c r="BL209" s="230">
        <v>2779105</v>
      </c>
      <c r="BM209" s="230">
        <v>2654445</v>
      </c>
      <c r="BN209" s="230">
        <v>124660</v>
      </c>
      <c r="BO209" s="229">
        <v>4.7E-2</v>
      </c>
      <c r="BP209" s="230">
        <v>12106925</v>
      </c>
      <c r="BQ209" s="230">
        <v>11835925</v>
      </c>
      <c r="BR209" s="230">
        <v>271000</v>
      </c>
      <c r="BS209" s="229">
        <v>2.29E-2</v>
      </c>
      <c r="BT209" s="230">
        <v>755781</v>
      </c>
      <c r="BU209" s="230">
        <v>1718891</v>
      </c>
      <c r="BV209" s="230">
        <v>-963110</v>
      </c>
      <c r="BW209" s="229">
        <v>-0.56030000000000002</v>
      </c>
      <c r="BX209" s="230">
        <v>35395310</v>
      </c>
      <c r="BY209" s="230">
        <v>35212385</v>
      </c>
      <c r="BZ209" s="230">
        <v>182925</v>
      </c>
      <c r="CA209" s="229">
        <v>5.1999999999999998E-3</v>
      </c>
      <c r="CB209" s="230">
        <v>34377705</v>
      </c>
      <c r="CC209" s="230">
        <v>34407515</v>
      </c>
      <c r="CD209" s="230">
        <v>-29810</v>
      </c>
      <c r="CE209" s="229">
        <v>-8.9999999999999998E-4</v>
      </c>
      <c r="CF209" s="230">
        <v>928175</v>
      </c>
      <c r="CG209" s="230">
        <v>719505</v>
      </c>
      <c r="CH209" s="230">
        <v>208670</v>
      </c>
      <c r="CI209" s="229">
        <v>0.28999999999999998</v>
      </c>
      <c r="CJ209" s="230">
        <v>89430</v>
      </c>
      <c r="CK209" s="230">
        <v>85365</v>
      </c>
      <c r="CL209" s="230">
        <v>4065</v>
      </c>
      <c r="CM209" s="229">
        <v>4.7600000000000003E-2</v>
      </c>
      <c r="CN209" s="230">
        <v>10089330</v>
      </c>
      <c r="CO209" s="230">
        <v>9970090</v>
      </c>
      <c r="CP209" s="230">
        <v>119240</v>
      </c>
      <c r="CQ209" s="229">
        <v>1.2E-2</v>
      </c>
      <c r="CR209" s="230">
        <v>6938955</v>
      </c>
      <c r="CS209" s="230">
        <v>6856300</v>
      </c>
      <c r="CT209" s="230">
        <v>82655</v>
      </c>
      <c r="CU209" s="229">
        <v>1.21E-2</v>
      </c>
      <c r="CV209" s="230">
        <v>52423595</v>
      </c>
      <c r="CW209" s="230">
        <v>52038775</v>
      </c>
      <c r="CX209" s="230">
        <v>384820</v>
      </c>
      <c r="CY209" s="229">
        <v>7.4000000000000003E-3</v>
      </c>
      <c r="CZ209" s="228">
        <v>21.65</v>
      </c>
      <c r="DA209" s="228">
        <v>22.18</v>
      </c>
      <c r="DB209" s="228">
        <v>-0.53</v>
      </c>
      <c r="DC209" s="228">
        <v>-0.53</v>
      </c>
      <c r="DD209" s="228">
        <v>32.020000000000003</v>
      </c>
      <c r="DE209" s="228">
        <v>32.1</v>
      </c>
      <c r="DF209" s="228">
        <v>-10.37</v>
      </c>
      <c r="DG209" s="228">
        <v>-0.08</v>
      </c>
      <c r="DH209" s="228">
        <v>21.53</v>
      </c>
      <c r="DI209" s="228">
        <v>22.14</v>
      </c>
      <c r="DJ209" s="228">
        <v>-0.61</v>
      </c>
      <c r="DK209" s="228">
        <v>-0.61</v>
      </c>
      <c r="DL209" s="228">
        <v>21.92</v>
      </c>
      <c r="DM209" s="228">
        <v>22.29</v>
      </c>
      <c r="DN209" s="228">
        <v>-0.37</v>
      </c>
      <c r="DO209" s="228">
        <v>-0.37</v>
      </c>
      <c r="DP209" s="228">
        <v>0.69</v>
      </c>
      <c r="DQ209" s="228">
        <v>0.69</v>
      </c>
      <c r="DR209" s="228">
        <v>0</v>
      </c>
      <c r="DS209" s="229">
        <v>0</v>
      </c>
      <c r="DT209" s="228">
        <v>770</v>
      </c>
      <c r="DU209" s="228">
        <v>700</v>
      </c>
      <c r="DV209" s="228">
        <v>0.42</v>
      </c>
      <c r="DW209" s="228">
        <v>0.38</v>
      </c>
      <c r="DX209" s="228">
        <v>0.04</v>
      </c>
      <c r="DY209" s="229">
        <v>0.1053</v>
      </c>
      <c r="DZ209" s="229">
        <v>2.87E-2</v>
      </c>
      <c r="EA209" s="230">
        <v>804870</v>
      </c>
      <c r="EB209" s="229">
        <v>6.4000000000000003E-3</v>
      </c>
      <c r="EC209" s="229">
        <v>2.87E-2</v>
      </c>
      <c r="ED209" s="228">
        <v>5.21</v>
      </c>
      <c r="EE209" s="229">
        <v>7.0000000000000001E-3</v>
      </c>
      <c r="EF209" s="230">
        <v>439594</v>
      </c>
      <c r="EG209" s="230">
        <v>973025</v>
      </c>
      <c r="EH209" s="229">
        <v>-0.54820000000000002</v>
      </c>
      <c r="EI209" s="229">
        <v>0.58160000000000001</v>
      </c>
      <c r="EJ209" s="231">
        <v>51277.53</v>
      </c>
      <c r="EK209" s="231">
        <v>20455.41</v>
      </c>
      <c r="EL209" s="231">
        <v>19893.84</v>
      </c>
      <c r="EM209" s="231">
        <v>2879</v>
      </c>
      <c r="EN209" s="231">
        <v>91626.78</v>
      </c>
      <c r="EO209" s="231">
        <v>90365.119999999995</v>
      </c>
      <c r="EP209" s="231">
        <v>1261.6600000000001</v>
      </c>
      <c r="EQ209" s="229">
        <v>1.4E-2</v>
      </c>
      <c r="ER209" s="231">
        <v>78002</v>
      </c>
      <c r="ES209" s="231">
        <v>50299</v>
      </c>
      <c r="ET209" s="231">
        <v>263837</v>
      </c>
      <c r="EU209" s="231">
        <v>82588393</v>
      </c>
      <c r="EV209" s="231">
        <v>392138</v>
      </c>
      <c r="EW209" s="231">
        <v>390242</v>
      </c>
      <c r="EX209" s="231">
        <v>1896</v>
      </c>
      <c r="EY209" s="229">
        <v>4.8999999999999998E-3</v>
      </c>
      <c r="EZ209" s="229">
        <v>0.63480000000000003</v>
      </c>
      <c r="FA209" s="227" t="s">
        <v>567</v>
      </c>
      <c r="FB209" s="161">
        <f t="shared" si="5"/>
        <v>0</v>
      </c>
    </row>
    <row r="210" spans="1:158" ht="17.25" thickBot="1" x14ac:dyDescent="0.3">
      <c r="A210" s="226">
        <v>46009</v>
      </c>
      <c r="B210" s="227" t="s">
        <v>168</v>
      </c>
      <c r="C210" s="227" t="s">
        <v>586</v>
      </c>
      <c r="D210" s="228">
        <v>1025</v>
      </c>
      <c r="E210" s="228">
        <v>474.6</v>
      </c>
      <c r="F210" s="228">
        <v>471.95</v>
      </c>
      <c r="G210" s="228">
        <v>2.65</v>
      </c>
      <c r="H210" s="229">
        <v>5.5999999999999999E-3</v>
      </c>
      <c r="I210" s="228">
        <v>473.6</v>
      </c>
      <c r="J210" s="228">
        <v>470.85</v>
      </c>
      <c r="K210" s="228">
        <v>2.75</v>
      </c>
      <c r="L210" s="229">
        <v>5.7999999999999996E-3</v>
      </c>
      <c r="M210" s="228">
        <v>474.6</v>
      </c>
      <c r="N210" s="228">
        <v>471.95</v>
      </c>
      <c r="O210" s="228">
        <v>2.65</v>
      </c>
      <c r="P210" s="229">
        <v>5.5999999999999999E-3</v>
      </c>
      <c r="Q210" s="228">
        <v>477.65</v>
      </c>
      <c r="R210" s="228">
        <v>474.25</v>
      </c>
      <c r="S210" s="228">
        <v>3.4</v>
      </c>
      <c r="T210" s="229">
        <v>7.1999999999999998E-3</v>
      </c>
      <c r="U210" s="228">
        <v>480.55</v>
      </c>
      <c r="V210" s="228">
        <v>476.65</v>
      </c>
      <c r="W210" s="228">
        <v>3.9</v>
      </c>
      <c r="X210" s="229">
        <v>8.2000000000000007E-3</v>
      </c>
      <c r="Y210" s="228">
        <v>1</v>
      </c>
      <c r="Z210" s="228">
        <v>1.1000000000000001</v>
      </c>
      <c r="AA210" s="228">
        <v>-0.1</v>
      </c>
      <c r="AB210" s="229">
        <v>2.0999999999999999E-3</v>
      </c>
      <c r="AC210" s="228">
        <v>1</v>
      </c>
      <c r="AD210" s="228">
        <v>1.1000000000000001</v>
      </c>
      <c r="AE210" s="228">
        <v>-0.1</v>
      </c>
      <c r="AF210" s="229">
        <v>2.0999999999999999E-3</v>
      </c>
      <c r="AG210" s="228">
        <v>4.05</v>
      </c>
      <c r="AH210" s="228">
        <v>3.4</v>
      </c>
      <c r="AI210" s="228">
        <v>0.65</v>
      </c>
      <c r="AJ210" s="229">
        <v>8.6E-3</v>
      </c>
      <c r="AK210" s="228">
        <v>6.95</v>
      </c>
      <c r="AL210" s="228">
        <v>5.8</v>
      </c>
      <c r="AM210" s="228">
        <v>1.1499999999999999</v>
      </c>
      <c r="AN210" s="229">
        <v>1.47E-2</v>
      </c>
      <c r="AO210" s="228">
        <v>470.43</v>
      </c>
      <c r="AP210" s="228">
        <v>473.62</v>
      </c>
      <c r="AQ210" s="228">
        <v>0</v>
      </c>
      <c r="AR210" s="230">
        <v>6214575</v>
      </c>
      <c r="AS210" s="230">
        <v>5792275</v>
      </c>
      <c r="AT210" s="230">
        <v>422300</v>
      </c>
      <c r="AU210" s="229">
        <v>7.2900000000000006E-2</v>
      </c>
      <c r="AV210" s="230">
        <v>5277725</v>
      </c>
      <c r="AW210" s="230">
        <v>5203925</v>
      </c>
      <c r="AX210" s="230">
        <v>73800</v>
      </c>
      <c r="AY210" s="229">
        <v>1.4200000000000001E-2</v>
      </c>
      <c r="AZ210" s="230">
        <v>890725</v>
      </c>
      <c r="BA210" s="230">
        <v>556575</v>
      </c>
      <c r="BB210" s="230">
        <v>334150</v>
      </c>
      <c r="BC210" s="229">
        <v>0.60040000000000004</v>
      </c>
      <c r="BD210" s="230">
        <v>46125</v>
      </c>
      <c r="BE210" s="230">
        <v>31775</v>
      </c>
      <c r="BF210" s="230">
        <v>14350</v>
      </c>
      <c r="BG210" s="229">
        <v>0.4516</v>
      </c>
      <c r="BH210" s="230">
        <v>24896225</v>
      </c>
      <c r="BI210" s="230">
        <v>17799125</v>
      </c>
      <c r="BJ210" s="230">
        <v>7097100</v>
      </c>
      <c r="BK210" s="229">
        <v>0.3987</v>
      </c>
      <c r="BL210" s="230">
        <v>8890850</v>
      </c>
      <c r="BM210" s="230">
        <v>7852525</v>
      </c>
      <c r="BN210" s="230">
        <v>1038325</v>
      </c>
      <c r="BO210" s="229">
        <v>0.13220000000000001</v>
      </c>
      <c r="BP210" s="230">
        <v>40001650</v>
      </c>
      <c r="BQ210" s="230">
        <v>31443925</v>
      </c>
      <c r="BR210" s="230">
        <v>8557725</v>
      </c>
      <c r="BS210" s="229">
        <v>0.2722</v>
      </c>
      <c r="BT210" s="230">
        <v>2899229</v>
      </c>
      <c r="BU210" s="230">
        <v>3565788</v>
      </c>
      <c r="BV210" s="230">
        <v>-666559</v>
      </c>
      <c r="BW210" s="229">
        <v>-0.18690000000000001</v>
      </c>
      <c r="BX210" s="230">
        <v>46891925</v>
      </c>
      <c r="BY210" s="230">
        <v>47049450</v>
      </c>
      <c r="BZ210" s="230">
        <v>-157525</v>
      </c>
      <c r="CA210" s="229">
        <v>-3.3E-3</v>
      </c>
      <c r="CB210" s="230">
        <v>44456300</v>
      </c>
      <c r="CC210" s="230">
        <v>45021075</v>
      </c>
      <c r="CD210" s="230">
        <v>-564775</v>
      </c>
      <c r="CE210" s="229">
        <v>-1.2500000000000001E-2</v>
      </c>
      <c r="CF210" s="230">
        <v>2281500</v>
      </c>
      <c r="CG210" s="230">
        <v>1874250</v>
      </c>
      <c r="CH210" s="230">
        <v>407250</v>
      </c>
      <c r="CI210" s="229">
        <v>0.21729999999999999</v>
      </c>
      <c r="CJ210" s="230">
        <v>154125</v>
      </c>
      <c r="CK210" s="230">
        <v>154125</v>
      </c>
      <c r="CL210" s="228">
        <v>0</v>
      </c>
      <c r="CM210" s="229">
        <v>0</v>
      </c>
      <c r="CN210" s="230">
        <v>20692900</v>
      </c>
      <c r="CO210" s="230">
        <v>24848975</v>
      </c>
      <c r="CP210" s="230">
        <v>-4156075</v>
      </c>
      <c r="CQ210" s="229">
        <v>-0.1673</v>
      </c>
      <c r="CR210" s="230">
        <v>10224150</v>
      </c>
      <c r="CS210" s="230">
        <v>10497500</v>
      </c>
      <c r="CT210" s="230">
        <v>-273350</v>
      </c>
      <c r="CU210" s="229">
        <v>-2.5999999999999999E-2</v>
      </c>
      <c r="CV210" s="230">
        <v>77808975</v>
      </c>
      <c r="CW210" s="230">
        <v>82395925</v>
      </c>
      <c r="CX210" s="230">
        <v>-4586950</v>
      </c>
      <c r="CY210" s="229">
        <v>-5.57E-2</v>
      </c>
      <c r="CZ210" s="228">
        <v>24.39</v>
      </c>
      <c r="DA210" s="228">
        <v>27.34</v>
      </c>
      <c r="DB210" s="228">
        <v>-2.95</v>
      </c>
      <c r="DC210" s="228">
        <v>-2.95</v>
      </c>
      <c r="DD210" s="228">
        <v>37.74</v>
      </c>
      <c r="DE210" s="228">
        <v>37.83</v>
      </c>
      <c r="DF210" s="228">
        <v>-13.35</v>
      </c>
      <c r="DG210" s="228">
        <v>-0.09</v>
      </c>
      <c r="DH210" s="228">
        <v>24.5</v>
      </c>
      <c r="DI210" s="228">
        <v>27.84</v>
      </c>
      <c r="DJ210" s="228">
        <v>-3.34</v>
      </c>
      <c r="DK210" s="228">
        <v>-3.34</v>
      </c>
      <c r="DL210" s="228">
        <v>24.06</v>
      </c>
      <c r="DM210" s="228">
        <v>26.21</v>
      </c>
      <c r="DN210" s="228">
        <v>-2.15</v>
      </c>
      <c r="DO210" s="228">
        <v>-2.15</v>
      </c>
      <c r="DP210" s="228">
        <v>0.49</v>
      </c>
      <c r="DQ210" s="228">
        <v>0.42</v>
      </c>
      <c r="DR210" s="228">
        <v>7.0000000000000007E-2</v>
      </c>
      <c r="DS210" s="229">
        <v>0.16669999999999999</v>
      </c>
      <c r="DT210" s="228">
        <v>500</v>
      </c>
      <c r="DU210" s="228">
        <v>450</v>
      </c>
      <c r="DV210" s="228">
        <v>0.36</v>
      </c>
      <c r="DW210" s="228">
        <v>0.44</v>
      </c>
      <c r="DX210" s="228">
        <v>-0.08</v>
      </c>
      <c r="DY210" s="229">
        <v>-0.18179999999999999</v>
      </c>
      <c r="DZ210" s="229">
        <v>5.1900000000000002E-2</v>
      </c>
      <c r="EA210" s="230">
        <v>2028375</v>
      </c>
      <c r="EB210" s="229">
        <v>6.4000000000000003E-3</v>
      </c>
      <c r="EC210" s="229">
        <v>5.1900000000000002E-2</v>
      </c>
      <c r="ED210" s="228">
        <v>3.19</v>
      </c>
      <c r="EE210" s="229">
        <v>6.7999999999999996E-3</v>
      </c>
      <c r="EF210" s="230">
        <v>1298954</v>
      </c>
      <c r="EG210" s="230">
        <v>1802539</v>
      </c>
      <c r="EH210" s="229">
        <v>-0.27939999999999998</v>
      </c>
      <c r="EI210" s="229">
        <v>0.44800000000000001</v>
      </c>
      <c r="EJ210" s="231">
        <v>123623.58</v>
      </c>
      <c r="EK210" s="231">
        <v>41734.660000000003</v>
      </c>
      <c r="EL210" s="231">
        <v>29699.65</v>
      </c>
      <c r="EM210" s="231">
        <v>5666</v>
      </c>
      <c r="EN210" s="231">
        <v>195057.89</v>
      </c>
      <c r="EO210" s="231">
        <v>153410.64000000001</v>
      </c>
      <c r="EP210" s="231">
        <v>41647.25</v>
      </c>
      <c r="EQ210" s="229">
        <v>0.27150000000000002</v>
      </c>
      <c r="ER210" s="231">
        <v>102546</v>
      </c>
      <c r="ES210" s="231">
        <v>46711</v>
      </c>
      <c r="ET210" s="231">
        <v>222628</v>
      </c>
      <c r="EU210" s="231">
        <v>203804339</v>
      </c>
      <c r="EV210" s="231">
        <v>371885</v>
      </c>
      <c r="EW210" s="231">
        <v>393637</v>
      </c>
      <c r="EX210" s="231">
        <v>-21752</v>
      </c>
      <c r="EY210" s="229">
        <v>-5.5300000000000002E-2</v>
      </c>
      <c r="EZ210" s="229">
        <v>0.38179999999999997</v>
      </c>
      <c r="FA210" s="227" t="s">
        <v>556</v>
      </c>
      <c r="FB210" s="161">
        <f t="shared" si="5"/>
        <v>0</v>
      </c>
    </row>
    <row r="211" spans="1:158" ht="17.25" thickBot="1" x14ac:dyDescent="0.3">
      <c r="A211" s="226">
        <v>46009</v>
      </c>
      <c r="B211" s="227" t="s">
        <v>227</v>
      </c>
      <c r="C211" s="227" t="s">
        <v>304</v>
      </c>
      <c r="D211" s="228">
        <v>1150</v>
      </c>
      <c r="E211" s="228">
        <v>579.35</v>
      </c>
      <c r="F211" s="228">
        <v>570.1</v>
      </c>
      <c r="G211" s="228">
        <v>9.25</v>
      </c>
      <c r="H211" s="229">
        <v>1.6199999999999999E-2</v>
      </c>
      <c r="I211" s="228">
        <v>579.15</v>
      </c>
      <c r="J211" s="228">
        <v>569.79999999999995</v>
      </c>
      <c r="K211" s="228">
        <v>9.35</v>
      </c>
      <c r="L211" s="229">
        <v>1.6400000000000001E-2</v>
      </c>
      <c r="M211" s="228">
        <v>579.35</v>
      </c>
      <c r="N211" s="228">
        <v>570.1</v>
      </c>
      <c r="O211" s="228">
        <v>9.25</v>
      </c>
      <c r="P211" s="229">
        <v>1.6199999999999999E-2</v>
      </c>
      <c r="Q211" s="228">
        <v>582.1</v>
      </c>
      <c r="R211" s="228">
        <v>572.6</v>
      </c>
      <c r="S211" s="228">
        <v>9.5</v>
      </c>
      <c r="T211" s="229">
        <v>1.66E-2</v>
      </c>
      <c r="U211" s="228">
        <v>582.9</v>
      </c>
      <c r="V211" s="228">
        <v>573.75</v>
      </c>
      <c r="W211" s="228">
        <v>9.15</v>
      </c>
      <c r="X211" s="229">
        <v>1.5900000000000001E-2</v>
      </c>
      <c r="Y211" s="228">
        <v>0.2</v>
      </c>
      <c r="Z211" s="228">
        <v>0.3</v>
      </c>
      <c r="AA211" s="228">
        <v>-0.1</v>
      </c>
      <c r="AB211" s="229">
        <v>2.9999999999999997E-4</v>
      </c>
      <c r="AC211" s="228">
        <v>0.2</v>
      </c>
      <c r="AD211" s="228">
        <v>0.3</v>
      </c>
      <c r="AE211" s="228">
        <v>-0.1</v>
      </c>
      <c r="AF211" s="229">
        <v>2.9999999999999997E-4</v>
      </c>
      <c r="AG211" s="228">
        <v>2.95</v>
      </c>
      <c r="AH211" s="228">
        <v>2.8</v>
      </c>
      <c r="AI211" s="228">
        <v>0.15</v>
      </c>
      <c r="AJ211" s="229">
        <v>5.1000000000000004E-3</v>
      </c>
      <c r="AK211" s="228">
        <v>3.75</v>
      </c>
      <c r="AL211" s="228">
        <v>3.95</v>
      </c>
      <c r="AM211" s="228">
        <v>-0.2</v>
      </c>
      <c r="AN211" s="229">
        <v>6.4999999999999997E-3</v>
      </c>
      <c r="AO211" s="228">
        <v>577</v>
      </c>
      <c r="AP211" s="228">
        <v>578.82000000000005</v>
      </c>
      <c r="AQ211" s="228">
        <v>0</v>
      </c>
      <c r="AR211" s="230">
        <v>23969450</v>
      </c>
      <c r="AS211" s="230">
        <v>35628150</v>
      </c>
      <c r="AT211" s="230">
        <v>-11658700</v>
      </c>
      <c r="AU211" s="229">
        <v>-0.32719999999999999</v>
      </c>
      <c r="AV211" s="230">
        <v>19377500</v>
      </c>
      <c r="AW211" s="230">
        <v>29628600</v>
      </c>
      <c r="AX211" s="230">
        <v>-10251100</v>
      </c>
      <c r="AY211" s="229">
        <v>-0.34599999999999997</v>
      </c>
      <c r="AZ211" s="230">
        <v>3959450</v>
      </c>
      <c r="BA211" s="230">
        <v>5521150</v>
      </c>
      <c r="BB211" s="230">
        <v>-1561700</v>
      </c>
      <c r="BC211" s="229">
        <v>-0.28289999999999998</v>
      </c>
      <c r="BD211" s="230">
        <v>632500</v>
      </c>
      <c r="BE211" s="230">
        <v>478400</v>
      </c>
      <c r="BF211" s="230">
        <v>154100</v>
      </c>
      <c r="BG211" s="229">
        <v>0.3221</v>
      </c>
      <c r="BH211" s="230">
        <v>109879050</v>
      </c>
      <c r="BI211" s="230">
        <v>165439000</v>
      </c>
      <c r="BJ211" s="230">
        <v>-55559950</v>
      </c>
      <c r="BK211" s="229">
        <v>-0.33579999999999999</v>
      </c>
      <c r="BL211" s="230">
        <v>66187100</v>
      </c>
      <c r="BM211" s="230">
        <v>86289100</v>
      </c>
      <c r="BN211" s="230">
        <v>-20102000</v>
      </c>
      <c r="BO211" s="229">
        <v>-0.23300000000000001</v>
      </c>
      <c r="BP211" s="230">
        <v>200035600</v>
      </c>
      <c r="BQ211" s="230">
        <v>287356250</v>
      </c>
      <c r="BR211" s="230">
        <v>-87320650</v>
      </c>
      <c r="BS211" s="229">
        <v>-0.3039</v>
      </c>
      <c r="BT211" s="230">
        <v>15654512</v>
      </c>
      <c r="BU211" s="230">
        <v>31591329</v>
      </c>
      <c r="BV211" s="230">
        <v>-15936817</v>
      </c>
      <c r="BW211" s="229">
        <v>-0.50449999999999995</v>
      </c>
      <c r="BX211" s="230">
        <v>107859650</v>
      </c>
      <c r="BY211" s="230">
        <v>107385850</v>
      </c>
      <c r="BZ211" s="230">
        <v>473800</v>
      </c>
      <c r="CA211" s="229">
        <v>4.4000000000000003E-3</v>
      </c>
      <c r="CB211" s="230">
        <v>100849250</v>
      </c>
      <c r="CC211" s="230">
        <v>101035550</v>
      </c>
      <c r="CD211" s="230">
        <v>-186300</v>
      </c>
      <c r="CE211" s="229">
        <v>-1.8E-3</v>
      </c>
      <c r="CF211" s="230">
        <v>6215750</v>
      </c>
      <c r="CG211" s="230">
        <v>5667200</v>
      </c>
      <c r="CH211" s="230">
        <v>548550</v>
      </c>
      <c r="CI211" s="229">
        <v>9.6799999999999997E-2</v>
      </c>
      <c r="CJ211" s="230">
        <v>794650</v>
      </c>
      <c r="CK211" s="230">
        <v>683100</v>
      </c>
      <c r="CL211" s="230">
        <v>111550</v>
      </c>
      <c r="CM211" s="229">
        <v>0.1633</v>
      </c>
      <c r="CN211" s="230">
        <v>53608400</v>
      </c>
      <c r="CO211" s="230">
        <v>56289050</v>
      </c>
      <c r="CP211" s="230">
        <v>-2680650</v>
      </c>
      <c r="CQ211" s="229">
        <v>-4.7600000000000003E-2</v>
      </c>
      <c r="CR211" s="230">
        <v>55003350</v>
      </c>
      <c r="CS211" s="230">
        <v>50876000</v>
      </c>
      <c r="CT211" s="230">
        <v>4127350</v>
      </c>
      <c r="CU211" s="229">
        <v>8.1100000000000005E-2</v>
      </c>
      <c r="CV211" s="230">
        <v>216471400</v>
      </c>
      <c r="CW211" s="230">
        <v>214550900</v>
      </c>
      <c r="CX211" s="230">
        <v>1920500</v>
      </c>
      <c r="CY211" s="229">
        <v>8.9999999999999993E-3</v>
      </c>
      <c r="CZ211" s="228">
        <v>25.39</v>
      </c>
      <c r="DA211" s="228">
        <v>27.66</v>
      </c>
      <c r="DB211" s="228">
        <v>-2.27</v>
      </c>
      <c r="DC211" s="228">
        <v>-2.27</v>
      </c>
      <c r="DD211" s="228">
        <v>37.090000000000003</v>
      </c>
      <c r="DE211" s="228">
        <v>37.119999999999997</v>
      </c>
      <c r="DF211" s="228">
        <v>-11.7</v>
      </c>
      <c r="DG211" s="228">
        <v>-0.03</v>
      </c>
      <c r="DH211" s="228">
        <v>24.44</v>
      </c>
      <c r="DI211" s="228">
        <v>27.52</v>
      </c>
      <c r="DJ211" s="228">
        <v>-3.08</v>
      </c>
      <c r="DK211" s="228">
        <v>-3.08</v>
      </c>
      <c r="DL211" s="228">
        <v>26.98</v>
      </c>
      <c r="DM211" s="228">
        <v>27.94</v>
      </c>
      <c r="DN211" s="228">
        <v>-0.96</v>
      </c>
      <c r="DO211" s="228">
        <v>-0.96</v>
      </c>
      <c r="DP211" s="228">
        <v>1.03</v>
      </c>
      <c r="DQ211" s="228">
        <v>0.9</v>
      </c>
      <c r="DR211" s="228">
        <v>0.13</v>
      </c>
      <c r="DS211" s="229">
        <v>0.1444</v>
      </c>
      <c r="DT211" s="228">
        <v>600</v>
      </c>
      <c r="DU211" s="228">
        <v>550</v>
      </c>
      <c r="DV211" s="228">
        <v>0.6</v>
      </c>
      <c r="DW211" s="228">
        <v>0.52</v>
      </c>
      <c r="DX211" s="228">
        <v>0.08</v>
      </c>
      <c r="DY211" s="229">
        <v>0.15379999999999999</v>
      </c>
      <c r="DZ211" s="229">
        <v>6.5000000000000002E-2</v>
      </c>
      <c r="EA211" s="230">
        <v>6350300</v>
      </c>
      <c r="EB211" s="229">
        <v>4.7000000000000002E-3</v>
      </c>
      <c r="EC211" s="229">
        <v>6.5000000000000002E-2</v>
      </c>
      <c r="ED211" s="228">
        <v>1.82</v>
      </c>
      <c r="EE211" s="229">
        <v>3.2000000000000002E-3</v>
      </c>
      <c r="EF211" s="230">
        <v>6861399</v>
      </c>
      <c r="EG211" s="230">
        <v>12338576</v>
      </c>
      <c r="EH211" s="229">
        <v>-0.44390000000000002</v>
      </c>
      <c r="EI211" s="229">
        <v>0.43830000000000002</v>
      </c>
      <c r="EJ211" s="231">
        <v>653586.14</v>
      </c>
      <c r="EK211" s="231">
        <v>371010.16</v>
      </c>
      <c r="EL211" s="231">
        <v>138392.82</v>
      </c>
      <c r="EM211" s="231">
        <v>29261</v>
      </c>
      <c r="EN211" s="231">
        <v>1162989.1200000001</v>
      </c>
      <c r="EO211" s="231">
        <v>1671434.41</v>
      </c>
      <c r="EP211" s="231">
        <v>-508445.29</v>
      </c>
      <c r="EQ211" s="229">
        <v>-0.30420000000000003</v>
      </c>
      <c r="ER211" s="231">
        <v>306038</v>
      </c>
      <c r="ES211" s="231">
        <v>292204</v>
      </c>
      <c r="ET211" s="231">
        <v>625084</v>
      </c>
      <c r="EU211" s="231">
        <v>255091106</v>
      </c>
      <c r="EV211" s="231">
        <v>1223325</v>
      </c>
      <c r="EW211" s="231">
        <v>1200932</v>
      </c>
      <c r="EX211" s="231">
        <v>22393</v>
      </c>
      <c r="EY211" s="229">
        <v>1.8599999999999998E-2</v>
      </c>
      <c r="EZ211" s="229">
        <v>0.84860000000000002</v>
      </c>
      <c r="FA211" s="227" t="s">
        <v>555</v>
      </c>
      <c r="FB211" s="161">
        <f t="shared" si="5"/>
        <v>0</v>
      </c>
    </row>
    <row r="212" spans="1:158" ht="17.25" thickBot="1" x14ac:dyDescent="0.3">
      <c r="A212" s="226">
        <v>46009</v>
      </c>
      <c r="B212" s="227" t="s">
        <v>184</v>
      </c>
      <c r="C212" s="227" t="s">
        <v>305</v>
      </c>
      <c r="D212" s="228">
        <v>375</v>
      </c>
      <c r="E212" s="231">
        <v>1404.6</v>
      </c>
      <c r="F212" s="231">
        <v>1383.1</v>
      </c>
      <c r="G212" s="228">
        <v>21.5</v>
      </c>
      <c r="H212" s="229">
        <v>1.55E-2</v>
      </c>
      <c r="I212" s="231">
        <v>1401.7</v>
      </c>
      <c r="J212" s="231">
        <v>1380.5</v>
      </c>
      <c r="K212" s="228">
        <v>21.2</v>
      </c>
      <c r="L212" s="229">
        <v>1.54E-2</v>
      </c>
      <c r="M212" s="231">
        <v>1404.6</v>
      </c>
      <c r="N212" s="231">
        <v>1383.1</v>
      </c>
      <c r="O212" s="228">
        <v>21.5</v>
      </c>
      <c r="P212" s="229">
        <v>1.55E-2</v>
      </c>
      <c r="Q212" s="231">
        <v>1397.8</v>
      </c>
      <c r="R212" s="231">
        <v>1370.4</v>
      </c>
      <c r="S212" s="228">
        <v>27.4</v>
      </c>
      <c r="T212" s="229">
        <v>0.02</v>
      </c>
      <c r="U212" s="231">
        <v>1392.6</v>
      </c>
      <c r="V212" s="231">
        <v>1365.4</v>
      </c>
      <c r="W212" s="228">
        <v>27.2</v>
      </c>
      <c r="X212" s="229">
        <v>1.9900000000000001E-2</v>
      </c>
      <c r="Y212" s="228">
        <v>2.9</v>
      </c>
      <c r="Z212" s="228">
        <v>2.6</v>
      </c>
      <c r="AA212" s="228">
        <v>0.3</v>
      </c>
      <c r="AB212" s="229">
        <v>2.0999999999999999E-3</v>
      </c>
      <c r="AC212" s="228">
        <v>2.9</v>
      </c>
      <c r="AD212" s="228">
        <v>2.6</v>
      </c>
      <c r="AE212" s="228">
        <v>0.3</v>
      </c>
      <c r="AF212" s="229">
        <v>2.0999999999999999E-3</v>
      </c>
      <c r="AG212" s="228">
        <v>-3.9</v>
      </c>
      <c r="AH212" s="228">
        <v>-10.1</v>
      </c>
      <c r="AI212" s="228">
        <v>6.2</v>
      </c>
      <c r="AJ212" s="229">
        <v>-2.8E-3</v>
      </c>
      <c r="AK212" s="228">
        <v>-9.1</v>
      </c>
      <c r="AL212" s="228">
        <v>-15.1</v>
      </c>
      <c r="AM212" s="228">
        <v>6</v>
      </c>
      <c r="AN212" s="229">
        <v>-6.4999999999999997E-3</v>
      </c>
      <c r="AO212" s="231">
        <v>1406.27</v>
      </c>
      <c r="AP212" s="231">
        <v>1397.18</v>
      </c>
      <c r="AQ212" s="228">
        <v>0</v>
      </c>
      <c r="AR212" s="230">
        <v>4158000</v>
      </c>
      <c r="AS212" s="230">
        <v>1444875</v>
      </c>
      <c r="AT212" s="230">
        <v>2713125</v>
      </c>
      <c r="AU212" s="229">
        <v>1.8777999999999999</v>
      </c>
      <c r="AV212" s="230">
        <v>2863500</v>
      </c>
      <c r="AW212" s="230">
        <v>1150125</v>
      </c>
      <c r="AX212" s="230">
        <v>1713375</v>
      </c>
      <c r="AY212" s="229">
        <v>1.4897</v>
      </c>
      <c r="AZ212" s="230">
        <v>1257000</v>
      </c>
      <c r="BA212" s="230">
        <v>281625</v>
      </c>
      <c r="BB212" s="230">
        <v>975375</v>
      </c>
      <c r="BC212" s="229">
        <v>3.4634</v>
      </c>
      <c r="BD212" s="230">
        <v>37500</v>
      </c>
      <c r="BE212" s="230">
        <v>13125</v>
      </c>
      <c r="BF212" s="230">
        <v>24375</v>
      </c>
      <c r="BG212" s="229">
        <v>1.8571</v>
      </c>
      <c r="BH212" s="230">
        <v>13507875</v>
      </c>
      <c r="BI212" s="230">
        <v>2976375</v>
      </c>
      <c r="BJ212" s="230">
        <v>10531500</v>
      </c>
      <c r="BK212" s="229">
        <v>3.5384000000000002</v>
      </c>
      <c r="BL212" s="230">
        <v>4929000</v>
      </c>
      <c r="BM212" s="230">
        <v>1721625</v>
      </c>
      <c r="BN212" s="230">
        <v>3207375</v>
      </c>
      <c r="BO212" s="229">
        <v>1.863</v>
      </c>
      <c r="BP212" s="230">
        <v>22594875</v>
      </c>
      <c r="BQ212" s="230">
        <v>6142875</v>
      </c>
      <c r="BR212" s="230">
        <v>16452000</v>
      </c>
      <c r="BS212" s="229">
        <v>2.6781999999999999</v>
      </c>
      <c r="BT212" s="230">
        <v>1081011</v>
      </c>
      <c r="BU212" s="230">
        <v>666857</v>
      </c>
      <c r="BV212" s="230">
        <v>414154</v>
      </c>
      <c r="BW212" s="229">
        <v>0.62109999999999999</v>
      </c>
      <c r="BX212" s="230">
        <v>12005250</v>
      </c>
      <c r="BY212" s="230">
        <v>11552250</v>
      </c>
      <c r="BZ212" s="230">
        <v>453000</v>
      </c>
      <c r="CA212" s="229">
        <v>3.9199999999999999E-2</v>
      </c>
      <c r="CB212" s="230">
        <v>9540375</v>
      </c>
      <c r="CC212" s="230">
        <v>9910500</v>
      </c>
      <c r="CD212" s="230">
        <v>-370125</v>
      </c>
      <c r="CE212" s="229">
        <v>-3.73E-2</v>
      </c>
      <c r="CF212" s="230">
        <v>2398125</v>
      </c>
      <c r="CG212" s="230">
        <v>1582875</v>
      </c>
      <c r="CH212" s="230">
        <v>815250</v>
      </c>
      <c r="CI212" s="229">
        <v>0.51500000000000001</v>
      </c>
      <c r="CJ212" s="230">
        <v>66750</v>
      </c>
      <c r="CK212" s="230">
        <v>58875</v>
      </c>
      <c r="CL212" s="230">
        <v>7875</v>
      </c>
      <c r="CM212" s="229">
        <v>0.1338</v>
      </c>
      <c r="CN212" s="230">
        <v>3519375</v>
      </c>
      <c r="CO212" s="230">
        <v>3265875</v>
      </c>
      <c r="CP212" s="230">
        <v>253500</v>
      </c>
      <c r="CQ212" s="229">
        <v>7.7600000000000002E-2</v>
      </c>
      <c r="CR212" s="230">
        <v>2835375</v>
      </c>
      <c r="CS212" s="230">
        <v>2514750</v>
      </c>
      <c r="CT212" s="230">
        <v>320625</v>
      </c>
      <c r="CU212" s="229">
        <v>0.1275</v>
      </c>
      <c r="CV212" s="230">
        <v>18360000</v>
      </c>
      <c r="CW212" s="230">
        <v>17332875</v>
      </c>
      <c r="CX212" s="230">
        <v>1027125</v>
      </c>
      <c r="CY212" s="229">
        <v>5.9299999999999999E-2</v>
      </c>
      <c r="CZ212" s="228">
        <v>23.83</v>
      </c>
      <c r="DA212" s="228">
        <v>23.82</v>
      </c>
      <c r="DB212" s="228">
        <v>0.01</v>
      </c>
      <c r="DC212" s="228">
        <v>0.01</v>
      </c>
      <c r="DD212" s="228">
        <v>36.299999999999997</v>
      </c>
      <c r="DE212" s="228">
        <v>36.33</v>
      </c>
      <c r="DF212" s="228">
        <v>-12.47</v>
      </c>
      <c r="DG212" s="228">
        <v>-0.03</v>
      </c>
      <c r="DH212" s="228">
        <v>23.77</v>
      </c>
      <c r="DI212" s="228">
        <v>23.69</v>
      </c>
      <c r="DJ212" s="228">
        <v>0.08</v>
      </c>
      <c r="DK212" s="228">
        <v>0.08</v>
      </c>
      <c r="DL212" s="228">
        <v>24</v>
      </c>
      <c r="DM212" s="228">
        <v>24.04</v>
      </c>
      <c r="DN212" s="228">
        <v>-0.04</v>
      </c>
      <c r="DO212" s="228">
        <v>-0.04</v>
      </c>
      <c r="DP212" s="228">
        <v>0.81</v>
      </c>
      <c r="DQ212" s="228">
        <v>0.77</v>
      </c>
      <c r="DR212" s="228">
        <v>0.04</v>
      </c>
      <c r="DS212" s="229">
        <v>5.1900000000000002E-2</v>
      </c>
      <c r="DT212" s="231">
        <v>1420</v>
      </c>
      <c r="DU212" s="231">
        <v>1360</v>
      </c>
      <c r="DV212" s="228">
        <v>0.36</v>
      </c>
      <c r="DW212" s="228">
        <v>0.57999999999999996</v>
      </c>
      <c r="DX212" s="228">
        <v>-0.22</v>
      </c>
      <c r="DY212" s="229">
        <v>-0.37930000000000003</v>
      </c>
      <c r="DZ212" s="229">
        <v>0.20530000000000001</v>
      </c>
      <c r="EA212" s="230">
        <v>1641750</v>
      </c>
      <c r="EB212" s="229">
        <v>-4.7999999999999996E-3</v>
      </c>
      <c r="EC212" s="229">
        <v>0.20530000000000001</v>
      </c>
      <c r="ED212" s="228">
        <v>-9.09</v>
      </c>
      <c r="EE212" s="229">
        <v>-6.4999999999999997E-3</v>
      </c>
      <c r="EF212" s="230">
        <v>414432</v>
      </c>
      <c r="EG212" s="230">
        <v>438834</v>
      </c>
      <c r="EH212" s="229">
        <v>-5.5599999999999997E-2</v>
      </c>
      <c r="EI212" s="229">
        <v>0.38340000000000002</v>
      </c>
      <c r="EJ212" s="231">
        <v>194865.29</v>
      </c>
      <c r="EK212" s="231">
        <v>68221.13</v>
      </c>
      <c r="EL212" s="231">
        <v>58353.71</v>
      </c>
      <c r="EM212" s="231">
        <v>3780</v>
      </c>
      <c r="EN212" s="231">
        <v>321440.13</v>
      </c>
      <c r="EO212" s="231">
        <v>86021.15</v>
      </c>
      <c r="EP212" s="231">
        <v>235418.98</v>
      </c>
      <c r="EQ212" s="229">
        <v>2.7368000000000001</v>
      </c>
      <c r="ER212" s="231">
        <v>50197</v>
      </c>
      <c r="ES212" s="231">
        <v>38129</v>
      </c>
      <c r="ET212" s="231">
        <v>168455</v>
      </c>
      <c r="EU212" s="231">
        <v>34594689</v>
      </c>
      <c r="EV212" s="231">
        <v>256781</v>
      </c>
      <c r="EW212" s="231">
        <v>239323</v>
      </c>
      <c r="EX212" s="231">
        <v>17458</v>
      </c>
      <c r="EY212" s="229">
        <v>7.2900000000000006E-2</v>
      </c>
      <c r="EZ212" s="229">
        <v>0.53069999999999995</v>
      </c>
      <c r="FA212" s="227" t="s">
        <v>555</v>
      </c>
      <c r="FB212" s="161">
        <f t="shared" si="5"/>
        <v>0</v>
      </c>
    </row>
    <row r="213" spans="1:158" ht="17.25" thickBot="1" x14ac:dyDescent="0.3">
      <c r="A213" s="226">
        <v>46009</v>
      </c>
      <c r="B213" s="227" t="s">
        <v>221</v>
      </c>
      <c r="C213" s="227" t="s">
        <v>306</v>
      </c>
      <c r="D213" s="228">
        <v>3000</v>
      </c>
      <c r="E213" s="228">
        <v>264.31</v>
      </c>
      <c r="F213" s="228">
        <v>261.27999999999997</v>
      </c>
      <c r="G213" s="228">
        <v>3.03</v>
      </c>
      <c r="H213" s="229">
        <v>1.1599999999999999E-2</v>
      </c>
      <c r="I213" s="228">
        <v>263.85000000000002</v>
      </c>
      <c r="J213" s="228">
        <v>261.14</v>
      </c>
      <c r="K213" s="228">
        <v>2.71</v>
      </c>
      <c r="L213" s="229">
        <v>1.04E-2</v>
      </c>
      <c r="M213" s="228">
        <v>264.31</v>
      </c>
      <c r="N213" s="228">
        <v>261.27999999999997</v>
      </c>
      <c r="O213" s="228">
        <v>3.03</v>
      </c>
      <c r="P213" s="229">
        <v>1.1599999999999999E-2</v>
      </c>
      <c r="Q213" s="228">
        <v>262.86</v>
      </c>
      <c r="R213" s="228">
        <v>260.16000000000003</v>
      </c>
      <c r="S213" s="228">
        <v>2.7</v>
      </c>
      <c r="T213" s="229">
        <v>1.04E-2</v>
      </c>
      <c r="U213" s="228">
        <v>262.35000000000002</v>
      </c>
      <c r="V213" s="228">
        <v>259.56</v>
      </c>
      <c r="W213" s="228">
        <v>2.79</v>
      </c>
      <c r="X213" s="229">
        <v>1.0699999999999999E-2</v>
      </c>
      <c r="Y213" s="228">
        <v>0.46</v>
      </c>
      <c r="Z213" s="228">
        <v>0.14000000000000001</v>
      </c>
      <c r="AA213" s="228">
        <v>0.32</v>
      </c>
      <c r="AB213" s="229">
        <v>1.6999999999999999E-3</v>
      </c>
      <c r="AC213" s="228">
        <v>0.46</v>
      </c>
      <c r="AD213" s="228">
        <v>0.14000000000000001</v>
      </c>
      <c r="AE213" s="228">
        <v>0.32</v>
      </c>
      <c r="AF213" s="229">
        <v>1.6999999999999999E-3</v>
      </c>
      <c r="AG213" s="228">
        <v>-0.99</v>
      </c>
      <c r="AH213" s="228">
        <v>-0.98</v>
      </c>
      <c r="AI213" s="228">
        <v>-0.01</v>
      </c>
      <c r="AJ213" s="229">
        <v>-3.8E-3</v>
      </c>
      <c r="AK213" s="228">
        <v>-1.5</v>
      </c>
      <c r="AL213" s="228">
        <v>-1.58</v>
      </c>
      <c r="AM213" s="228">
        <v>0.08</v>
      </c>
      <c r="AN213" s="229">
        <v>-5.7000000000000002E-3</v>
      </c>
      <c r="AO213" s="228">
        <v>263.88</v>
      </c>
      <c r="AP213" s="228">
        <v>262.41000000000003</v>
      </c>
      <c r="AQ213" s="228">
        <v>0</v>
      </c>
      <c r="AR213" s="230">
        <v>24999000</v>
      </c>
      <c r="AS213" s="230">
        <v>9702000</v>
      </c>
      <c r="AT213" s="230">
        <v>15297000</v>
      </c>
      <c r="AU213" s="229">
        <v>1.5767</v>
      </c>
      <c r="AV213" s="230">
        <v>17454000</v>
      </c>
      <c r="AW213" s="230">
        <v>7356000</v>
      </c>
      <c r="AX213" s="230">
        <v>10098000</v>
      </c>
      <c r="AY213" s="229">
        <v>1.3728</v>
      </c>
      <c r="AZ213" s="230">
        <v>7011000</v>
      </c>
      <c r="BA213" s="230">
        <v>2181000</v>
      </c>
      <c r="BB213" s="230">
        <v>4830000</v>
      </c>
      <c r="BC213" s="229">
        <v>2.2145999999999999</v>
      </c>
      <c r="BD213" s="230">
        <v>534000</v>
      </c>
      <c r="BE213" s="230">
        <v>165000</v>
      </c>
      <c r="BF213" s="230">
        <v>369000</v>
      </c>
      <c r="BG213" s="229">
        <v>2.2364000000000002</v>
      </c>
      <c r="BH213" s="230">
        <v>78183000</v>
      </c>
      <c r="BI213" s="230">
        <v>38085000</v>
      </c>
      <c r="BJ213" s="230">
        <v>40098000</v>
      </c>
      <c r="BK213" s="229">
        <v>1.0528999999999999</v>
      </c>
      <c r="BL213" s="230">
        <v>37779000</v>
      </c>
      <c r="BM213" s="230">
        <v>20313000</v>
      </c>
      <c r="BN213" s="230">
        <v>17466000</v>
      </c>
      <c r="BO213" s="229">
        <v>0.85980000000000001</v>
      </c>
      <c r="BP213" s="230">
        <v>140961000</v>
      </c>
      <c r="BQ213" s="230">
        <v>68100000</v>
      </c>
      <c r="BR213" s="230">
        <v>72861000</v>
      </c>
      <c r="BS213" s="229">
        <v>1.0699000000000001</v>
      </c>
      <c r="BT213" s="230">
        <v>9402637</v>
      </c>
      <c r="BU213" s="230">
        <v>5106624</v>
      </c>
      <c r="BV213" s="230">
        <v>4296013</v>
      </c>
      <c r="BW213" s="229">
        <v>0.84130000000000005</v>
      </c>
      <c r="BX213" s="230">
        <v>120978000</v>
      </c>
      <c r="BY213" s="230">
        <v>120459000</v>
      </c>
      <c r="BZ213" s="230">
        <v>519000</v>
      </c>
      <c r="CA213" s="229">
        <v>4.3E-3</v>
      </c>
      <c r="CB213" s="230">
        <v>110964000</v>
      </c>
      <c r="CC213" s="230">
        <v>112917000</v>
      </c>
      <c r="CD213" s="230">
        <v>-1953000</v>
      </c>
      <c r="CE213" s="229">
        <v>-1.7299999999999999E-2</v>
      </c>
      <c r="CF213" s="230">
        <v>8730000</v>
      </c>
      <c r="CG213" s="230">
        <v>6510000</v>
      </c>
      <c r="CH213" s="230">
        <v>2220000</v>
      </c>
      <c r="CI213" s="229">
        <v>0.34100000000000003</v>
      </c>
      <c r="CJ213" s="230">
        <v>1284000</v>
      </c>
      <c r="CK213" s="230">
        <v>1032000</v>
      </c>
      <c r="CL213" s="230">
        <v>252000</v>
      </c>
      <c r="CM213" s="229">
        <v>0.2442</v>
      </c>
      <c r="CN213" s="230">
        <v>47292000</v>
      </c>
      <c r="CO213" s="230">
        <v>46080000</v>
      </c>
      <c r="CP213" s="230">
        <v>1212000</v>
      </c>
      <c r="CQ213" s="229">
        <v>2.63E-2</v>
      </c>
      <c r="CR213" s="230">
        <v>40464000</v>
      </c>
      <c r="CS213" s="230">
        <v>37353000</v>
      </c>
      <c r="CT213" s="230">
        <v>3111000</v>
      </c>
      <c r="CU213" s="229">
        <v>8.3299999999999999E-2</v>
      </c>
      <c r="CV213" s="230">
        <v>208734000</v>
      </c>
      <c r="CW213" s="230">
        <v>203892000</v>
      </c>
      <c r="CX213" s="230">
        <v>4842000</v>
      </c>
      <c r="CY213" s="229">
        <v>2.3699999999999999E-2</v>
      </c>
      <c r="CZ213" s="228">
        <v>19.059999999999999</v>
      </c>
      <c r="DA213" s="228">
        <v>19.43</v>
      </c>
      <c r="DB213" s="228">
        <v>-0.37</v>
      </c>
      <c r="DC213" s="228">
        <v>-0.37</v>
      </c>
      <c r="DD213" s="228">
        <v>29.53</v>
      </c>
      <c r="DE213" s="228">
        <v>29.56</v>
      </c>
      <c r="DF213" s="228">
        <v>-10.47</v>
      </c>
      <c r="DG213" s="228">
        <v>-0.03</v>
      </c>
      <c r="DH213" s="228">
        <v>18.27</v>
      </c>
      <c r="DI213" s="228">
        <v>19.13</v>
      </c>
      <c r="DJ213" s="228">
        <v>-0.86</v>
      </c>
      <c r="DK213" s="228">
        <v>-0.86</v>
      </c>
      <c r="DL213" s="228">
        <v>20.69</v>
      </c>
      <c r="DM213" s="228">
        <v>20.010000000000002</v>
      </c>
      <c r="DN213" s="228">
        <v>0.68</v>
      </c>
      <c r="DO213" s="228">
        <v>0.68</v>
      </c>
      <c r="DP213" s="228">
        <v>0.86</v>
      </c>
      <c r="DQ213" s="228">
        <v>0.81</v>
      </c>
      <c r="DR213" s="228">
        <v>0.05</v>
      </c>
      <c r="DS213" s="229">
        <v>6.1699999999999998E-2</v>
      </c>
      <c r="DT213" s="228">
        <v>265</v>
      </c>
      <c r="DU213" s="228">
        <v>250</v>
      </c>
      <c r="DV213" s="228">
        <v>0.48</v>
      </c>
      <c r="DW213" s="228">
        <v>0.53</v>
      </c>
      <c r="DX213" s="228">
        <v>-0.05</v>
      </c>
      <c r="DY213" s="229">
        <v>-9.4299999999999995E-2</v>
      </c>
      <c r="DZ213" s="229">
        <v>8.2799999999999999E-2</v>
      </c>
      <c r="EA213" s="230">
        <v>7542000</v>
      </c>
      <c r="EB213" s="229">
        <v>-5.4999999999999997E-3</v>
      </c>
      <c r="EC213" s="229">
        <v>8.2799999999999999E-2</v>
      </c>
      <c r="ED213" s="228">
        <v>-1.47</v>
      </c>
      <c r="EE213" s="229">
        <v>-5.5999999999999999E-3</v>
      </c>
      <c r="EF213" s="230">
        <v>4078240</v>
      </c>
      <c r="EG213" s="230">
        <v>2934437</v>
      </c>
      <c r="EH213" s="229">
        <v>0.38979999999999998</v>
      </c>
      <c r="EI213" s="229">
        <v>0.43369999999999997</v>
      </c>
      <c r="EJ213" s="231">
        <v>210847.69</v>
      </c>
      <c r="EK213" s="231">
        <v>97587.42</v>
      </c>
      <c r="EL213" s="231">
        <v>65852.95</v>
      </c>
      <c r="EM213" s="231">
        <v>3714</v>
      </c>
      <c r="EN213" s="231">
        <v>374288.06</v>
      </c>
      <c r="EO213" s="231">
        <v>179965.75</v>
      </c>
      <c r="EP213" s="231">
        <v>194322.31</v>
      </c>
      <c r="EQ213" s="229">
        <v>1.0798000000000001</v>
      </c>
      <c r="ER213" s="231">
        <v>126021</v>
      </c>
      <c r="ES213" s="231">
        <v>100313</v>
      </c>
      <c r="ET213" s="231">
        <v>319605</v>
      </c>
      <c r="EU213" s="231">
        <v>292948819</v>
      </c>
      <c r="EV213" s="231">
        <v>545939</v>
      </c>
      <c r="EW213" s="231">
        <v>529332</v>
      </c>
      <c r="EX213" s="231">
        <v>16607</v>
      </c>
      <c r="EY213" s="229">
        <v>3.1399999999999997E-2</v>
      </c>
      <c r="EZ213" s="229">
        <v>0.71250000000000002</v>
      </c>
      <c r="FA213" s="227" t="s">
        <v>555</v>
      </c>
      <c r="FB213" s="161">
        <f t="shared" si="5"/>
        <v>0</v>
      </c>
    </row>
    <row r="214" spans="1:158" ht="17.25" thickBot="1" x14ac:dyDescent="0.3">
      <c r="A214" s="226">
        <v>46009</v>
      </c>
      <c r="B214" s="227" t="s">
        <v>172</v>
      </c>
      <c r="C214" s="227" t="s">
        <v>590</v>
      </c>
      <c r="D214" s="228">
        <v>31100</v>
      </c>
      <c r="E214" s="228">
        <v>21.48</v>
      </c>
      <c r="F214" s="228">
        <v>21.57</v>
      </c>
      <c r="G214" s="228">
        <v>-0.09</v>
      </c>
      <c r="H214" s="229">
        <v>-4.1999999999999997E-3</v>
      </c>
      <c r="I214" s="228">
        <v>21.44</v>
      </c>
      <c r="J214" s="228">
        <v>21.56</v>
      </c>
      <c r="K214" s="228">
        <v>-0.12</v>
      </c>
      <c r="L214" s="229">
        <v>-5.5999999999999999E-3</v>
      </c>
      <c r="M214" s="228">
        <v>21.48</v>
      </c>
      <c r="N214" s="228">
        <v>21.57</v>
      </c>
      <c r="O214" s="228">
        <v>-0.09</v>
      </c>
      <c r="P214" s="229">
        <v>-4.1999999999999997E-3</v>
      </c>
      <c r="Q214" s="228">
        <v>21.63</v>
      </c>
      <c r="R214" s="228">
        <v>21.7</v>
      </c>
      <c r="S214" s="228">
        <v>-7.0000000000000007E-2</v>
      </c>
      <c r="T214" s="229">
        <v>-3.2000000000000002E-3</v>
      </c>
      <c r="U214" s="228">
        <v>21.75</v>
      </c>
      <c r="V214" s="228">
        <v>21.83</v>
      </c>
      <c r="W214" s="228">
        <v>-0.08</v>
      </c>
      <c r="X214" s="229">
        <v>-3.7000000000000002E-3</v>
      </c>
      <c r="Y214" s="228">
        <v>0.04</v>
      </c>
      <c r="Z214" s="228">
        <v>0.01</v>
      </c>
      <c r="AA214" s="228">
        <v>0.03</v>
      </c>
      <c r="AB214" s="229">
        <v>1.9E-3</v>
      </c>
      <c r="AC214" s="228">
        <v>0.04</v>
      </c>
      <c r="AD214" s="228">
        <v>0.01</v>
      </c>
      <c r="AE214" s="228">
        <v>0.03</v>
      </c>
      <c r="AF214" s="229">
        <v>1.9E-3</v>
      </c>
      <c r="AG214" s="228">
        <v>0.19</v>
      </c>
      <c r="AH214" s="228">
        <v>0.14000000000000001</v>
      </c>
      <c r="AI214" s="228">
        <v>0.05</v>
      </c>
      <c r="AJ214" s="229">
        <v>8.8999999999999999E-3</v>
      </c>
      <c r="AK214" s="228">
        <v>0.31</v>
      </c>
      <c r="AL214" s="228">
        <v>0.27</v>
      </c>
      <c r="AM214" s="228">
        <v>0.04</v>
      </c>
      <c r="AN214" s="229">
        <v>1.4500000000000001E-2</v>
      </c>
      <c r="AO214" s="228">
        <v>21.48</v>
      </c>
      <c r="AP214" s="228">
        <v>21.62</v>
      </c>
      <c r="AQ214" s="228">
        <v>0</v>
      </c>
      <c r="AR214" s="230">
        <v>89879000</v>
      </c>
      <c r="AS214" s="230">
        <v>61173700</v>
      </c>
      <c r="AT214" s="230">
        <v>28705300</v>
      </c>
      <c r="AU214" s="229">
        <v>0.46920000000000001</v>
      </c>
      <c r="AV214" s="230">
        <v>63101900</v>
      </c>
      <c r="AW214" s="230">
        <v>46805500</v>
      </c>
      <c r="AX214" s="230">
        <v>16296400</v>
      </c>
      <c r="AY214" s="229">
        <v>0.34820000000000001</v>
      </c>
      <c r="AZ214" s="230">
        <v>24289100</v>
      </c>
      <c r="BA214" s="230">
        <v>13030900</v>
      </c>
      <c r="BB214" s="230">
        <v>11258200</v>
      </c>
      <c r="BC214" s="229">
        <v>0.86399999999999999</v>
      </c>
      <c r="BD214" s="230">
        <v>2488000</v>
      </c>
      <c r="BE214" s="230">
        <v>1337300</v>
      </c>
      <c r="BF214" s="230">
        <v>1150700</v>
      </c>
      <c r="BG214" s="229">
        <v>0.86050000000000004</v>
      </c>
      <c r="BH214" s="230">
        <v>310689000</v>
      </c>
      <c r="BI214" s="230">
        <v>227372100</v>
      </c>
      <c r="BJ214" s="230">
        <v>83316900</v>
      </c>
      <c r="BK214" s="229">
        <v>0.3664</v>
      </c>
      <c r="BL214" s="230">
        <v>65900900</v>
      </c>
      <c r="BM214" s="230">
        <v>62822000</v>
      </c>
      <c r="BN214" s="230">
        <v>3078900</v>
      </c>
      <c r="BO214" s="229">
        <v>4.9000000000000002E-2</v>
      </c>
      <c r="BP214" s="230">
        <v>466468900</v>
      </c>
      <c r="BQ214" s="230">
        <v>351367800</v>
      </c>
      <c r="BR214" s="230">
        <v>115101100</v>
      </c>
      <c r="BS214" s="229">
        <v>0.3276</v>
      </c>
      <c r="BT214" s="230">
        <v>42118269</v>
      </c>
      <c r="BU214" s="230">
        <v>58249840</v>
      </c>
      <c r="BV214" s="230">
        <v>-16131571</v>
      </c>
      <c r="BW214" s="229">
        <v>-0.27689999999999998</v>
      </c>
      <c r="BX214" s="230">
        <v>1126317600</v>
      </c>
      <c r="BY214" s="230">
        <v>1128339100</v>
      </c>
      <c r="BZ214" s="230">
        <v>-2021500</v>
      </c>
      <c r="CA214" s="229">
        <v>-1.8E-3</v>
      </c>
      <c r="CB214" s="230">
        <v>968827200</v>
      </c>
      <c r="CC214" s="230">
        <v>978872500</v>
      </c>
      <c r="CD214" s="230">
        <v>-10045300</v>
      </c>
      <c r="CE214" s="229">
        <v>-1.03E-2</v>
      </c>
      <c r="CF214" s="230">
        <v>140789700</v>
      </c>
      <c r="CG214" s="230">
        <v>133232400</v>
      </c>
      <c r="CH214" s="230">
        <v>7557300</v>
      </c>
      <c r="CI214" s="229">
        <v>5.67E-2</v>
      </c>
      <c r="CJ214" s="230">
        <v>16700700</v>
      </c>
      <c r="CK214" s="230">
        <v>16234200</v>
      </c>
      <c r="CL214" s="230">
        <v>466500</v>
      </c>
      <c r="CM214" s="229">
        <v>2.87E-2</v>
      </c>
      <c r="CN214" s="230">
        <v>477540500</v>
      </c>
      <c r="CO214" s="230">
        <v>475176900</v>
      </c>
      <c r="CP214" s="230">
        <v>2363600</v>
      </c>
      <c r="CQ214" s="229">
        <v>5.0000000000000001E-3</v>
      </c>
      <c r="CR214" s="230">
        <v>238537000</v>
      </c>
      <c r="CS214" s="230">
        <v>238474800</v>
      </c>
      <c r="CT214" s="230">
        <v>62200</v>
      </c>
      <c r="CU214" s="229">
        <v>2.9999999999999997E-4</v>
      </c>
      <c r="CV214" s="230">
        <v>1842395100</v>
      </c>
      <c r="CW214" s="230">
        <v>1841990800</v>
      </c>
      <c r="CX214" s="230">
        <v>404300</v>
      </c>
      <c r="CY214" s="229">
        <v>2.0000000000000001E-4</v>
      </c>
      <c r="CZ214" s="228">
        <v>25.28</v>
      </c>
      <c r="DA214" s="228">
        <v>26.27</v>
      </c>
      <c r="DB214" s="228">
        <v>-0.99</v>
      </c>
      <c r="DC214" s="228">
        <v>-0.99</v>
      </c>
      <c r="DD214" s="228">
        <v>39.479999999999997</v>
      </c>
      <c r="DE214" s="228">
        <v>39.57</v>
      </c>
      <c r="DF214" s="228">
        <v>-14.2</v>
      </c>
      <c r="DG214" s="228">
        <v>-0.09</v>
      </c>
      <c r="DH214" s="228">
        <v>25.94</v>
      </c>
      <c r="DI214" s="228">
        <v>27.08</v>
      </c>
      <c r="DJ214" s="228">
        <v>-1.1399999999999999</v>
      </c>
      <c r="DK214" s="228">
        <v>-1.1399999999999999</v>
      </c>
      <c r="DL214" s="228">
        <v>22.2</v>
      </c>
      <c r="DM214" s="228">
        <v>23.33</v>
      </c>
      <c r="DN214" s="228">
        <v>-1.1299999999999999</v>
      </c>
      <c r="DO214" s="228">
        <v>-1.1299999999999999</v>
      </c>
      <c r="DP214" s="228">
        <v>0.5</v>
      </c>
      <c r="DQ214" s="228">
        <v>0.5</v>
      </c>
      <c r="DR214" s="228">
        <v>0</v>
      </c>
      <c r="DS214" s="229">
        <v>0</v>
      </c>
      <c r="DT214" s="228">
        <v>23</v>
      </c>
      <c r="DU214" s="228">
        <v>22</v>
      </c>
      <c r="DV214" s="228">
        <v>0.21</v>
      </c>
      <c r="DW214" s="228">
        <v>0.28000000000000003</v>
      </c>
      <c r="DX214" s="228">
        <v>-7.0000000000000007E-2</v>
      </c>
      <c r="DY214" s="229">
        <v>-0.25</v>
      </c>
      <c r="DZ214" s="229">
        <v>0.13980000000000001</v>
      </c>
      <c r="EA214" s="230">
        <v>149466600</v>
      </c>
      <c r="EB214" s="229">
        <v>7.0000000000000001E-3</v>
      </c>
      <c r="EC214" s="229">
        <v>0.13980000000000001</v>
      </c>
      <c r="ED214" s="228">
        <v>0.14000000000000001</v>
      </c>
      <c r="EE214" s="229">
        <v>6.4999999999999997E-3</v>
      </c>
      <c r="EF214" s="230">
        <v>18235326</v>
      </c>
      <c r="EG214" s="230">
        <v>29879998</v>
      </c>
      <c r="EH214" s="229">
        <v>-0.38969999999999999</v>
      </c>
      <c r="EI214" s="229">
        <v>0.433</v>
      </c>
      <c r="EJ214" s="231">
        <v>71075.31</v>
      </c>
      <c r="EK214" s="231">
        <v>14296.83</v>
      </c>
      <c r="EL214" s="231">
        <v>19347.509999999998</v>
      </c>
      <c r="EM214" s="231">
        <v>2876</v>
      </c>
      <c r="EN214" s="231">
        <v>104719.65</v>
      </c>
      <c r="EO214" s="231">
        <v>78756.45</v>
      </c>
      <c r="EP214" s="231">
        <v>25963.200000000001</v>
      </c>
      <c r="EQ214" s="229">
        <v>0.32969999999999999</v>
      </c>
      <c r="ER214" s="231">
        <v>113685</v>
      </c>
      <c r="ES214" s="231">
        <v>52255</v>
      </c>
      <c r="ET214" s="231">
        <v>242189</v>
      </c>
      <c r="EU214" s="231">
        <v>3136562346</v>
      </c>
      <c r="EV214" s="231">
        <v>408129</v>
      </c>
      <c r="EW214" s="231">
        <v>409245</v>
      </c>
      <c r="EX214" s="231">
        <v>-1116</v>
      </c>
      <c r="EY214" s="229">
        <v>-2.7000000000000001E-3</v>
      </c>
      <c r="EZ214" s="229">
        <v>0.58740000000000003</v>
      </c>
      <c r="FA214" s="227" t="s">
        <v>568</v>
      </c>
      <c r="FB214" s="161">
        <f t="shared" si="5"/>
        <v>0</v>
      </c>
    </row>
    <row r="215" spans="1:158" ht="17.25" thickBot="1" x14ac:dyDescent="0.3">
      <c r="A215" s="226">
        <v>46009</v>
      </c>
      <c r="B215" s="227" t="s">
        <v>170</v>
      </c>
      <c r="C215" s="227" t="s">
        <v>557</v>
      </c>
      <c r="D215" s="228">
        <v>900</v>
      </c>
      <c r="E215" s="228">
        <v>916.35</v>
      </c>
      <c r="F215" s="228">
        <v>919.1</v>
      </c>
      <c r="G215" s="228">
        <v>-2.75</v>
      </c>
      <c r="H215" s="229">
        <v>-3.0000000000000001E-3</v>
      </c>
      <c r="I215" s="228">
        <v>913.65</v>
      </c>
      <c r="J215" s="228">
        <v>918.1</v>
      </c>
      <c r="K215" s="228">
        <v>-4.45</v>
      </c>
      <c r="L215" s="229">
        <v>-4.7999999999999996E-3</v>
      </c>
      <c r="M215" s="228">
        <v>916.35</v>
      </c>
      <c r="N215" s="228">
        <v>919.1</v>
      </c>
      <c r="O215" s="228">
        <v>-2.75</v>
      </c>
      <c r="P215" s="229">
        <v>-3.0000000000000001E-3</v>
      </c>
      <c r="Q215" s="228">
        <v>922.35</v>
      </c>
      <c r="R215" s="228">
        <v>924.55</v>
      </c>
      <c r="S215" s="228">
        <v>-2.2000000000000002</v>
      </c>
      <c r="T215" s="229">
        <v>-2.3999999999999998E-3</v>
      </c>
      <c r="U215" s="228">
        <v>925</v>
      </c>
      <c r="V215" s="228">
        <v>929.45</v>
      </c>
      <c r="W215" s="228">
        <v>-4.45</v>
      </c>
      <c r="X215" s="229">
        <v>-4.7999999999999996E-3</v>
      </c>
      <c r="Y215" s="228">
        <v>2.7</v>
      </c>
      <c r="Z215" s="228">
        <v>1</v>
      </c>
      <c r="AA215" s="228">
        <v>1.7</v>
      </c>
      <c r="AB215" s="229">
        <v>3.0000000000000001E-3</v>
      </c>
      <c r="AC215" s="228">
        <v>2.7</v>
      </c>
      <c r="AD215" s="228">
        <v>1</v>
      </c>
      <c r="AE215" s="228">
        <v>1.7</v>
      </c>
      <c r="AF215" s="229">
        <v>3.0000000000000001E-3</v>
      </c>
      <c r="AG215" s="228">
        <v>8.6999999999999993</v>
      </c>
      <c r="AH215" s="228">
        <v>6.45</v>
      </c>
      <c r="AI215" s="228">
        <v>2.25</v>
      </c>
      <c r="AJ215" s="229">
        <v>9.4999999999999998E-3</v>
      </c>
      <c r="AK215" s="228">
        <v>11.35</v>
      </c>
      <c r="AL215" s="228">
        <v>11.35</v>
      </c>
      <c r="AM215" s="228">
        <v>0</v>
      </c>
      <c r="AN215" s="229">
        <v>1.24E-2</v>
      </c>
      <c r="AO215" s="228">
        <v>916.67</v>
      </c>
      <c r="AP215" s="228">
        <v>922.11</v>
      </c>
      <c r="AQ215" s="228">
        <v>0</v>
      </c>
      <c r="AR215" s="230">
        <v>1050300</v>
      </c>
      <c r="AS215" s="230">
        <v>846000</v>
      </c>
      <c r="AT215" s="230">
        <v>204300</v>
      </c>
      <c r="AU215" s="229">
        <v>0.24149999999999999</v>
      </c>
      <c r="AV215" s="230">
        <v>880200</v>
      </c>
      <c r="AW215" s="230">
        <v>733500</v>
      </c>
      <c r="AX215" s="230">
        <v>146700</v>
      </c>
      <c r="AY215" s="229">
        <v>0.2</v>
      </c>
      <c r="AZ215" s="230">
        <v>164700</v>
      </c>
      <c r="BA215" s="230">
        <v>103500</v>
      </c>
      <c r="BB215" s="230">
        <v>61200</v>
      </c>
      <c r="BC215" s="229">
        <v>0.59130000000000005</v>
      </c>
      <c r="BD215" s="230">
        <v>5400</v>
      </c>
      <c r="BE215" s="230">
        <v>9000</v>
      </c>
      <c r="BF215" s="230">
        <v>-3600</v>
      </c>
      <c r="BG215" s="229">
        <v>-0.4</v>
      </c>
      <c r="BH215" s="230">
        <v>2094300</v>
      </c>
      <c r="BI215" s="230">
        <v>1771200</v>
      </c>
      <c r="BJ215" s="230">
        <v>323100</v>
      </c>
      <c r="BK215" s="229">
        <v>0.18240000000000001</v>
      </c>
      <c r="BL215" s="230">
        <v>835200</v>
      </c>
      <c r="BM215" s="230">
        <v>538200</v>
      </c>
      <c r="BN215" s="230">
        <v>297000</v>
      </c>
      <c r="BO215" s="229">
        <v>0.55179999999999996</v>
      </c>
      <c r="BP215" s="230">
        <v>3979800</v>
      </c>
      <c r="BQ215" s="230">
        <v>3155400</v>
      </c>
      <c r="BR215" s="230">
        <v>824400</v>
      </c>
      <c r="BS215" s="229">
        <v>0.26129999999999998</v>
      </c>
      <c r="BT215" s="230">
        <v>371600</v>
      </c>
      <c r="BU215" s="230">
        <v>537747</v>
      </c>
      <c r="BV215" s="230">
        <v>-166147</v>
      </c>
      <c r="BW215" s="229">
        <v>-0.309</v>
      </c>
      <c r="BX215" s="230">
        <v>11243700</v>
      </c>
      <c r="BY215" s="230">
        <v>11299500</v>
      </c>
      <c r="BZ215" s="230">
        <v>-55800</v>
      </c>
      <c r="CA215" s="229">
        <v>-4.8999999999999998E-3</v>
      </c>
      <c r="CB215" s="230">
        <v>10415700</v>
      </c>
      <c r="CC215" s="230">
        <v>10557900</v>
      </c>
      <c r="CD215" s="230">
        <v>-142200</v>
      </c>
      <c r="CE215" s="229">
        <v>-1.35E-2</v>
      </c>
      <c r="CF215" s="230">
        <v>794700</v>
      </c>
      <c r="CG215" s="230">
        <v>709200</v>
      </c>
      <c r="CH215" s="230">
        <v>85500</v>
      </c>
      <c r="CI215" s="229">
        <v>0.1206</v>
      </c>
      <c r="CJ215" s="230">
        <v>33300</v>
      </c>
      <c r="CK215" s="230">
        <v>32400</v>
      </c>
      <c r="CL215" s="228">
        <v>900</v>
      </c>
      <c r="CM215" s="229">
        <v>2.7799999999999998E-2</v>
      </c>
      <c r="CN215" s="230">
        <v>4500000</v>
      </c>
      <c r="CO215" s="230">
        <v>4382100</v>
      </c>
      <c r="CP215" s="230">
        <v>117900</v>
      </c>
      <c r="CQ215" s="229">
        <v>2.69E-2</v>
      </c>
      <c r="CR215" s="230">
        <v>3315600</v>
      </c>
      <c r="CS215" s="230">
        <v>3228300</v>
      </c>
      <c r="CT215" s="230">
        <v>87300</v>
      </c>
      <c r="CU215" s="229">
        <v>2.7E-2</v>
      </c>
      <c r="CV215" s="230">
        <v>19059300</v>
      </c>
      <c r="CW215" s="230">
        <v>18909900</v>
      </c>
      <c r="CX215" s="230">
        <v>149400</v>
      </c>
      <c r="CY215" s="229">
        <v>7.9000000000000008E-3</v>
      </c>
      <c r="CZ215" s="228">
        <v>17.14</v>
      </c>
      <c r="DA215" s="228">
        <v>18.510000000000002</v>
      </c>
      <c r="DB215" s="228">
        <v>-1.37</v>
      </c>
      <c r="DC215" s="228">
        <v>-1.37</v>
      </c>
      <c r="DD215" s="228">
        <v>27.94</v>
      </c>
      <c r="DE215" s="228">
        <v>28.01</v>
      </c>
      <c r="DF215" s="228">
        <v>-10.8</v>
      </c>
      <c r="DG215" s="228">
        <v>-7.0000000000000007E-2</v>
      </c>
      <c r="DH215" s="228">
        <v>17.18</v>
      </c>
      <c r="DI215" s="228">
        <v>18.649999999999999</v>
      </c>
      <c r="DJ215" s="228">
        <v>-1.47</v>
      </c>
      <c r="DK215" s="228">
        <v>-1.47</v>
      </c>
      <c r="DL215" s="228">
        <v>17.05</v>
      </c>
      <c r="DM215" s="228">
        <v>18.07</v>
      </c>
      <c r="DN215" s="228">
        <v>-1.02</v>
      </c>
      <c r="DO215" s="228">
        <v>-1.02</v>
      </c>
      <c r="DP215" s="228">
        <v>0.74</v>
      </c>
      <c r="DQ215" s="228">
        <v>0.74</v>
      </c>
      <c r="DR215" s="228">
        <v>0</v>
      </c>
      <c r="DS215" s="229">
        <v>0</v>
      </c>
      <c r="DT215" s="228">
        <v>940</v>
      </c>
      <c r="DU215" s="228">
        <v>900</v>
      </c>
      <c r="DV215" s="228">
        <v>0.4</v>
      </c>
      <c r="DW215" s="228">
        <v>0.3</v>
      </c>
      <c r="DX215" s="228">
        <v>0.1</v>
      </c>
      <c r="DY215" s="229">
        <v>0.33329999999999999</v>
      </c>
      <c r="DZ215" s="229">
        <v>7.3599999999999999E-2</v>
      </c>
      <c r="EA215" s="230">
        <v>741600</v>
      </c>
      <c r="EB215" s="229">
        <v>6.4999999999999997E-3</v>
      </c>
      <c r="EC215" s="229">
        <v>7.3599999999999999E-2</v>
      </c>
      <c r="ED215" s="228">
        <v>5.44</v>
      </c>
      <c r="EE215" s="229">
        <v>5.8999999999999999E-3</v>
      </c>
      <c r="EF215" s="230">
        <v>228248</v>
      </c>
      <c r="EG215" s="230">
        <v>367456</v>
      </c>
      <c r="EH215" s="229">
        <v>-0.37880000000000003</v>
      </c>
      <c r="EI215" s="229">
        <v>0.61419999999999997</v>
      </c>
      <c r="EJ215" s="231">
        <v>19811.830000000002</v>
      </c>
      <c r="EK215" s="231">
        <v>7570.42</v>
      </c>
      <c r="EL215" s="231">
        <v>9637.34</v>
      </c>
      <c r="EM215" s="231">
        <v>1083</v>
      </c>
      <c r="EN215" s="231">
        <v>37019.589999999997</v>
      </c>
      <c r="EO215" s="231">
        <v>29562.59</v>
      </c>
      <c r="EP215" s="231">
        <v>7457</v>
      </c>
      <c r="EQ215" s="229">
        <v>0.25219999999999998</v>
      </c>
      <c r="ER215" s="231">
        <v>43614</v>
      </c>
      <c r="ES215" s="231">
        <v>30565</v>
      </c>
      <c r="ET215" s="231">
        <v>103082</v>
      </c>
      <c r="EU215" s="231">
        <v>32617803</v>
      </c>
      <c r="EV215" s="231">
        <v>177261</v>
      </c>
      <c r="EW215" s="231">
        <v>176192</v>
      </c>
      <c r="EX215" s="231">
        <v>1069</v>
      </c>
      <c r="EY215" s="229">
        <v>6.1000000000000004E-3</v>
      </c>
      <c r="EZ215" s="229">
        <v>0.58430000000000004</v>
      </c>
      <c r="FA215" s="227" t="s">
        <v>568</v>
      </c>
      <c r="FB215" s="161">
        <f t="shared" si="5"/>
        <v>0</v>
      </c>
    </row>
    <row r="216" spans="1:158" x14ac:dyDescent="0.25">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BX325-CB325</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
  <sheetViews>
    <sheetView topLeftCell="EJ1" zoomScale="87" zoomScaleNormal="87" workbookViewId="0">
      <selection activeCell="EO9" sqref="EO9"/>
    </sheetView>
  </sheetViews>
  <sheetFormatPr defaultRowHeight="15" x14ac:dyDescent="0.25"/>
  <cols>
    <col min="1" max="1" width="6.140625" customWidth="1"/>
    <col min="2" max="2" width="7.85546875" customWidth="1"/>
    <col min="3" max="3" width="9.28515625" customWidth="1"/>
    <col min="4" max="4" width="14.140625" bestFit="1" customWidth="1"/>
    <col min="5" max="5" width="20" bestFit="1" customWidth="1"/>
    <col min="6" max="6" width="18.85546875" bestFit="1" customWidth="1"/>
    <col min="7" max="7" width="16.7109375" bestFit="1" customWidth="1"/>
    <col min="8" max="8" width="6" customWidth="1"/>
    <col min="9" max="9" width="11.5703125" bestFit="1" customWidth="1"/>
    <col min="10" max="10" width="10.5703125" bestFit="1" customWidth="1"/>
    <col min="11" max="11" width="8.5703125"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6.7109375"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7.140625"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0.7109375" customWidth="1"/>
    <col min="76" max="76" width="16.42578125" bestFit="1" customWidth="1"/>
    <col min="77" max="77" width="15.42578125" bestFit="1" customWidth="1"/>
    <col min="78" max="78" width="13.42578125" bestFit="1" customWidth="1"/>
    <col min="79" max="79" width="8.85546875" customWidth="1"/>
    <col min="80" max="80" width="14.5703125" bestFit="1" customWidth="1"/>
    <col min="81" max="81" width="13.5703125" customWidth="1"/>
    <col min="82" max="82" width="11.42578125" bestFit="1" customWidth="1"/>
    <col min="83" max="83" width="8.85546875" customWidth="1"/>
    <col min="84" max="84" width="14.42578125" bestFit="1" customWidth="1"/>
    <col min="85" max="85" width="13.5703125" bestFit="1" customWidth="1"/>
    <col min="86" max="86" width="11.42578125" bestFit="1" customWidth="1"/>
    <col min="87" max="87" width="7" customWidth="1"/>
    <col min="88" max="88" width="12.85546875" bestFit="1" customWidth="1"/>
    <col min="89" max="89" width="11.5703125" bestFit="1" customWidth="1"/>
    <col min="90" max="90" width="9.7109375" customWidth="1"/>
    <col min="91" max="91" width="7.85546875" customWidth="1"/>
    <col min="92" max="92" width="13.42578125" customWidth="1"/>
    <col min="93" max="93" width="12.42578125" customWidth="1"/>
    <col min="94" max="94" width="10.42578125" bestFit="1" customWidth="1"/>
    <col min="95" max="95" width="7.7109375" customWidth="1"/>
    <col min="96" max="96" width="13.28515625" customWidth="1"/>
    <col min="97" max="97" width="12.28515625" customWidth="1"/>
    <col min="98" max="98" width="10.28515625" bestFit="1" customWidth="1"/>
    <col min="99" max="99" width="9.140625" customWidth="1"/>
    <col min="100" max="100" width="14.7109375" bestFit="1" customWidth="1"/>
    <col min="101" max="101" width="13.85546875" customWidth="1"/>
    <col min="102" max="102" width="11.7109375" bestFit="1" customWidth="1"/>
    <col min="103" max="103" width="3.28515625" customWidth="1"/>
    <col min="104" max="104" width="8.85546875" bestFit="1" customWidth="1"/>
    <col min="105" max="105" width="7.85546875" bestFit="1" customWidth="1"/>
    <col min="106" max="106" width="5.85546875" customWidth="1"/>
    <col min="107" max="107" width="4" customWidth="1"/>
    <col min="108" max="108" width="9.5703125" bestFit="1" customWidth="1"/>
    <col min="109" max="109" width="11.85546875" bestFit="1" customWidth="1"/>
    <col min="110" max="110" width="6.5703125" customWidth="1"/>
    <col min="111" max="111" width="7.7109375" customWidth="1"/>
    <col min="112" max="112" width="13.28515625" bestFit="1" customWidth="1"/>
    <col min="113" max="113" width="12.28515625" bestFit="1" customWidth="1"/>
    <col min="114" max="114" width="10.28515625" bestFit="1" customWidth="1"/>
    <col min="115" max="115" width="7.5703125"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customWidth="1"/>
    <col min="123" max="123" width="10.28515625" customWidth="1"/>
    <col min="124" max="124" width="10.140625"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0.140625"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7.7109375"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H9" sqref="H9"/>
    </sheetView>
  </sheetViews>
  <sheetFormatPr defaultColWidth="13.7109375" defaultRowHeight="15" x14ac:dyDescent="0.25"/>
  <cols>
    <col min="1" max="1" width="23.85546875" customWidth="1"/>
    <col min="2" max="2" width="12.28515625" customWidth="1"/>
    <col min="3" max="3" width="12.7109375" customWidth="1"/>
    <col min="4" max="4" width="11.140625" customWidth="1"/>
    <col min="5" max="5" width="12.7109375" customWidth="1"/>
    <col min="6" max="6" width="11.140625" customWidth="1"/>
    <col min="7" max="7" width="8.710937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46009</v>
      </c>
      <c r="C2" s="230">
        <v>11240076</v>
      </c>
      <c r="D2" s="230">
        <v>2073194</v>
      </c>
      <c r="E2" s="230">
        <v>11232775</v>
      </c>
      <c r="F2" s="230">
        <v>2075647</v>
      </c>
      <c r="G2" s="230">
        <v>7301</v>
      </c>
      <c r="H2" s="230">
        <v>-2453</v>
      </c>
      <c r="I2" s="230">
        <v>11028208</v>
      </c>
      <c r="J2" s="230">
        <v>1310694</v>
      </c>
      <c r="K2" s="230">
        <v>285458</v>
      </c>
      <c r="L2" s="230">
        <v>44505</v>
      </c>
      <c r="M2" s="230">
        <v>11313666</v>
      </c>
      <c r="N2" s="230">
        <v>1355199</v>
      </c>
      <c r="O2" s="61"/>
      <c r="P2" s="61"/>
      <c r="Q2" s="61"/>
      <c r="R2" s="61"/>
      <c r="S2" s="61"/>
      <c r="U2" t="s">
        <v>453</v>
      </c>
      <c r="V2">
        <f>SUM('Data Vlaue (Cr)'!CD:CD)</f>
        <v>521303</v>
      </c>
      <c r="W2" t="s">
        <v>454</v>
      </c>
    </row>
    <row r="3" spans="1:23" ht="17.25" thickBot="1" x14ac:dyDescent="0.3">
      <c r="A3" s="227" t="s">
        <v>617</v>
      </c>
      <c r="B3" s="226">
        <v>46009</v>
      </c>
      <c r="C3" s="230">
        <v>3721</v>
      </c>
      <c r="D3" s="228">
        <v>765</v>
      </c>
      <c r="E3" s="230">
        <v>1896</v>
      </c>
      <c r="F3" s="228">
        <v>388</v>
      </c>
      <c r="G3" s="230">
        <v>1825</v>
      </c>
      <c r="H3" s="228">
        <v>377</v>
      </c>
      <c r="I3" s="230">
        <v>26525</v>
      </c>
      <c r="J3" s="230">
        <v>5434</v>
      </c>
      <c r="K3" s="230">
        <v>-1519</v>
      </c>
      <c r="L3" s="228">
        <v>-322</v>
      </c>
      <c r="M3" s="230">
        <v>25006</v>
      </c>
      <c r="N3" s="230">
        <v>5111</v>
      </c>
      <c r="O3" s="61"/>
      <c r="P3" s="61"/>
      <c r="Q3" s="61"/>
      <c r="R3" s="61"/>
      <c r="S3" s="61"/>
      <c r="U3" t="s">
        <v>453</v>
      </c>
      <c r="V3">
        <f>SUM('Data shares'!CC:CC)</f>
        <v>14903709618</v>
      </c>
      <c r="W3" t="s">
        <v>455</v>
      </c>
    </row>
    <row r="4" spans="1:23" ht="17.25" thickBot="1" x14ac:dyDescent="0.3">
      <c r="A4" s="227" t="s">
        <v>618</v>
      </c>
      <c r="B4" s="226">
        <v>46009</v>
      </c>
      <c r="C4" s="230">
        <v>255194</v>
      </c>
      <c r="D4" s="230">
        <v>52467</v>
      </c>
      <c r="E4" s="230">
        <v>255543</v>
      </c>
      <c r="F4" s="230">
        <v>52864</v>
      </c>
      <c r="G4" s="228">
        <v>-349</v>
      </c>
      <c r="H4" s="228">
        <v>-397</v>
      </c>
      <c r="I4" s="230">
        <v>370401</v>
      </c>
      <c r="J4" s="230">
        <v>74786</v>
      </c>
      <c r="K4" s="230">
        <v>9128</v>
      </c>
      <c r="L4" s="230">
        <v>1361</v>
      </c>
      <c r="M4" s="230">
        <v>379529</v>
      </c>
      <c r="N4" s="230">
        <v>76147</v>
      </c>
      <c r="O4" s="61"/>
      <c r="P4" s="61"/>
      <c r="Q4" s="61"/>
      <c r="R4" s="61"/>
      <c r="S4" s="61"/>
    </row>
    <row r="5" spans="1:23" ht="17.25" thickBot="1" x14ac:dyDescent="0.3">
      <c r="A5" s="227" t="s">
        <v>619</v>
      </c>
      <c r="B5" s="226">
        <v>46009</v>
      </c>
      <c r="C5" s="228">
        <v>20</v>
      </c>
      <c r="D5" s="228">
        <v>4</v>
      </c>
      <c r="E5" s="228">
        <v>14</v>
      </c>
      <c r="F5" s="228">
        <v>2</v>
      </c>
      <c r="G5" s="228">
        <v>6</v>
      </c>
      <c r="H5" s="228">
        <v>1</v>
      </c>
      <c r="I5" s="228">
        <v>265</v>
      </c>
      <c r="J5" s="228">
        <v>47</v>
      </c>
      <c r="K5" s="228">
        <v>-6</v>
      </c>
      <c r="L5" s="228">
        <v>-1</v>
      </c>
      <c r="M5" s="228">
        <v>259</v>
      </c>
      <c r="N5" s="228">
        <v>46</v>
      </c>
      <c r="O5" s="61"/>
      <c r="P5" s="61"/>
      <c r="Q5" s="61"/>
      <c r="R5" s="61"/>
      <c r="S5" s="61"/>
    </row>
    <row r="6" spans="1:23" ht="17.25" thickBot="1" x14ac:dyDescent="0.3">
      <c r="A6" s="227" t="s">
        <v>620</v>
      </c>
      <c r="B6" s="226">
        <v>46009</v>
      </c>
      <c r="C6" s="230">
        <v>7869</v>
      </c>
      <c r="D6" s="230">
        <v>1412</v>
      </c>
      <c r="E6" s="230">
        <v>8402</v>
      </c>
      <c r="F6" s="230">
        <v>1512</v>
      </c>
      <c r="G6" s="228">
        <v>-533</v>
      </c>
      <c r="H6" s="228">
        <v>-100</v>
      </c>
      <c r="I6" s="230">
        <v>8725</v>
      </c>
      <c r="J6" s="230">
        <v>1545</v>
      </c>
      <c r="K6" s="228">
        <v>-193</v>
      </c>
      <c r="L6" s="228">
        <v>-33</v>
      </c>
      <c r="M6" s="230">
        <v>8532</v>
      </c>
      <c r="N6" s="230">
        <v>1511</v>
      </c>
      <c r="O6" s="61"/>
      <c r="P6" s="61"/>
      <c r="Q6" s="61"/>
      <c r="R6" s="61"/>
      <c r="S6" s="61"/>
    </row>
    <row r="7" spans="1:23" ht="17.25" thickBot="1" x14ac:dyDescent="0.3">
      <c r="A7" s="227" t="s">
        <v>621</v>
      </c>
      <c r="B7" s="226">
        <v>46009</v>
      </c>
      <c r="C7" s="230">
        <v>10610</v>
      </c>
      <c r="D7" s="230">
        <v>2083</v>
      </c>
      <c r="E7" s="230">
        <v>11442</v>
      </c>
      <c r="F7" s="230">
        <v>2212</v>
      </c>
      <c r="G7" s="228">
        <v>-832</v>
      </c>
      <c r="H7" s="228">
        <v>-129</v>
      </c>
      <c r="I7" s="230">
        <v>196774</v>
      </c>
      <c r="J7" s="230">
        <v>37979</v>
      </c>
      <c r="K7" s="230">
        <v>1006</v>
      </c>
      <c r="L7" s="228">
        <v>157</v>
      </c>
      <c r="M7" s="230">
        <v>197780</v>
      </c>
      <c r="N7" s="230">
        <v>38136</v>
      </c>
    </row>
    <row r="8" spans="1:23" ht="17.25" thickBot="1" x14ac:dyDescent="0.3">
      <c r="A8" s="227" t="s">
        <v>622</v>
      </c>
      <c r="B8" s="226">
        <v>46009</v>
      </c>
      <c r="C8" s="230">
        <v>5160103</v>
      </c>
      <c r="D8" s="230">
        <v>1003495</v>
      </c>
      <c r="E8" s="230">
        <v>5168507</v>
      </c>
      <c r="F8" s="230">
        <v>1005579</v>
      </c>
      <c r="G8" s="230">
        <v>-8404</v>
      </c>
      <c r="H8" s="230">
        <v>-2084</v>
      </c>
      <c r="I8" s="230">
        <v>2068803</v>
      </c>
      <c r="J8" s="230">
        <v>400036</v>
      </c>
      <c r="K8" s="230">
        <v>102782</v>
      </c>
      <c r="L8" s="230">
        <v>19105</v>
      </c>
      <c r="M8" s="230">
        <v>2171585</v>
      </c>
      <c r="N8" s="230">
        <v>419141</v>
      </c>
    </row>
    <row r="9" spans="1:23" ht="17.25" thickBot="1" x14ac:dyDescent="0.3">
      <c r="A9" s="227" t="s">
        <v>623</v>
      </c>
      <c r="B9" s="226">
        <v>46009</v>
      </c>
      <c r="C9" s="228">
        <v>647</v>
      </c>
      <c r="D9" s="228">
        <v>120</v>
      </c>
      <c r="E9" s="228">
        <v>474</v>
      </c>
      <c r="F9" s="228">
        <v>89</v>
      </c>
      <c r="G9" s="228">
        <v>173</v>
      </c>
      <c r="H9" s="228">
        <v>31</v>
      </c>
      <c r="I9" s="230">
        <v>15529</v>
      </c>
      <c r="J9" s="230">
        <v>2971</v>
      </c>
      <c r="K9" s="228">
        <v>-49</v>
      </c>
      <c r="L9" s="228">
        <v>8</v>
      </c>
      <c r="M9" s="230">
        <v>15480</v>
      </c>
      <c r="N9" s="230">
        <v>2979</v>
      </c>
    </row>
    <row r="10" spans="1:23" ht="17.25" thickBot="1" x14ac:dyDescent="0.3">
      <c r="A10" s="227" t="s">
        <v>624</v>
      </c>
      <c r="B10" s="226">
        <v>46009</v>
      </c>
      <c r="C10" s="230">
        <v>62921</v>
      </c>
      <c r="D10" s="230">
        <v>12118</v>
      </c>
      <c r="E10" s="230">
        <v>63543</v>
      </c>
      <c r="F10" s="230">
        <v>12217</v>
      </c>
      <c r="G10" s="228">
        <v>-622</v>
      </c>
      <c r="H10" s="228">
        <v>-99</v>
      </c>
      <c r="I10" s="230">
        <v>41370</v>
      </c>
      <c r="J10" s="230">
        <v>7885</v>
      </c>
      <c r="K10" s="230">
        <v>-1996</v>
      </c>
      <c r="L10" s="228">
        <v>-330</v>
      </c>
      <c r="M10" s="230">
        <v>39374</v>
      </c>
      <c r="N10" s="230">
        <v>7554</v>
      </c>
    </row>
    <row r="11" spans="1:23" ht="17.25" thickBot="1" x14ac:dyDescent="0.3">
      <c r="A11" s="227" t="s">
        <v>625</v>
      </c>
      <c r="B11" s="226">
        <v>46009</v>
      </c>
      <c r="C11" s="230">
        <v>6068</v>
      </c>
      <c r="D11" s="230">
        <v>1169</v>
      </c>
      <c r="E11" s="230">
        <v>8964</v>
      </c>
      <c r="F11" s="230">
        <v>1717</v>
      </c>
      <c r="G11" s="230">
        <v>-2896</v>
      </c>
      <c r="H11" s="228">
        <v>-548</v>
      </c>
      <c r="I11" s="230">
        <v>153630</v>
      </c>
      <c r="J11" s="230">
        <v>29387</v>
      </c>
      <c r="K11" s="230">
        <v>2556</v>
      </c>
      <c r="L11" s="228">
        <v>468</v>
      </c>
      <c r="M11" s="230">
        <v>156186</v>
      </c>
      <c r="N11" s="230">
        <v>29855</v>
      </c>
    </row>
    <row r="12" spans="1:23" ht="17.25" thickBot="1" x14ac:dyDescent="0.3">
      <c r="A12" s="227" t="s">
        <v>626</v>
      </c>
      <c r="B12" s="226">
        <v>46009</v>
      </c>
      <c r="C12" s="230">
        <v>4833727</v>
      </c>
      <c r="D12" s="230">
        <v>937430</v>
      </c>
      <c r="E12" s="230">
        <v>4840669</v>
      </c>
      <c r="F12" s="230">
        <v>938926</v>
      </c>
      <c r="G12" s="230">
        <v>-6942</v>
      </c>
      <c r="H12" s="230">
        <v>-1496</v>
      </c>
      <c r="I12" s="230">
        <v>1647412</v>
      </c>
      <c r="J12" s="230">
        <v>315668</v>
      </c>
      <c r="K12" s="230">
        <v>95792</v>
      </c>
      <c r="L12" s="230">
        <v>18100</v>
      </c>
      <c r="M12" s="230">
        <v>1743204</v>
      </c>
      <c r="N12" s="230">
        <v>333768</v>
      </c>
    </row>
    <row r="13" spans="1:23" ht="17.25" thickBot="1" x14ac:dyDescent="0.3">
      <c r="A13" s="227" t="s">
        <v>627</v>
      </c>
      <c r="B13" s="226">
        <v>46009</v>
      </c>
      <c r="C13" s="228">
        <v>154</v>
      </c>
      <c r="D13" s="228">
        <v>26</v>
      </c>
      <c r="E13" s="228">
        <v>94</v>
      </c>
      <c r="F13" s="228">
        <v>16</v>
      </c>
      <c r="G13" s="228">
        <v>60</v>
      </c>
      <c r="H13" s="228">
        <v>10</v>
      </c>
      <c r="I13" s="228">
        <v>825</v>
      </c>
      <c r="J13" s="228">
        <v>141</v>
      </c>
      <c r="K13" s="228">
        <v>24</v>
      </c>
      <c r="L13" s="228">
        <v>3</v>
      </c>
      <c r="M13" s="228">
        <v>849</v>
      </c>
      <c r="N13" s="228">
        <v>144</v>
      </c>
    </row>
    <row r="14" spans="1:23" ht="17.25" thickBot="1" x14ac:dyDescent="0.3">
      <c r="A14" s="227" t="s">
        <v>628</v>
      </c>
      <c r="B14" s="226">
        <v>46009</v>
      </c>
      <c r="C14" s="228">
        <v>392</v>
      </c>
      <c r="D14" s="228">
        <v>67</v>
      </c>
      <c r="E14" s="228">
        <v>350</v>
      </c>
      <c r="F14" s="228">
        <v>60</v>
      </c>
      <c r="G14" s="228">
        <v>42</v>
      </c>
      <c r="H14" s="228">
        <v>7</v>
      </c>
      <c r="I14" s="228">
        <v>895</v>
      </c>
      <c r="J14" s="228">
        <v>152</v>
      </c>
      <c r="K14" s="228">
        <v>52</v>
      </c>
      <c r="L14" s="228">
        <v>8</v>
      </c>
      <c r="M14" s="228">
        <v>947</v>
      </c>
      <c r="N14" s="228">
        <v>161</v>
      </c>
    </row>
    <row r="15" spans="1:23" ht="17.25" thickBot="1" x14ac:dyDescent="0.3">
      <c r="A15" s="227" t="s">
        <v>629</v>
      </c>
      <c r="B15" s="226">
        <v>46009</v>
      </c>
      <c r="C15" s="230">
        <v>393607</v>
      </c>
      <c r="D15" s="230">
        <v>26775</v>
      </c>
      <c r="E15" s="230">
        <v>362542</v>
      </c>
      <c r="F15" s="230">
        <v>24521</v>
      </c>
      <c r="G15" s="230">
        <v>31065</v>
      </c>
      <c r="H15" s="230">
        <v>2254</v>
      </c>
      <c r="I15" s="230">
        <v>5934387</v>
      </c>
      <c r="J15" s="230">
        <v>396604</v>
      </c>
      <c r="K15" s="230">
        <v>59825</v>
      </c>
      <c r="L15" s="230">
        <v>4662</v>
      </c>
      <c r="M15" s="230">
        <v>5994212</v>
      </c>
      <c r="N15" s="230">
        <v>401266</v>
      </c>
    </row>
    <row r="16" spans="1:23" ht="17.25" thickBot="1" x14ac:dyDescent="0.3">
      <c r="A16" s="227" t="s">
        <v>630</v>
      </c>
      <c r="B16" s="226">
        <v>46009</v>
      </c>
      <c r="C16" s="230">
        <v>505043</v>
      </c>
      <c r="D16" s="230">
        <v>35264</v>
      </c>
      <c r="E16" s="230">
        <v>510335</v>
      </c>
      <c r="F16" s="230">
        <v>35544</v>
      </c>
      <c r="G16" s="230">
        <v>-5292</v>
      </c>
      <c r="H16" s="228">
        <v>-280</v>
      </c>
      <c r="I16" s="230">
        <v>562667</v>
      </c>
      <c r="J16" s="230">
        <v>38060</v>
      </c>
      <c r="K16" s="230">
        <v>18056</v>
      </c>
      <c r="L16" s="230">
        <v>1319</v>
      </c>
      <c r="M16" s="230">
        <v>580723</v>
      </c>
      <c r="N16" s="230">
        <v>39379</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61" activePane="bottomLeft" state="frozen"/>
      <selection activeCell="A6" sqref="A6:S6"/>
      <selection pane="bottomLeft" activeCell="W98" sqref="W98"/>
    </sheetView>
  </sheetViews>
  <sheetFormatPr defaultRowHeight="15" x14ac:dyDescent="0.25"/>
  <cols>
    <col min="1" max="1" width="14.5703125" style="74" bestFit="1" customWidth="1"/>
    <col min="6" max="6" width="12.28515625" bestFit="1" customWidth="1"/>
    <col min="7" max="7" width="12.7109375" customWidth="1"/>
    <col min="9" max="10" width="12.140625" customWidth="1"/>
  </cols>
  <sheetData>
    <row r="1" spans="1:17" hidden="1" x14ac:dyDescent="0.25"/>
    <row r="2" spans="1:17" ht="15.75" thickBot="1" x14ac:dyDescent="0.3"/>
    <row r="3" spans="1:17" s="70" customFormat="1" ht="21" customHeight="1" thickBot="1" x14ac:dyDescent="0.3">
      <c r="A3" s="260" t="s">
        <v>325</v>
      </c>
      <c r="B3" s="261"/>
      <c r="C3" s="261"/>
      <c r="D3" s="261"/>
      <c r="E3" s="261"/>
      <c r="F3" s="261"/>
      <c r="G3" s="261"/>
      <c r="H3" s="261"/>
      <c r="I3" s="261"/>
      <c r="J3" s="261"/>
      <c r="K3" s="261"/>
      <c r="L3" s="261"/>
      <c r="M3" s="261"/>
      <c r="N3" s="261"/>
      <c r="O3" s="261"/>
      <c r="P3" s="261"/>
      <c r="Q3" s="262"/>
    </row>
    <row r="4" spans="1:17" s="64" customFormat="1" x14ac:dyDescent="0.25">
      <c r="A4" s="263"/>
      <c r="B4" s="263" t="s">
        <v>308</v>
      </c>
      <c r="C4" s="263"/>
      <c r="D4" s="264"/>
      <c r="E4" s="264"/>
      <c r="F4" s="263" t="s">
        <v>326</v>
      </c>
      <c r="G4" s="263"/>
      <c r="H4" s="263"/>
      <c r="I4" s="263" t="s">
        <v>327</v>
      </c>
      <c r="J4" s="263"/>
      <c r="K4" s="263"/>
      <c r="L4" s="263" t="s">
        <v>311</v>
      </c>
      <c r="M4" s="263"/>
      <c r="N4" s="263"/>
      <c r="O4" s="263"/>
      <c r="P4" s="263"/>
      <c r="Q4" s="263"/>
    </row>
    <row r="5" spans="1:17" s="64" customFormat="1" x14ac:dyDescent="0.25">
      <c r="A5" s="258"/>
      <c r="B5" s="73" t="s">
        <v>312</v>
      </c>
      <c r="C5" s="258" t="s">
        <v>313</v>
      </c>
      <c r="D5" s="259"/>
      <c r="E5" s="259"/>
      <c r="F5" s="258" t="s">
        <v>314</v>
      </c>
      <c r="G5" s="258"/>
      <c r="H5" s="258"/>
      <c r="I5" s="258" t="s">
        <v>315</v>
      </c>
      <c r="J5" s="258"/>
      <c r="K5" s="258"/>
      <c r="L5" s="258" t="s">
        <v>316</v>
      </c>
      <c r="M5" s="258"/>
      <c r="N5" s="258"/>
      <c r="O5" s="258" t="s">
        <v>317</v>
      </c>
      <c r="P5" s="258"/>
      <c r="Q5" s="258"/>
    </row>
    <row r="6" spans="1:17" s="72" customFormat="1" ht="33.75" x14ac:dyDescent="0.25">
      <c r="A6" s="71" t="s">
        <v>558</v>
      </c>
      <c r="B6" s="66">
        <f>'Snapshot (Value)'!C10</f>
        <v>46009</v>
      </c>
      <c r="C6" s="66">
        <f>'Snapshot (Value)'!D10</f>
        <v>46009</v>
      </c>
      <c r="D6" s="71" t="s">
        <v>322</v>
      </c>
      <c r="E6" s="71" t="s">
        <v>328</v>
      </c>
      <c r="F6" s="66">
        <f>C6</f>
        <v>46009</v>
      </c>
      <c r="G6" s="71" t="s">
        <v>322</v>
      </c>
      <c r="H6" s="71" t="s">
        <v>328</v>
      </c>
      <c r="I6" s="66">
        <f>C6</f>
        <v>46009</v>
      </c>
      <c r="J6" s="71" t="s">
        <v>322</v>
      </c>
      <c r="K6" s="71" t="s">
        <v>328</v>
      </c>
      <c r="L6" s="66">
        <f>C6</f>
        <v>46009</v>
      </c>
      <c r="M6" s="71" t="s">
        <v>322</v>
      </c>
      <c r="N6" s="71" t="s">
        <v>328</v>
      </c>
      <c r="O6" s="66">
        <f>C6</f>
        <v>46009</v>
      </c>
      <c r="P6" s="71" t="s">
        <v>322</v>
      </c>
      <c r="Q6" s="71" t="s">
        <v>328</v>
      </c>
    </row>
    <row r="7" spans="1:17" x14ac:dyDescent="0.25">
      <c r="A7" s="97" t="str">
        <f>'Data Vlaue (Cr)'!C2</f>
        <v>360ONE</v>
      </c>
      <c r="B7" s="140">
        <f>VLOOKUP($A7,'Data shares'!$C:$FB,7)</f>
        <v>1143.2</v>
      </c>
      <c r="C7" s="140">
        <f>VLOOKUP($A7,'Data shares'!$C:$FB,3)</f>
        <v>1144.4000000000001</v>
      </c>
      <c r="D7" s="140">
        <f>VLOOKUP($A7,'Data shares'!$C:$FB,4)</f>
        <v>1130.0999999999999</v>
      </c>
      <c r="E7" s="50">
        <f>(C7-D7)/D7*100</f>
        <v>1.2653747455977509</v>
      </c>
      <c r="F7" s="49">
        <f>VLOOKUP($A7,'Data shares'!$C:$FB,98)</f>
        <v>4730000</v>
      </c>
      <c r="G7" s="49">
        <f>VLOOKUP($A7,'Data shares'!$C:$FB,99)</f>
        <v>4733500</v>
      </c>
      <c r="H7" s="50">
        <f>(F7-G7)/G7*100</f>
        <v>-7.394105841343615E-2</v>
      </c>
      <c r="I7" s="49">
        <f>VLOOKUP($A7,'Data shares'!$C:$FB,66)</f>
        <v>2550000</v>
      </c>
      <c r="J7" s="49">
        <f>VLOOKUP($A7,'Data shares'!$C:$FB,67)</f>
        <v>18485000</v>
      </c>
      <c r="K7" s="50">
        <f>(I7-J7)/I7*100</f>
        <v>-624.9019607843137</v>
      </c>
      <c r="L7" s="50">
        <f>VLOOKUP($A7,'Data shares'!$C:$FB,118)</f>
        <v>0.59</v>
      </c>
      <c r="M7" s="50">
        <f>VLOOKUP($A7,'Data shares'!$C:$FB,119)</f>
        <v>0.63</v>
      </c>
      <c r="N7" s="50">
        <f>VLOOKUP($A7,'Data shares'!$C:$FB,121)*100</f>
        <v>-6.35</v>
      </c>
      <c r="O7" s="50">
        <f>VLOOKUP($A7,'Data shares'!$C:$FB,124)</f>
        <v>0.2</v>
      </c>
      <c r="P7" s="50">
        <f>VLOOKUP($A7,'Data shares'!$C:$FB,125)</f>
        <v>0.61</v>
      </c>
      <c r="Q7" s="50">
        <f>VLOOKUP($A7,'Data shares'!$C:$FB,127)*100</f>
        <v>-67.210000000000008</v>
      </c>
    </row>
    <row r="8" spans="1:17" x14ac:dyDescent="0.25">
      <c r="A8" s="97" t="str">
        <f>'Data Vlaue (Cr)'!C3</f>
        <v>ABB</v>
      </c>
      <c r="B8" s="140">
        <f>VLOOKUP($A8,'Data shares'!$C:$FB,7)</f>
        <v>5097.5</v>
      </c>
      <c r="C8" s="140">
        <f>VLOOKUP($A8,'Data shares'!$C:$FB,3)</f>
        <v>5116.5</v>
      </c>
      <c r="D8" s="140">
        <f>VLOOKUP($A8,'Data shares'!$C:$FB,4)</f>
        <v>5190</v>
      </c>
      <c r="E8" s="50">
        <f t="shared" ref="E8:E71" si="0">(C8-D8)/D8*100</f>
        <v>-1.4161849710982659</v>
      </c>
      <c r="F8" s="49">
        <f>VLOOKUP($A8,'Data shares'!$C:$FB,98)</f>
        <v>4169000</v>
      </c>
      <c r="G8" s="49">
        <f>VLOOKUP($A8,'Data shares'!$C:$FB,99)</f>
        <v>4053125</v>
      </c>
      <c r="H8" s="50">
        <f t="shared" ref="H8:H71" si="1">(F8-G8)/G8*100</f>
        <v>2.8589051657671551</v>
      </c>
      <c r="I8" s="49">
        <f>VLOOKUP($A8,'Data shares'!$C:$FB,66)</f>
        <v>2163000</v>
      </c>
      <c r="J8" s="49">
        <f>VLOOKUP($A8,'Data shares'!$C:$FB,67)</f>
        <v>1434750</v>
      </c>
      <c r="K8" s="50">
        <f t="shared" ref="K8:K71" si="2">(I8-J8)/I8*100</f>
        <v>33.668515950069349</v>
      </c>
      <c r="L8" s="50">
        <f>VLOOKUP($A8,'Data shares'!$C:$FB,118)</f>
        <v>0.76</v>
      </c>
      <c r="M8" s="50">
        <f>VLOOKUP($A8,'Data shares'!$C:$FB,119)</f>
        <v>0.78</v>
      </c>
      <c r="N8" s="50">
        <f>VLOOKUP($A8,'Data shares'!$C:$FB,121)*100</f>
        <v>-2.56</v>
      </c>
      <c r="O8" s="50">
        <f>VLOOKUP($A8,'Data shares'!$C:$FB,124)</f>
        <v>0.65</v>
      </c>
      <c r="P8" s="50">
        <f>VLOOKUP($A8,'Data shares'!$C:$FB,125)</f>
        <v>0.5</v>
      </c>
      <c r="Q8" s="50">
        <f>VLOOKUP($A8,'Data shares'!$C:$FB,127)*100</f>
        <v>30</v>
      </c>
    </row>
    <row r="9" spans="1:17" x14ac:dyDescent="0.25">
      <c r="A9" s="97" t="str">
        <f>'Data Vlaue (Cr)'!C4</f>
        <v>ABCAPITAL</v>
      </c>
      <c r="B9" s="140">
        <f>VLOOKUP($A9,'Data shares'!$C:$FB,7)</f>
        <v>344.25</v>
      </c>
      <c r="C9" s="140">
        <f>VLOOKUP($A9,'Data shares'!$C:$FB,3)</f>
        <v>345.5</v>
      </c>
      <c r="D9" s="140">
        <f>VLOOKUP($A9,'Data shares'!$C:$FB,4)</f>
        <v>347.7</v>
      </c>
      <c r="E9" s="50">
        <f t="shared" si="0"/>
        <v>-0.63272936439458982</v>
      </c>
      <c r="F9" s="49">
        <f>VLOOKUP($A9,'Data shares'!$C:$FB,98)</f>
        <v>120180800</v>
      </c>
      <c r="G9" s="49">
        <f>VLOOKUP($A9,'Data shares'!$C:$FB,99)</f>
        <v>120004100</v>
      </c>
      <c r="H9" s="50">
        <f t="shared" si="1"/>
        <v>0.14724496913022139</v>
      </c>
      <c r="I9" s="49">
        <f>VLOOKUP($A9,'Data shares'!$C:$FB,66)</f>
        <v>56711400</v>
      </c>
      <c r="J9" s="49">
        <f>VLOOKUP($A9,'Data shares'!$C:$FB,67)</f>
        <v>54637500</v>
      </c>
      <c r="K9" s="50">
        <f t="shared" si="2"/>
        <v>3.6569367005575599</v>
      </c>
      <c r="L9" s="50">
        <f>VLOOKUP($A9,'Data shares'!$C:$FB,118)</f>
        <v>0.62</v>
      </c>
      <c r="M9" s="50">
        <f>VLOOKUP($A9,'Data shares'!$C:$FB,119)</f>
        <v>0.65</v>
      </c>
      <c r="N9" s="50">
        <f>VLOOKUP($A9,'Data shares'!$C:$FB,121)*100</f>
        <v>-4.62</v>
      </c>
      <c r="O9" s="50">
        <f>VLOOKUP($A9,'Data shares'!$C:$FB,124)</f>
        <v>0.45</v>
      </c>
      <c r="P9" s="50">
        <f>VLOOKUP($A9,'Data shares'!$C:$FB,125)</f>
        <v>0.55000000000000004</v>
      </c>
      <c r="Q9" s="50">
        <f>VLOOKUP($A9,'Data shares'!$C:$FB,127)*100</f>
        <v>-18.18</v>
      </c>
    </row>
    <row r="10" spans="1:17" x14ac:dyDescent="0.25">
      <c r="A10" s="97" t="str">
        <f>'Data Vlaue (Cr)'!C5</f>
        <v>ADANIENSOL</v>
      </c>
      <c r="B10" s="140">
        <f>VLOOKUP($A10,'Data shares'!$C:$FB,7)</f>
        <v>976.3</v>
      </c>
      <c r="C10" s="140">
        <f>VLOOKUP($A10,'Data shares'!$C:$FB,3)</f>
        <v>977.65</v>
      </c>
      <c r="D10" s="140">
        <f>VLOOKUP($A10,'Data shares'!$C:$FB,4)</f>
        <v>981.3</v>
      </c>
      <c r="E10" s="50">
        <f t="shared" si="0"/>
        <v>-0.37195556914297134</v>
      </c>
      <c r="F10" s="49">
        <f>VLOOKUP($A10,'Data shares'!$C:$FB,98)</f>
        <v>24382350</v>
      </c>
      <c r="G10" s="49">
        <f>VLOOKUP($A10,'Data shares'!$C:$FB,99)</f>
        <v>24405300</v>
      </c>
      <c r="H10" s="50">
        <f t="shared" si="1"/>
        <v>-9.4036950990153786E-2</v>
      </c>
      <c r="I10" s="49">
        <f>VLOOKUP($A10,'Data shares'!$C:$FB,66)</f>
        <v>5623425</v>
      </c>
      <c r="J10" s="49">
        <f>VLOOKUP($A10,'Data shares'!$C:$FB,67)</f>
        <v>7362225</v>
      </c>
      <c r="K10" s="50">
        <f t="shared" si="2"/>
        <v>-30.920657784179571</v>
      </c>
      <c r="L10" s="50">
        <f>VLOOKUP($A10,'Data shares'!$C:$FB,118)</f>
        <v>0.54</v>
      </c>
      <c r="M10" s="50">
        <f>VLOOKUP($A10,'Data shares'!$C:$FB,119)</f>
        <v>0.56000000000000005</v>
      </c>
      <c r="N10" s="50">
        <f>VLOOKUP($A10,'Data shares'!$C:$FB,121)*100</f>
        <v>-3.5700000000000003</v>
      </c>
      <c r="O10" s="50">
        <f>VLOOKUP($A10,'Data shares'!$C:$FB,124)</f>
        <v>0.35</v>
      </c>
      <c r="P10" s="50">
        <f>VLOOKUP($A10,'Data shares'!$C:$FB,125)</f>
        <v>0.6</v>
      </c>
      <c r="Q10" s="50">
        <f>VLOOKUP($A10,'Data shares'!$C:$FB,127)*100</f>
        <v>-41.67</v>
      </c>
    </row>
    <row r="11" spans="1:17" x14ac:dyDescent="0.25">
      <c r="A11" s="97" t="str">
        <f>'Data Vlaue (Cr)'!C6</f>
        <v>ADANIENT</v>
      </c>
      <c r="B11" s="140">
        <f>VLOOKUP($A11,'Data shares'!$C:$FB,7)</f>
        <v>2229.3000000000002</v>
      </c>
      <c r="C11" s="140">
        <f>VLOOKUP($A11,'Data shares'!$C:$FB,3)</f>
        <v>2236.5</v>
      </c>
      <c r="D11" s="140">
        <f>VLOOKUP($A11,'Data shares'!$C:$FB,4)</f>
        <v>2241.8000000000002</v>
      </c>
      <c r="E11" s="50">
        <f t="shared" si="0"/>
        <v>-0.23641716477831123</v>
      </c>
      <c r="F11" s="49">
        <f>VLOOKUP($A11,'Data shares'!$C:$FB,98)</f>
        <v>45801525</v>
      </c>
      <c r="G11" s="49">
        <f>VLOOKUP($A11,'Data shares'!$C:$FB,99)</f>
        <v>45750540</v>
      </c>
      <c r="H11" s="50">
        <f t="shared" si="1"/>
        <v>0.11144130757800891</v>
      </c>
      <c r="I11" s="49">
        <f>VLOOKUP($A11,'Data shares'!$C:$FB,66)</f>
        <v>12755520</v>
      </c>
      <c r="J11" s="49">
        <f>VLOOKUP($A11,'Data shares'!$C:$FB,67)</f>
        <v>14097816</v>
      </c>
      <c r="K11" s="50">
        <f t="shared" si="2"/>
        <v>-10.523255813953488</v>
      </c>
      <c r="L11" s="50">
        <f>VLOOKUP($A11,'Data shares'!$C:$FB,118)</f>
        <v>0.62</v>
      </c>
      <c r="M11" s="50">
        <f>VLOOKUP($A11,'Data shares'!$C:$FB,119)</f>
        <v>0.61</v>
      </c>
      <c r="N11" s="50">
        <f>VLOOKUP($A11,'Data shares'!$C:$FB,121)*100</f>
        <v>1.6400000000000001</v>
      </c>
      <c r="O11" s="50">
        <f>VLOOKUP($A11,'Data shares'!$C:$FB,124)</f>
        <v>0.33</v>
      </c>
      <c r="P11" s="50">
        <f>VLOOKUP($A11,'Data shares'!$C:$FB,125)</f>
        <v>0.47</v>
      </c>
      <c r="Q11" s="50">
        <f>VLOOKUP($A11,'Data shares'!$C:$FB,127)*100</f>
        <v>-29.79</v>
      </c>
    </row>
    <row r="12" spans="1:17" x14ac:dyDescent="0.25">
      <c r="A12" s="97" t="str">
        <f>'Data Vlaue (Cr)'!C7</f>
        <v>ADANIGREEN</v>
      </c>
      <c r="B12" s="140">
        <f>VLOOKUP($A12,'Data shares'!$C:$FB,7)</f>
        <v>1011</v>
      </c>
      <c r="C12" s="140">
        <f>VLOOKUP($A12,'Data shares'!$C:$FB,3)</f>
        <v>1013.9</v>
      </c>
      <c r="D12" s="140">
        <f>VLOOKUP($A12,'Data shares'!$C:$FB,4)</f>
        <v>1023.6</v>
      </c>
      <c r="E12" s="50">
        <f t="shared" si="0"/>
        <v>-0.94763579523251718</v>
      </c>
      <c r="F12" s="49">
        <f>VLOOKUP($A12,'Data shares'!$C:$FB,98)</f>
        <v>44374200</v>
      </c>
      <c r="G12" s="49">
        <f>VLOOKUP($A12,'Data shares'!$C:$FB,99)</f>
        <v>45130200</v>
      </c>
      <c r="H12" s="50">
        <f t="shared" si="1"/>
        <v>-1.6751532233404685</v>
      </c>
      <c r="I12" s="49">
        <f>VLOOKUP($A12,'Data shares'!$C:$FB,66)</f>
        <v>18373800</v>
      </c>
      <c r="J12" s="49">
        <f>VLOOKUP($A12,'Data shares'!$C:$FB,67)</f>
        <v>16658400</v>
      </c>
      <c r="K12" s="50">
        <f t="shared" si="2"/>
        <v>9.3361199098716661</v>
      </c>
      <c r="L12" s="50">
        <f>VLOOKUP($A12,'Data shares'!$C:$FB,118)</f>
        <v>0.54</v>
      </c>
      <c r="M12" s="50">
        <f>VLOOKUP($A12,'Data shares'!$C:$FB,119)</f>
        <v>0.54</v>
      </c>
      <c r="N12" s="50">
        <f>VLOOKUP($A12,'Data shares'!$C:$FB,121)*100</f>
        <v>0</v>
      </c>
      <c r="O12" s="50">
        <f>VLOOKUP($A12,'Data shares'!$C:$FB,124)</f>
        <v>0.45</v>
      </c>
      <c r="P12" s="50">
        <f>VLOOKUP($A12,'Data shares'!$C:$FB,125)</f>
        <v>0.53</v>
      </c>
      <c r="Q12" s="50">
        <f>VLOOKUP($A12,'Data shares'!$C:$FB,127)*100</f>
        <v>-15.09</v>
      </c>
    </row>
    <row r="13" spans="1:17" x14ac:dyDescent="0.25">
      <c r="A13" s="97" t="str">
        <f>'Data Vlaue (Cr)'!C8</f>
        <v>ADANIPORTS</v>
      </c>
      <c r="B13" s="140">
        <f>VLOOKUP($A13,'Data shares'!$C:$FB,7)</f>
        <v>1495.7</v>
      </c>
      <c r="C13" s="140">
        <f>VLOOKUP($A13,'Data shares'!$C:$FB,3)</f>
        <v>1499.4</v>
      </c>
      <c r="D13" s="140">
        <f>VLOOKUP($A13,'Data shares'!$C:$FB,4)</f>
        <v>1491.8</v>
      </c>
      <c r="E13" s="50">
        <f t="shared" si="0"/>
        <v>0.50945166912455675</v>
      </c>
      <c r="F13" s="49">
        <f>VLOOKUP($A13,'Data shares'!$C:$FB,98)</f>
        <v>38268850</v>
      </c>
      <c r="G13" s="49">
        <f>VLOOKUP($A13,'Data shares'!$C:$FB,99)</f>
        <v>37797650</v>
      </c>
      <c r="H13" s="50">
        <f t="shared" si="1"/>
        <v>1.246638349209541</v>
      </c>
      <c r="I13" s="49">
        <f>VLOOKUP($A13,'Data shares'!$C:$FB,66)</f>
        <v>13196925</v>
      </c>
      <c r="J13" s="49">
        <f>VLOOKUP($A13,'Data shares'!$C:$FB,67)</f>
        <v>11946725</v>
      </c>
      <c r="K13" s="50">
        <f t="shared" si="2"/>
        <v>9.4734189972285208</v>
      </c>
      <c r="L13" s="50">
        <f>VLOOKUP($A13,'Data shares'!$C:$FB,118)</f>
        <v>0.5</v>
      </c>
      <c r="M13" s="50">
        <f>VLOOKUP($A13,'Data shares'!$C:$FB,119)</f>
        <v>0.49</v>
      </c>
      <c r="N13" s="50">
        <f>VLOOKUP($A13,'Data shares'!$C:$FB,121)*100</f>
        <v>2.04</v>
      </c>
      <c r="O13" s="50">
        <f>VLOOKUP($A13,'Data shares'!$C:$FB,124)</f>
        <v>0.38</v>
      </c>
      <c r="P13" s="50">
        <f>VLOOKUP($A13,'Data shares'!$C:$FB,125)</f>
        <v>0.45</v>
      </c>
      <c r="Q13" s="50">
        <f>VLOOKUP($A13,'Data shares'!$C:$FB,127)*100</f>
        <v>-15.559999999999999</v>
      </c>
    </row>
    <row r="14" spans="1:17" x14ac:dyDescent="0.25">
      <c r="A14" s="97" t="str">
        <f>'Data Vlaue (Cr)'!C9</f>
        <v>ALKEM</v>
      </c>
      <c r="B14" s="140">
        <f>VLOOKUP($A14,'Data shares'!$C:$FB,7)</f>
        <v>5521</v>
      </c>
      <c r="C14" s="140">
        <f>VLOOKUP($A14,'Data shares'!$C:$FB,3)</f>
        <v>5533</v>
      </c>
      <c r="D14" s="140">
        <f>VLOOKUP($A14,'Data shares'!$C:$FB,4)</f>
        <v>5635.5</v>
      </c>
      <c r="E14" s="50">
        <f>(C14-D14)/D14*100</f>
        <v>-1.8188270783426492</v>
      </c>
      <c r="F14" s="49">
        <f>VLOOKUP($A14,'Data shares'!$C:$FB,98)</f>
        <v>2030875</v>
      </c>
      <c r="G14" s="49">
        <f>VLOOKUP($A14,'Data shares'!$C:$FB,99)</f>
        <v>2011375</v>
      </c>
      <c r="H14" s="50">
        <f t="shared" si="1"/>
        <v>0.96948604810142314</v>
      </c>
      <c r="I14" s="49">
        <f>VLOOKUP($A14,'Data shares'!$C:$FB,66)</f>
        <v>668125</v>
      </c>
      <c r="J14" s="49">
        <f>VLOOKUP($A14,'Data shares'!$C:$FB,67)</f>
        <v>652625</v>
      </c>
      <c r="K14" s="50">
        <f t="shared" si="2"/>
        <v>2.3199251637043967</v>
      </c>
      <c r="L14" s="50">
        <f>VLOOKUP($A14,'Data shares'!$C:$FB,118)</f>
        <v>0.61</v>
      </c>
      <c r="M14" s="50">
        <f>VLOOKUP($A14,'Data shares'!$C:$FB,119)</f>
        <v>0.65</v>
      </c>
      <c r="N14" s="50">
        <f>VLOOKUP($A14,'Data shares'!$C:$FB,121)*100</f>
        <v>-6.15</v>
      </c>
      <c r="O14" s="50">
        <f>VLOOKUP($A14,'Data shares'!$C:$FB,124)</f>
        <v>0.91</v>
      </c>
      <c r="P14" s="50">
        <f>VLOOKUP($A14,'Data shares'!$C:$FB,125)</f>
        <v>0.42</v>
      </c>
      <c r="Q14" s="50">
        <f>VLOOKUP($A14,'Data shares'!$C:$FB,127)*100</f>
        <v>116.67</v>
      </c>
    </row>
    <row r="15" spans="1:17" x14ac:dyDescent="0.25">
      <c r="A15" s="97" t="str">
        <f>'Data Vlaue (Cr)'!C10</f>
        <v>AMBER</v>
      </c>
      <c r="B15" s="140">
        <f>VLOOKUP($A15,'Data shares'!$C:$FB,7)</f>
        <v>6585.5</v>
      </c>
      <c r="C15" s="140">
        <f>VLOOKUP($A15,'Data shares'!$C:$FB,3)</f>
        <v>6595</v>
      </c>
      <c r="D15" s="140">
        <f>VLOOKUP($A15,'Data shares'!$C:$FB,4)</f>
        <v>6600</v>
      </c>
      <c r="E15" s="50">
        <f t="shared" si="0"/>
        <v>-7.575757575757576E-2</v>
      </c>
      <c r="F15" s="49">
        <f>VLOOKUP($A15,'Data shares'!$C:$FB,98)</f>
        <v>3127800</v>
      </c>
      <c r="G15" s="49">
        <f>VLOOKUP($A15,'Data shares'!$C:$FB,99)</f>
        <v>3135300</v>
      </c>
      <c r="H15" s="50">
        <f t="shared" si="1"/>
        <v>-0.23921155870251654</v>
      </c>
      <c r="I15" s="49">
        <f>VLOOKUP($A15,'Data shares'!$C:$FB,66)</f>
        <v>1739900</v>
      </c>
      <c r="J15" s="49">
        <f>VLOOKUP($A15,'Data shares'!$C:$FB,67)</f>
        <v>3310900</v>
      </c>
      <c r="K15" s="50">
        <f t="shared" si="2"/>
        <v>-90.292545548594745</v>
      </c>
      <c r="L15" s="50">
        <f>VLOOKUP($A15,'Data shares'!$C:$FB,118)</f>
        <v>0.69</v>
      </c>
      <c r="M15" s="50">
        <f>VLOOKUP($A15,'Data shares'!$C:$FB,119)</f>
        <v>0.66</v>
      </c>
      <c r="N15" s="50">
        <f>VLOOKUP($A15,'Data shares'!$C:$FB,121)*100</f>
        <v>4.55</v>
      </c>
      <c r="O15" s="50">
        <f>VLOOKUP($A15,'Data shares'!$C:$FB,124)</f>
        <v>0.71</v>
      </c>
      <c r="P15" s="50">
        <f>VLOOKUP($A15,'Data shares'!$C:$FB,125)</f>
        <v>0.8</v>
      </c>
      <c r="Q15" s="50">
        <f>VLOOKUP($A15,'Data shares'!$C:$FB,127)*100</f>
        <v>-11.25</v>
      </c>
    </row>
    <row r="16" spans="1:17" x14ac:dyDescent="0.25">
      <c r="A16" s="97" t="str">
        <f>'Data Vlaue (Cr)'!C11</f>
        <v>AMBUJACEM</v>
      </c>
      <c r="B16" s="140">
        <f>VLOOKUP($A16,'Data shares'!$C:$FB,7)</f>
        <v>535.79999999999995</v>
      </c>
      <c r="C16" s="140">
        <f>VLOOKUP($A16,'Data shares'!$C:$FB,3)</f>
        <v>537.45000000000005</v>
      </c>
      <c r="D16" s="140">
        <f>VLOOKUP($A16,'Data shares'!$C:$FB,4)</f>
        <v>541.9</v>
      </c>
      <c r="E16" s="50">
        <f t="shared" si="0"/>
        <v>-0.82118472042811075</v>
      </c>
      <c r="F16" s="49">
        <f>VLOOKUP($A16,'Data shares'!$C:$FB,98)</f>
        <v>70615650</v>
      </c>
      <c r="G16" s="49">
        <f>VLOOKUP($A16,'Data shares'!$C:$FB,99)</f>
        <v>69549900</v>
      </c>
      <c r="H16" s="50">
        <f t="shared" si="1"/>
        <v>1.5323530299827894</v>
      </c>
      <c r="I16" s="49">
        <f>VLOOKUP($A16,'Data shares'!$C:$FB,66)</f>
        <v>13879950</v>
      </c>
      <c r="J16" s="49">
        <f>VLOOKUP($A16,'Data shares'!$C:$FB,67)</f>
        <v>10128300</v>
      </c>
      <c r="K16" s="50">
        <f t="shared" si="2"/>
        <v>27.029276042060669</v>
      </c>
      <c r="L16" s="50">
        <f>VLOOKUP($A16,'Data shares'!$C:$FB,118)</f>
        <v>0.76</v>
      </c>
      <c r="M16" s="50">
        <f>VLOOKUP($A16,'Data shares'!$C:$FB,119)</f>
        <v>0.81</v>
      </c>
      <c r="N16" s="50">
        <f>VLOOKUP($A16,'Data shares'!$C:$FB,121)*100</f>
        <v>-6.17</v>
      </c>
      <c r="O16" s="50">
        <f>VLOOKUP($A16,'Data shares'!$C:$FB,124)</f>
        <v>0.42</v>
      </c>
      <c r="P16" s="50">
        <f>VLOOKUP($A16,'Data shares'!$C:$FB,125)</f>
        <v>0.45</v>
      </c>
      <c r="Q16" s="50">
        <f>VLOOKUP($A16,'Data shares'!$C:$FB,127)*100</f>
        <v>-6.67</v>
      </c>
    </row>
    <row r="17" spans="1:17" x14ac:dyDescent="0.25">
      <c r="A17" s="97" t="str">
        <f>'Data Vlaue (Cr)'!C12</f>
        <v>ANGELONE</v>
      </c>
      <c r="B17" s="140">
        <f>VLOOKUP($A17,'Data shares'!$C:$FB,7)</f>
        <v>2479.1</v>
      </c>
      <c r="C17" s="140">
        <f>VLOOKUP($A17,'Data shares'!$C:$FB,3)</f>
        <v>2476.8000000000002</v>
      </c>
      <c r="D17" s="140">
        <f>VLOOKUP($A17,'Data shares'!$C:$FB,4)</f>
        <v>2478.9</v>
      </c>
      <c r="E17" s="50">
        <f t="shared" si="0"/>
        <v>-8.4714994554032391E-2</v>
      </c>
      <c r="F17" s="49">
        <f>VLOOKUP($A17,'Data shares'!$C:$FB,98)</f>
        <v>11926750</v>
      </c>
      <c r="G17" s="49">
        <f>VLOOKUP($A17,'Data shares'!$C:$FB,99)</f>
        <v>11446750</v>
      </c>
      <c r="H17" s="50">
        <f t="shared" si="1"/>
        <v>4.1933299844934151</v>
      </c>
      <c r="I17" s="49">
        <f>VLOOKUP($A17,'Data shares'!$C:$FB,66)</f>
        <v>10394500</v>
      </c>
      <c r="J17" s="49">
        <f>VLOOKUP($A17,'Data shares'!$C:$FB,67)</f>
        <v>6391500</v>
      </c>
      <c r="K17" s="50">
        <f t="shared" si="2"/>
        <v>38.510750877868105</v>
      </c>
      <c r="L17" s="50">
        <f>VLOOKUP($A17,'Data shares'!$C:$FB,118)</f>
        <v>0.39</v>
      </c>
      <c r="M17" s="50">
        <f>VLOOKUP($A17,'Data shares'!$C:$FB,119)</f>
        <v>0.41</v>
      </c>
      <c r="N17" s="50">
        <f>VLOOKUP($A17,'Data shares'!$C:$FB,121)*100</f>
        <v>-4.88</v>
      </c>
      <c r="O17" s="50">
        <f>VLOOKUP($A17,'Data shares'!$C:$FB,124)</f>
        <v>0.34</v>
      </c>
      <c r="P17" s="50">
        <f>VLOOKUP($A17,'Data shares'!$C:$FB,125)</f>
        <v>0.4</v>
      </c>
      <c r="Q17" s="50">
        <f>VLOOKUP($A17,'Data shares'!$C:$FB,127)*100</f>
        <v>-15</v>
      </c>
    </row>
    <row r="18" spans="1:17" x14ac:dyDescent="0.25">
      <c r="A18" s="97" t="str">
        <f>'Data Vlaue (Cr)'!C13</f>
        <v>APLAPOLLO</v>
      </c>
      <c r="B18" s="140">
        <f>VLOOKUP($A18,'Data shares'!$C:$FB,7)</f>
        <v>1795.7</v>
      </c>
      <c r="C18" s="140">
        <f>VLOOKUP($A18,'Data shares'!$C:$FB,3)</f>
        <v>1800.8</v>
      </c>
      <c r="D18" s="140">
        <f>VLOOKUP($A18,'Data shares'!$C:$FB,4)</f>
        <v>1769.5</v>
      </c>
      <c r="E18" s="50">
        <f t="shared" si="0"/>
        <v>1.7688612602430038</v>
      </c>
      <c r="F18" s="49">
        <f>VLOOKUP($A18,'Data shares'!$C:$FB,98)</f>
        <v>9653700</v>
      </c>
      <c r="G18" s="49">
        <f>VLOOKUP($A18,'Data shares'!$C:$FB,99)</f>
        <v>9858100</v>
      </c>
      <c r="H18" s="50">
        <f t="shared" si="1"/>
        <v>-2.0734218561386069</v>
      </c>
      <c r="I18" s="49">
        <f>VLOOKUP($A18,'Data shares'!$C:$FB,66)</f>
        <v>6489350</v>
      </c>
      <c r="J18" s="49">
        <f>VLOOKUP($A18,'Data shares'!$C:$FB,67)</f>
        <v>9178750</v>
      </c>
      <c r="K18" s="50">
        <f t="shared" si="2"/>
        <v>-41.443287848551854</v>
      </c>
      <c r="L18" s="50">
        <f>VLOOKUP($A18,'Data shares'!$C:$FB,118)</f>
        <v>0.84</v>
      </c>
      <c r="M18" s="50">
        <f>VLOOKUP($A18,'Data shares'!$C:$FB,119)</f>
        <v>0.75</v>
      </c>
      <c r="N18" s="50">
        <f>VLOOKUP($A18,'Data shares'!$C:$FB,121)*100</f>
        <v>12</v>
      </c>
      <c r="O18" s="50">
        <f>VLOOKUP($A18,'Data shares'!$C:$FB,124)</f>
        <v>0.39</v>
      </c>
      <c r="P18" s="50">
        <f>VLOOKUP($A18,'Data shares'!$C:$FB,125)</f>
        <v>0.32</v>
      </c>
      <c r="Q18" s="50">
        <f>VLOOKUP($A18,'Data shares'!$C:$FB,127)*100</f>
        <v>21.88</v>
      </c>
    </row>
    <row r="19" spans="1:17" x14ac:dyDescent="0.25">
      <c r="A19" s="97" t="str">
        <f>'Data Vlaue (Cr)'!C14</f>
        <v>APOLLOHOSP</v>
      </c>
      <c r="B19" s="140">
        <f>VLOOKUP($A19,'Data shares'!$C:$FB,7)</f>
        <v>6918.5</v>
      </c>
      <c r="C19" s="140">
        <f>VLOOKUP($A19,'Data shares'!$C:$FB,3)</f>
        <v>6933.5</v>
      </c>
      <c r="D19" s="140">
        <f>VLOOKUP($A19,'Data shares'!$C:$FB,4)</f>
        <v>6927.5</v>
      </c>
      <c r="E19" s="50">
        <f t="shared" si="0"/>
        <v>8.6611331649224105E-2</v>
      </c>
      <c r="F19" s="49">
        <f>VLOOKUP($A19,'Data shares'!$C:$FB,98)</f>
        <v>6982125</v>
      </c>
      <c r="G19" s="49">
        <f>VLOOKUP($A19,'Data shares'!$C:$FB,99)</f>
        <v>6962375</v>
      </c>
      <c r="H19" s="50">
        <f t="shared" si="1"/>
        <v>0.28366757033339918</v>
      </c>
      <c r="I19" s="49">
        <f>VLOOKUP($A19,'Data shares'!$C:$FB,66)</f>
        <v>4296250</v>
      </c>
      <c r="J19" s="49">
        <f>VLOOKUP($A19,'Data shares'!$C:$FB,67)</f>
        <v>5077125</v>
      </c>
      <c r="K19" s="50">
        <f t="shared" si="2"/>
        <v>-18.175734652313064</v>
      </c>
      <c r="L19" s="50">
        <f>VLOOKUP($A19,'Data shares'!$C:$FB,118)</f>
        <v>0.48</v>
      </c>
      <c r="M19" s="50">
        <f>VLOOKUP($A19,'Data shares'!$C:$FB,119)</f>
        <v>0.47</v>
      </c>
      <c r="N19" s="50">
        <f>VLOOKUP($A19,'Data shares'!$C:$FB,121)*100</f>
        <v>2.13</v>
      </c>
      <c r="O19" s="50">
        <f>VLOOKUP($A19,'Data shares'!$C:$FB,124)</f>
        <v>0.41</v>
      </c>
      <c r="P19" s="50">
        <f>VLOOKUP($A19,'Data shares'!$C:$FB,125)</f>
        <v>0.54</v>
      </c>
      <c r="Q19" s="50">
        <f>VLOOKUP($A19,'Data shares'!$C:$FB,127)*100</f>
        <v>-24.07</v>
      </c>
    </row>
    <row r="20" spans="1:17" x14ac:dyDescent="0.25">
      <c r="A20" s="97" t="str">
        <f>'Data Vlaue (Cr)'!C15</f>
        <v>ASHOKLEY</v>
      </c>
      <c r="B20" s="140">
        <f>VLOOKUP($A20,'Data shares'!$C:$FB,7)</f>
        <v>171.57</v>
      </c>
      <c r="C20" s="140">
        <f>VLOOKUP($A20,'Data shares'!$C:$FB,3)</f>
        <v>170.12</v>
      </c>
      <c r="D20" s="140">
        <f>VLOOKUP($A20,'Data shares'!$C:$FB,4)</f>
        <v>166.15</v>
      </c>
      <c r="E20" s="50">
        <f t="shared" si="0"/>
        <v>2.3894071622028279</v>
      </c>
      <c r="F20" s="49">
        <f>VLOOKUP($A20,'Data shares'!$C:$FB,98)</f>
        <v>317360000</v>
      </c>
      <c r="G20" s="49">
        <f>VLOOKUP($A20,'Data shares'!$C:$FB,99)</f>
        <v>293850000</v>
      </c>
      <c r="H20" s="50">
        <f t="shared" si="1"/>
        <v>8.0006806193636208</v>
      </c>
      <c r="I20" s="49">
        <f>VLOOKUP($A20,'Data shares'!$C:$FB,66)</f>
        <v>403205000</v>
      </c>
      <c r="J20" s="49">
        <f>VLOOKUP($A20,'Data shares'!$C:$FB,67)</f>
        <v>123790000</v>
      </c>
      <c r="K20" s="50">
        <f t="shared" si="2"/>
        <v>69.2984958023834</v>
      </c>
      <c r="L20" s="50">
        <f>VLOOKUP($A20,'Data shares'!$C:$FB,118)</f>
        <v>1</v>
      </c>
      <c r="M20" s="50">
        <f>VLOOKUP($A20,'Data shares'!$C:$FB,119)</f>
        <v>0.98</v>
      </c>
      <c r="N20" s="50">
        <f>VLOOKUP($A20,'Data shares'!$C:$FB,121)*100</f>
        <v>2.04</v>
      </c>
      <c r="O20" s="50">
        <f>VLOOKUP($A20,'Data shares'!$C:$FB,124)</f>
        <v>0.48</v>
      </c>
      <c r="P20" s="50">
        <f>VLOOKUP($A20,'Data shares'!$C:$FB,125)</f>
        <v>0.66</v>
      </c>
      <c r="Q20" s="50">
        <f>VLOOKUP($A20,'Data shares'!$C:$FB,127)*100</f>
        <v>-27.27</v>
      </c>
    </row>
    <row r="21" spans="1:17" x14ac:dyDescent="0.25">
      <c r="A21" s="97" t="str">
        <f>'Data Vlaue (Cr)'!C16</f>
        <v>ASIANPAINT</v>
      </c>
      <c r="B21" s="140">
        <f>VLOOKUP($A21,'Data shares'!$C:$FB,7)</f>
        <v>2759.7</v>
      </c>
      <c r="C21" s="140">
        <f>VLOOKUP($A21,'Data shares'!$C:$FB,3)</f>
        <v>2764.1</v>
      </c>
      <c r="D21" s="140">
        <f>VLOOKUP($A21,'Data shares'!$C:$FB,4)</f>
        <v>2785.6</v>
      </c>
      <c r="E21" s="50">
        <f t="shared" si="0"/>
        <v>-0.77182653647329125</v>
      </c>
      <c r="F21" s="49">
        <f>VLOOKUP($A21,'Data shares'!$C:$FB,98)</f>
        <v>25786250</v>
      </c>
      <c r="G21" s="49">
        <f>VLOOKUP($A21,'Data shares'!$C:$FB,99)</f>
        <v>25628250</v>
      </c>
      <c r="H21" s="50">
        <f t="shared" si="1"/>
        <v>0.61650717469979421</v>
      </c>
      <c r="I21" s="49">
        <f>VLOOKUP($A21,'Data shares'!$C:$FB,66)</f>
        <v>10865250</v>
      </c>
      <c r="J21" s="49">
        <f>VLOOKUP($A21,'Data shares'!$C:$FB,67)</f>
        <v>10192750</v>
      </c>
      <c r="K21" s="50">
        <f t="shared" si="2"/>
        <v>6.189457214514162</v>
      </c>
      <c r="L21" s="50">
        <f>VLOOKUP($A21,'Data shares'!$C:$FB,118)</f>
        <v>0.49</v>
      </c>
      <c r="M21" s="50">
        <f>VLOOKUP($A21,'Data shares'!$C:$FB,119)</f>
        <v>0.51</v>
      </c>
      <c r="N21" s="50">
        <f>VLOOKUP($A21,'Data shares'!$C:$FB,121)*100</f>
        <v>-3.92</v>
      </c>
      <c r="O21" s="50">
        <f>VLOOKUP($A21,'Data shares'!$C:$FB,124)</f>
        <v>0.41</v>
      </c>
      <c r="P21" s="50">
        <f>VLOOKUP($A21,'Data shares'!$C:$FB,125)</f>
        <v>0.38</v>
      </c>
      <c r="Q21" s="50">
        <f>VLOOKUP($A21,'Data shares'!$C:$FB,127)*100</f>
        <v>7.89</v>
      </c>
    </row>
    <row r="22" spans="1:17" x14ac:dyDescent="0.25">
      <c r="A22" s="97" t="str">
        <f>'Data Vlaue (Cr)'!C17</f>
        <v>ASTRAL</v>
      </c>
      <c r="B22" s="140">
        <f>VLOOKUP($A22,'Data shares'!$C:$FB,7)</f>
        <v>1407.9</v>
      </c>
      <c r="C22" s="140">
        <f>VLOOKUP($A22,'Data shares'!$C:$FB,3)</f>
        <v>1414</v>
      </c>
      <c r="D22" s="140">
        <f>VLOOKUP($A22,'Data shares'!$C:$FB,4)</f>
        <v>1430.9</v>
      </c>
      <c r="E22" s="50">
        <f t="shared" si="0"/>
        <v>-1.18107484799777</v>
      </c>
      <c r="F22" s="49">
        <f>VLOOKUP($A22,'Data shares'!$C:$FB,98)</f>
        <v>13478875</v>
      </c>
      <c r="G22" s="49">
        <f>VLOOKUP($A22,'Data shares'!$C:$FB,99)</f>
        <v>13217925</v>
      </c>
      <c r="H22" s="50">
        <f t="shared" si="1"/>
        <v>1.9742130478119675</v>
      </c>
      <c r="I22" s="49">
        <f>VLOOKUP($A22,'Data shares'!$C:$FB,66)</f>
        <v>5165875</v>
      </c>
      <c r="J22" s="49">
        <f>VLOOKUP($A22,'Data shares'!$C:$FB,67)</f>
        <v>8644925</v>
      </c>
      <c r="K22" s="50">
        <f t="shared" si="2"/>
        <v>-67.346770876182632</v>
      </c>
      <c r="L22" s="50">
        <f>VLOOKUP($A22,'Data shares'!$C:$FB,118)</f>
        <v>0.53</v>
      </c>
      <c r="M22" s="50">
        <f>VLOOKUP($A22,'Data shares'!$C:$FB,119)</f>
        <v>0.51</v>
      </c>
      <c r="N22" s="50">
        <f>VLOOKUP($A22,'Data shares'!$C:$FB,121)*100</f>
        <v>3.92</v>
      </c>
      <c r="O22" s="50">
        <f>VLOOKUP($A22,'Data shares'!$C:$FB,124)</f>
        <v>0.7</v>
      </c>
      <c r="P22" s="50">
        <f>VLOOKUP($A22,'Data shares'!$C:$FB,125)</f>
        <v>0.72</v>
      </c>
      <c r="Q22" s="50">
        <f>VLOOKUP($A22,'Data shares'!$C:$FB,127)*100</f>
        <v>-2.78</v>
      </c>
    </row>
    <row r="23" spans="1:17" x14ac:dyDescent="0.25">
      <c r="A23" s="97" t="str">
        <f>'Data Vlaue (Cr)'!C18</f>
        <v>AUBANK</v>
      </c>
      <c r="B23" s="140">
        <f>VLOOKUP($A23,'Data shares'!$C:$FB,7)</f>
        <v>987.65</v>
      </c>
      <c r="C23" s="140">
        <f>VLOOKUP($A23,'Data shares'!$C:$FB,3)</f>
        <v>987.4</v>
      </c>
      <c r="D23" s="140">
        <f>VLOOKUP($A23,'Data shares'!$C:$FB,4)</f>
        <v>988.7</v>
      </c>
      <c r="E23" s="50">
        <f t="shared" si="0"/>
        <v>-0.13148578942045799</v>
      </c>
      <c r="F23" s="49">
        <f>VLOOKUP($A23,'Data shares'!$C:$FB,98)</f>
        <v>37884000</v>
      </c>
      <c r="G23" s="49">
        <f>VLOOKUP($A23,'Data shares'!$C:$FB,99)</f>
        <v>37009000</v>
      </c>
      <c r="H23" s="50">
        <f t="shared" si="1"/>
        <v>2.364289767353887</v>
      </c>
      <c r="I23" s="49">
        <f>VLOOKUP($A23,'Data shares'!$C:$FB,66)</f>
        <v>15147000</v>
      </c>
      <c r="J23" s="49">
        <f>VLOOKUP($A23,'Data shares'!$C:$FB,67)</f>
        <v>33329000</v>
      </c>
      <c r="K23" s="50">
        <f t="shared" si="2"/>
        <v>-120.03697101736317</v>
      </c>
      <c r="L23" s="50">
        <f>VLOOKUP($A23,'Data shares'!$C:$FB,118)</f>
        <v>0.83</v>
      </c>
      <c r="M23" s="50">
        <f>VLOOKUP($A23,'Data shares'!$C:$FB,119)</f>
        <v>0.81</v>
      </c>
      <c r="N23" s="50">
        <f>VLOOKUP($A23,'Data shares'!$C:$FB,121)*100</f>
        <v>2.4699999999999998</v>
      </c>
      <c r="O23" s="50">
        <f>VLOOKUP($A23,'Data shares'!$C:$FB,124)</f>
        <v>0.66</v>
      </c>
      <c r="P23" s="50">
        <f>VLOOKUP($A23,'Data shares'!$C:$FB,125)</f>
        <v>0.41</v>
      </c>
      <c r="Q23" s="50">
        <f>VLOOKUP($A23,'Data shares'!$C:$FB,127)*100</f>
        <v>60.980000000000004</v>
      </c>
    </row>
    <row r="24" spans="1:17" x14ac:dyDescent="0.25">
      <c r="A24" s="97" t="str">
        <f>'Data Vlaue (Cr)'!C19</f>
        <v>AUROPHARMA</v>
      </c>
      <c r="B24" s="140">
        <f>VLOOKUP($A24,'Data shares'!$C:$FB,7)</f>
        <v>1209.3</v>
      </c>
      <c r="C24" s="140">
        <f>VLOOKUP($A24,'Data shares'!$C:$FB,3)</f>
        <v>1210</v>
      </c>
      <c r="D24" s="140">
        <f>VLOOKUP($A24,'Data shares'!$C:$FB,4)</f>
        <v>1195.3</v>
      </c>
      <c r="E24" s="50">
        <f t="shared" si="0"/>
        <v>1.2298167823977282</v>
      </c>
      <c r="F24" s="49">
        <f>VLOOKUP($A24,'Data shares'!$C:$FB,98)</f>
        <v>31027700</v>
      </c>
      <c r="G24" s="49">
        <f>VLOOKUP($A24,'Data shares'!$C:$FB,99)</f>
        <v>31045850</v>
      </c>
      <c r="H24" s="50">
        <f t="shared" si="1"/>
        <v>-5.8461920031179684E-2</v>
      </c>
      <c r="I24" s="49">
        <f>VLOOKUP($A24,'Data shares'!$C:$FB,66)</f>
        <v>12348050</v>
      </c>
      <c r="J24" s="49">
        <f>VLOOKUP($A24,'Data shares'!$C:$FB,67)</f>
        <v>5931750</v>
      </c>
      <c r="K24" s="50">
        <f t="shared" si="2"/>
        <v>51.962050688165341</v>
      </c>
      <c r="L24" s="50">
        <f>VLOOKUP($A24,'Data shares'!$C:$FB,118)</f>
        <v>0.49</v>
      </c>
      <c r="M24" s="50">
        <f>VLOOKUP($A24,'Data shares'!$C:$FB,119)</f>
        <v>0.45</v>
      </c>
      <c r="N24" s="50">
        <f>VLOOKUP($A24,'Data shares'!$C:$FB,121)*100</f>
        <v>8.89</v>
      </c>
      <c r="O24" s="50">
        <f>VLOOKUP($A24,'Data shares'!$C:$FB,124)</f>
        <v>0.59</v>
      </c>
      <c r="P24" s="50">
        <f>VLOOKUP($A24,'Data shares'!$C:$FB,125)</f>
        <v>0.36</v>
      </c>
      <c r="Q24" s="50">
        <f>VLOOKUP($A24,'Data shares'!$C:$FB,127)*100</f>
        <v>63.89</v>
      </c>
    </row>
    <row r="25" spans="1:17" x14ac:dyDescent="0.25">
      <c r="A25" s="97" t="str">
        <f>'Data Vlaue (Cr)'!C20</f>
        <v>AXISBANK</v>
      </c>
      <c r="B25" s="140">
        <f>VLOOKUP($A25,'Data shares'!$C:$FB,7)</f>
        <v>1229.8</v>
      </c>
      <c r="C25" s="140">
        <f>VLOOKUP($A25,'Data shares'!$C:$FB,3)</f>
        <v>1233</v>
      </c>
      <c r="D25" s="140">
        <f>VLOOKUP($A25,'Data shares'!$C:$FB,4)</f>
        <v>1228.5999999999999</v>
      </c>
      <c r="E25" s="50">
        <f t="shared" si="0"/>
        <v>0.35813120625102485</v>
      </c>
      <c r="F25" s="49">
        <f>VLOOKUP($A25,'Data shares'!$C:$FB,98)</f>
        <v>125592500</v>
      </c>
      <c r="G25" s="49">
        <f>VLOOKUP($A25,'Data shares'!$C:$FB,99)</f>
        <v>129960000</v>
      </c>
      <c r="H25" s="50">
        <f t="shared" si="1"/>
        <v>-3.3606494305940289</v>
      </c>
      <c r="I25" s="49">
        <f>VLOOKUP($A25,'Data shares'!$C:$FB,66)</f>
        <v>59158125</v>
      </c>
      <c r="J25" s="49">
        <f>VLOOKUP($A25,'Data shares'!$C:$FB,67)</f>
        <v>99665625</v>
      </c>
      <c r="K25" s="50">
        <f t="shared" si="2"/>
        <v>-68.473265506640047</v>
      </c>
      <c r="L25" s="50">
        <f>VLOOKUP($A25,'Data shares'!$C:$FB,118)</f>
        <v>0.46</v>
      </c>
      <c r="M25" s="50">
        <f>VLOOKUP($A25,'Data shares'!$C:$FB,119)</f>
        <v>0.44</v>
      </c>
      <c r="N25" s="50">
        <f>VLOOKUP($A25,'Data shares'!$C:$FB,121)*100</f>
        <v>4.55</v>
      </c>
      <c r="O25" s="50">
        <f>VLOOKUP($A25,'Data shares'!$C:$FB,124)</f>
        <v>0.54</v>
      </c>
      <c r="P25" s="50">
        <f>VLOOKUP($A25,'Data shares'!$C:$FB,125)</f>
        <v>0.66</v>
      </c>
      <c r="Q25" s="50">
        <f>VLOOKUP($A25,'Data shares'!$C:$FB,127)*100</f>
        <v>-18.18</v>
      </c>
    </row>
    <row r="26" spans="1:17" x14ac:dyDescent="0.25">
      <c r="A26" s="97" t="str">
        <f>'Data Vlaue (Cr)'!C21</f>
        <v>BAJAJ-AUTO</v>
      </c>
      <c r="B26" s="140">
        <f>VLOOKUP($A26,'Data shares'!$C:$FB,7)</f>
        <v>8831</v>
      </c>
      <c r="C26" s="140">
        <f>VLOOKUP($A26,'Data shares'!$C:$FB,3)</f>
        <v>8861</v>
      </c>
      <c r="D26" s="140">
        <f>VLOOKUP($A26,'Data shares'!$C:$FB,4)</f>
        <v>8924.5</v>
      </c>
      <c r="E26" s="50">
        <f t="shared" si="0"/>
        <v>-0.71152445515154905</v>
      </c>
      <c r="F26" s="49">
        <f>VLOOKUP($A26,'Data shares'!$C:$FB,98)</f>
        <v>7018425</v>
      </c>
      <c r="G26" s="49">
        <f>VLOOKUP($A26,'Data shares'!$C:$FB,99)</f>
        <v>6922500</v>
      </c>
      <c r="H26" s="50">
        <f t="shared" si="1"/>
        <v>1.3856988082340194</v>
      </c>
      <c r="I26" s="49">
        <f>VLOOKUP($A26,'Data shares'!$C:$FB,66)</f>
        <v>5766450</v>
      </c>
      <c r="J26" s="49">
        <f>VLOOKUP($A26,'Data shares'!$C:$FB,67)</f>
        <v>4221675</v>
      </c>
      <c r="K26" s="50">
        <f t="shared" si="2"/>
        <v>26.789012303930491</v>
      </c>
      <c r="L26" s="50">
        <f>VLOOKUP($A26,'Data shares'!$C:$FB,118)</f>
        <v>0.51</v>
      </c>
      <c r="M26" s="50">
        <f>VLOOKUP($A26,'Data shares'!$C:$FB,119)</f>
        <v>0.53</v>
      </c>
      <c r="N26" s="50">
        <f>VLOOKUP($A26,'Data shares'!$C:$FB,121)*100</f>
        <v>-3.7699999999999996</v>
      </c>
      <c r="O26" s="50">
        <f>VLOOKUP($A26,'Data shares'!$C:$FB,124)</f>
        <v>0.54</v>
      </c>
      <c r="P26" s="50">
        <f>VLOOKUP($A26,'Data shares'!$C:$FB,125)</f>
        <v>0.73</v>
      </c>
      <c r="Q26" s="50">
        <f>VLOOKUP($A26,'Data shares'!$C:$FB,127)*100</f>
        <v>-26.029999999999998</v>
      </c>
    </row>
    <row r="27" spans="1:17" x14ac:dyDescent="0.25">
      <c r="A27" s="97" t="str">
        <f>'Data Vlaue (Cr)'!C22</f>
        <v>BAJAJFINSV</v>
      </c>
      <c r="B27" s="140">
        <f>VLOOKUP($A27,'Data shares'!$C:$FB,7)</f>
        <v>2026.3</v>
      </c>
      <c r="C27" s="140">
        <f>VLOOKUP($A27,'Data shares'!$C:$FB,3)</f>
        <v>2029.1</v>
      </c>
      <c r="D27" s="140">
        <f>VLOOKUP($A27,'Data shares'!$C:$FB,4)</f>
        <v>2025.9</v>
      </c>
      <c r="E27" s="50">
        <f t="shared" si="0"/>
        <v>0.15795448936274337</v>
      </c>
      <c r="F27" s="49">
        <f>VLOOKUP($A27,'Data shares'!$C:$FB,98)</f>
        <v>27759500</v>
      </c>
      <c r="G27" s="49">
        <f>VLOOKUP($A27,'Data shares'!$C:$FB,99)</f>
        <v>27803750</v>
      </c>
      <c r="H27" s="50">
        <f t="shared" si="1"/>
        <v>-0.15915119363395225</v>
      </c>
      <c r="I27" s="49">
        <f>VLOOKUP($A27,'Data shares'!$C:$FB,66)</f>
        <v>7120000</v>
      </c>
      <c r="J27" s="49">
        <f>VLOOKUP($A27,'Data shares'!$C:$FB,67)</f>
        <v>8635750</v>
      </c>
      <c r="K27" s="50">
        <f t="shared" si="2"/>
        <v>-21.288623595505619</v>
      </c>
      <c r="L27" s="50">
        <f>VLOOKUP($A27,'Data shares'!$C:$FB,118)</f>
        <v>0.66</v>
      </c>
      <c r="M27" s="50">
        <f>VLOOKUP($A27,'Data shares'!$C:$FB,119)</f>
        <v>0.65</v>
      </c>
      <c r="N27" s="50">
        <f>VLOOKUP($A27,'Data shares'!$C:$FB,121)*100</f>
        <v>1.54</v>
      </c>
      <c r="O27" s="50">
        <f>VLOOKUP($A27,'Data shares'!$C:$FB,124)</f>
        <v>0.48</v>
      </c>
      <c r="P27" s="50">
        <f>VLOOKUP($A27,'Data shares'!$C:$FB,125)</f>
        <v>0.67</v>
      </c>
      <c r="Q27" s="50">
        <f>VLOOKUP($A27,'Data shares'!$C:$FB,127)*100</f>
        <v>-28.360000000000003</v>
      </c>
    </row>
    <row r="28" spans="1:17" x14ac:dyDescent="0.25">
      <c r="A28" s="97" t="str">
        <f>'Data Vlaue (Cr)'!C23</f>
        <v>BAJFINANCE</v>
      </c>
      <c r="B28" s="140">
        <f>VLOOKUP($A28,'Data shares'!$C:$FB,7)</f>
        <v>1000.3</v>
      </c>
      <c r="C28" s="140">
        <f>VLOOKUP($A28,'Data shares'!$C:$FB,3)</f>
        <v>1002.2</v>
      </c>
      <c r="D28" s="140">
        <f>VLOOKUP($A28,'Data shares'!$C:$FB,4)</f>
        <v>1003.1</v>
      </c>
      <c r="E28" s="50">
        <f t="shared" si="0"/>
        <v>-8.9721862227093732E-2</v>
      </c>
      <c r="F28" s="49">
        <f>VLOOKUP($A28,'Data shares'!$C:$FB,98)</f>
        <v>139518000</v>
      </c>
      <c r="G28" s="49">
        <f>VLOOKUP($A28,'Data shares'!$C:$FB,99)</f>
        <v>139824750</v>
      </c>
      <c r="H28" s="50">
        <f t="shared" si="1"/>
        <v>-0.21938176181255467</v>
      </c>
      <c r="I28" s="49">
        <f>VLOOKUP($A28,'Data shares'!$C:$FB,66)</f>
        <v>44316750</v>
      </c>
      <c r="J28" s="49">
        <f>VLOOKUP($A28,'Data shares'!$C:$FB,67)</f>
        <v>47657250</v>
      </c>
      <c r="K28" s="50">
        <f t="shared" si="2"/>
        <v>-7.5377819898796732</v>
      </c>
      <c r="L28" s="50">
        <f>VLOOKUP($A28,'Data shares'!$C:$FB,118)</f>
        <v>0.59</v>
      </c>
      <c r="M28" s="50">
        <f>VLOOKUP($A28,'Data shares'!$C:$FB,119)</f>
        <v>0.59</v>
      </c>
      <c r="N28" s="50">
        <f>VLOOKUP($A28,'Data shares'!$C:$FB,121)*100</f>
        <v>0</v>
      </c>
      <c r="O28" s="50">
        <f>VLOOKUP($A28,'Data shares'!$C:$FB,124)</f>
        <v>0.48</v>
      </c>
      <c r="P28" s="50">
        <f>VLOOKUP($A28,'Data shares'!$C:$FB,125)</f>
        <v>0.47</v>
      </c>
      <c r="Q28" s="50">
        <f>VLOOKUP($A28,'Data shares'!$C:$FB,127)*100</f>
        <v>2.13</v>
      </c>
    </row>
    <row r="29" spans="1:17" x14ac:dyDescent="0.25">
      <c r="A29" s="97" t="str">
        <f>'Data Vlaue (Cr)'!C24</f>
        <v>BANDHANBNK</v>
      </c>
      <c r="B29" s="140">
        <f>VLOOKUP($A29,'Data shares'!$C:$FB,7)</f>
        <v>145.33000000000001</v>
      </c>
      <c r="C29" s="140">
        <f>VLOOKUP($A29,'Data shares'!$C:$FB,3)</f>
        <v>146.09</v>
      </c>
      <c r="D29" s="140">
        <f>VLOOKUP($A29,'Data shares'!$C:$FB,4)</f>
        <v>148.63</v>
      </c>
      <c r="E29" s="50">
        <f t="shared" si="0"/>
        <v>-1.7089416672273379</v>
      </c>
      <c r="F29" s="49">
        <f>VLOOKUP($A29,'Data shares'!$C:$FB,98)</f>
        <v>182221200</v>
      </c>
      <c r="G29" s="49">
        <f>VLOOKUP($A29,'Data shares'!$C:$FB,99)</f>
        <v>183423600</v>
      </c>
      <c r="H29" s="50">
        <f t="shared" si="1"/>
        <v>-0.65553178544091373</v>
      </c>
      <c r="I29" s="49">
        <f>VLOOKUP($A29,'Data shares'!$C:$FB,66)</f>
        <v>2804400</v>
      </c>
      <c r="J29" s="49">
        <f>VLOOKUP($A29,'Data shares'!$C:$FB,67)</f>
        <v>2296800</v>
      </c>
      <c r="K29" s="50">
        <f t="shared" si="2"/>
        <v>18.100128369704748</v>
      </c>
      <c r="L29" s="50">
        <f>VLOOKUP($A29,'Data shares'!$C:$FB,118)</f>
        <v>0.69</v>
      </c>
      <c r="M29" s="50">
        <f>VLOOKUP($A29,'Data shares'!$C:$FB,119)</f>
        <v>0.67</v>
      </c>
      <c r="N29" s="50">
        <f>VLOOKUP($A29,'Data shares'!$C:$FB,121)*100</f>
        <v>2.9899999999999998</v>
      </c>
      <c r="O29" s="50">
        <f>VLOOKUP($A29,'Data shares'!$C:$FB,124)</f>
        <v>0.26</v>
      </c>
      <c r="P29" s="50">
        <f>VLOOKUP($A29,'Data shares'!$C:$FB,125)</f>
        <v>0.16</v>
      </c>
      <c r="Q29" s="50">
        <f>VLOOKUP($A29,'Data shares'!$C:$FB,127)*100</f>
        <v>62.5</v>
      </c>
    </row>
    <row r="30" spans="1:17" x14ac:dyDescent="0.25">
      <c r="A30" s="97" t="str">
        <f>'Data Vlaue (Cr)'!C25</f>
        <v>BANKBARODA</v>
      </c>
      <c r="B30" s="176">
        <f>VLOOKUP($A30,'Data shares'!$C:$FB,7)</f>
        <v>288.10000000000002</v>
      </c>
      <c r="C30" s="176">
        <f>VLOOKUP($A30,'Data shares'!$C:$FB,3)</f>
        <v>288.3</v>
      </c>
      <c r="D30" s="176">
        <f>VLOOKUP($A30,'Data shares'!$C:$FB,4)</f>
        <v>288.14999999999998</v>
      </c>
      <c r="E30" s="50">
        <f t="shared" si="0"/>
        <v>5.2056220718387683E-2</v>
      </c>
      <c r="F30" s="49">
        <f>VLOOKUP($A30,'Data shares'!$C:$FB,98)</f>
        <v>174651750</v>
      </c>
      <c r="G30" s="49">
        <f>VLOOKUP($A30,'Data shares'!$C:$FB,99)</f>
        <v>178343100</v>
      </c>
      <c r="H30" s="50">
        <f t="shared" si="1"/>
        <v>-2.0698025323099127</v>
      </c>
      <c r="I30" s="49">
        <f>VLOOKUP($A30,'Data shares'!$C:$FB,66)</f>
        <v>86498100</v>
      </c>
      <c r="J30" s="49">
        <f>VLOOKUP($A30,'Data shares'!$C:$FB,67)</f>
        <v>122265000</v>
      </c>
      <c r="K30" s="50">
        <f t="shared" si="2"/>
        <v>-41.34992560530231</v>
      </c>
      <c r="L30" s="50">
        <f>VLOOKUP($A30,'Data shares'!$C:$FB,118)</f>
        <v>0.82</v>
      </c>
      <c r="M30" s="50">
        <f>VLOOKUP($A30,'Data shares'!$C:$FB,119)</f>
        <v>0.79</v>
      </c>
      <c r="N30" s="50">
        <f>VLOOKUP($A30,'Data shares'!$C:$FB,121)*100</f>
        <v>3.8</v>
      </c>
      <c r="O30" s="50">
        <f>VLOOKUP($A30,'Data shares'!$C:$FB,124)</f>
        <v>0.56000000000000005</v>
      </c>
      <c r="P30" s="50">
        <f>VLOOKUP($A30,'Data shares'!$C:$FB,125)</f>
        <v>0.52</v>
      </c>
      <c r="Q30" s="50">
        <f>VLOOKUP($A30,'Data shares'!$C:$FB,127)*100</f>
        <v>7.6899999999999995</v>
      </c>
    </row>
    <row r="31" spans="1:17" x14ac:dyDescent="0.25">
      <c r="A31" s="97" t="str">
        <f>'Data Vlaue (Cr)'!C26</f>
        <v>BANKINDIA</v>
      </c>
      <c r="B31" s="140">
        <f>VLOOKUP($A31,'Data shares'!$C:$FB,7)</f>
        <v>142.30000000000001</v>
      </c>
      <c r="C31" s="140">
        <f>VLOOKUP($A31,'Data shares'!$C:$FB,3)</f>
        <v>142.37</v>
      </c>
      <c r="D31" s="140">
        <f>VLOOKUP($A31,'Data shares'!$C:$FB,4)</f>
        <v>142.44</v>
      </c>
      <c r="E31" s="50">
        <f t="shared" si="0"/>
        <v>-4.9143499017125232E-2</v>
      </c>
      <c r="F31" s="49">
        <f>VLOOKUP($A31,'Data shares'!$C:$FB,98)</f>
        <v>97318000</v>
      </c>
      <c r="G31" s="49">
        <f>VLOOKUP($A31,'Data shares'!$C:$FB,99)</f>
        <v>97723600</v>
      </c>
      <c r="H31" s="50">
        <f t="shared" si="1"/>
        <v>-0.41504815622838293</v>
      </c>
      <c r="I31" s="49">
        <f>VLOOKUP($A31,'Data shares'!$C:$FB,66)</f>
        <v>32006000</v>
      </c>
      <c r="J31" s="49">
        <f>VLOOKUP($A31,'Data shares'!$C:$FB,67)</f>
        <v>56893200</v>
      </c>
      <c r="K31" s="50">
        <f t="shared" si="2"/>
        <v>-77.757920389926895</v>
      </c>
      <c r="L31" s="50">
        <f>VLOOKUP($A31,'Data shares'!$C:$FB,118)</f>
        <v>0.75</v>
      </c>
      <c r="M31" s="50">
        <f>VLOOKUP($A31,'Data shares'!$C:$FB,119)</f>
        <v>0.72</v>
      </c>
      <c r="N31" s="50">
        <f>VLOOKUP($A31,'Data shares'!$C:$FB,121)*100</f>
        <v>4.17</v>
      </c>
      <c r="O31" s="50">
        <f>VLOOKUP($A31,'Data shares'!$C:$FB,124)</f>
        <v>0.73</v>
      </c>
      <c r="P31" s="50">
        <f>VLOOKUP($A31,'Data shares'!$C:$FB,125)</f>
        <v>0.36</v>
      </c>
      <c r="Q31" s="50">
        <f>VLOOKUP($A31,'Data shares'!$C:$FB,127)*100</f>
        <v>102.78</v>
      </c>
    </row>
    <row r="32" spans="1:17" x14ac:dyDescent="0.25">
      <c r="A32" s="97" t="str">
        <f>'Data Vlaue (Cr)'!C27</f>
        <v>BANKNIFTY</v>
      </c>
      <c r="B32" s="140">
        <f>VLOOKUP($A32,'Data shares'!$C:$FB,7)</f>
        <v>58912.85</v>
      </c>
      <c r="C32" s="140">
        <f>VLOOKUP($A32,'Data shares'!$C:$FB,3)</f>
        <v>59074.2</v>
      </c>
      <c r="D32" s="140">
        <f>VLOOKUP($A32,'Data shares'!$C:$FB,4)</f>
        <v>59146.8</v>
      </c>
      <c r="E32" s="50">
        <f t="shared" si="0"/>
        <v>-0.12274544015907168</v>
      </c>
      <c r="F32" s="49">
        <f>VLOOKUP($A32,'Data shares'!$C:$FB,98)</f>
        <v>43049230</v>
      </c>
      <c r="G32" s="49">
        <f>VLOOKUP($A32,'Data shares'!$C:$FB,99)</f>
        <v>41846525</v>
      </c>
      <c r="H32" s="50">
        <f t="shared" si="1"/>
        <v>2.8740857215742528</v>
      </c>
      <c r="I32" s="49">
        <f>VLOOKUP($A32,'Data shares'!$C:$FB,66)</f>
        <v>118358835</v>
      </c>
      <c r="J32" s="49">
        <f>VLOOKUP($A32,'Data shares'!$C:$FB,67)</f>
        <v>98172585</v>
      </c>
      <c r="K32" s="50">
        <f t="shared" si="2"/>
        <v>17.055127316858094</v>
      </c>
      <c r="L32" s="50">
        <f>VLOOKUP($A32,'Data shares'!$C:$FB,118)</f>
        <v>0.75</v>
      </c>
      <c r="M32" s="50">
        <f>VLOOKUP($A32,'Data shares'!$C:$FB,119)</f>
        <v>0.75</v>
      </c>
      <c r="N32" s="50">
        <f>VLOOKUP($A32,'Data shares'!$C:$FB,121)*100</f>
        <v>0</v>
      </c>
      <c r="O32" s="50">
        <f>VLOOKUP($A32,'Data shares'!$C:$FB,124)</f>
        <v>0.92</v>
      </c>
      <c r="P32" s="50">
        <f>VLOOKUP($A32,'Data shares'!$C:$FB,125)</f>
        <v>0.96</v>
      </c>
      <c r="Q32" s="50">
        <f>VLOOKUP($A32,'Data shares'!$C:$FB,127)*100</f>
        <v>-4.17</v>
      </c>
    </row>
    <row r="33" spans="1:17" x14ac:dyDescent="0.25">
      <c r="A33" s="97" t="str">
        <f>'Data Vlaue (Cr)'!C28</f>
        <v>BDL</v>
      </c>
      <c r="B33" s="140">
        <f>VLOOKUP($A33,'Data shares'!$C:$FB,7)</f>
        <v>1342.5</v>
      </c>
      <c r="C33" s="140">
        <f>VLOOKUP($A33,'Data shares'!$C:$FB,3)</f>
        <v>1343.4</v>
      </c>
      <c r="D33" s="140">
        <f>VLOOKUP($A33,'Data shares'!$C:$FB,4)</f>
        <v>1328</v>
      </c>
      <c r="E33" s="50">
        <f t="shared" si="0"/>
        <v>1.1596385542168743</v>
      </c>
      <c r="F33" s="49">
        <f>VLOOKUP($A33,'Data shares'!$C:$FB,98)</f>
        <v>15167125</v>
      </c>
      <c r="G33" s="49">
        <f>VLOOKUP($A33,'Data shares'!$C:$FB,99)</f>
        <v>15250650</v>
      </c>
      <c r="H33" s="50">
        <f t="shared" si="1"/>
        <v>-0.54768157422798369</v>
      </c>
      <c r="I33" s="49">
        <f>VLOOKUP($A33,'Data shares'!$C:$FB,66)</f>
        <v>17460300</v>
      </c>
      <c r="J33" s="49">
        <f>VLOOKUP($A33,'Data shares'!$C:$FB,67)</f>
        <v>17512625</v>
      </c>
      <c r="K33" s="50">
        <f t="shared" si="2"/>
        <v>-0.29967984513439061</v>
      </c>
      <c r="L33" s="50">
        <f>VLOOKUP($A33,'Data shares'!$C:$FB,118)</f>
        <v>0.4</v>
      </c>
      <c r="M33" s="50">
        <f>VLOOKUP($A33,'Data shares'!$C:$FB,119)</f>
        <v>0.4</v>
      </c>
      <c r="N33" s="50">
        <f>VLOOKUP($A33,'Data shares'!$C:$FB,121)*100</f>
        <v>0</v>
      </c>
      <c r="O33" s="50">
        <f>VLOOKUP($A33,'Data shares'!$C:$FB,124)</f>
        <v>0.49</v>
      </c>
      <c r="P33" s="50">
        <f>VLOOKUP($A33,'Data shares'!$C:$FB,125)</f>
        <v>0.63</v>
      </c>
      <c r="Q33" s="50">
        <f>VLOOKUP($A33,'Data shares'!$C:$FB,127)*100</f>
        <v>-22.220000000000002</v>
      </c>
    </row>
    <row r="34" spans="1:17" x14ac:dyDescent="0.25">
      <c r="A34" s="97" t="str">
        <f>'Data Vlaue (Cr)'!C29</f>
        <v>BEL</v>
      </c>
      <c r="B34" s="140">
        <f>VLOOKUP($A34,'Data shares'!$C:$FB,7)</f>
        <v>383.45</v>
      </c>
      <c r="C34" s="140">
        <f>VLOOKUP($A34,'Data shares'!$C:$FB,3)</f>
        <v>384.35</v>
      </c>
      <c r="D34" s="140">
        <f>VLOOKUP($A34,'Data shares'!$C:$FB,4)</f>
        <v>386.85</v>
      </c>
      <c r="E34" s="50">
        <f t="shared" si="0"/>
        <v>-0.64624531472146818</v>
      </c>
      <c r="F34" s="49">
        <f>VLOOKUP($A34,'Data shares'!$C:$FB,98)</f>
        <v>258345375</v>
      </c>
      <c r="G34" s="49">
        <f>VLOOKUP($A34,'Data shares'!$C:$FB,99)</f>
        <v>258319725</v>
      </c>
      <c r="H34" s="50">
        <f t="shared" si="1"/>
        <v>9.92955532141419E-3</v>
      </c>
      <c r="I34" s="49">
        <f>VLOOKUP($A34,'Data shares'!$C:$FB,66)</f>
        <v>148013325</v>
      </c>
      <c r="J34" s="49">
        <f>VLOOKUP($A34,'Data shares'!$C:$FB,67)</f>
        <v>105411525</v>
      </c>
      <c r="K34" s="50">
        <f t="shared" si="2"/>
        <v>28.782408610846353</v>
      </c>
      <c r="L34" s="50">
        <f>VLOOKUP($A34,'Data shares'!$C:$FB,118)</f>
        <v>0.46</v>
      </c>
      <c r="M34" s="50">
        <f>VLOOKUP($A34,'Data shares'!$C:$FB,119)</f>
        <v>0.46</v>
      </c>
      <c r="N34" s="50">
        <f>VLOOKUP($A34,'Data shares'!$C:$FB,121)*100</f>
        <v>0</v>
      </c>
      <c r="O34" s="50">
        <f>VLOOKUP($A34,'Data shares'!$C:$FB,124)</f>
        <v>0.48</v>
      </c>
      <c r="P34" s="50">
        <f>VLOOKUP($A34,'Data shares'!$C:$FB,125)</f>
        <v>0.39</v>
      </c>
      <c r="Q34" s="50">
        <f>VLOOKUP($A34,'Data shares'!$C:$FB,127)*100</f>
        <v>23.080000000000002</v>
      </c>
    </row>
    <row r="35" spans="1:17" x14ac:dyDescent="0.25">
      <c r="A35" s="97" t="str">
        <f>'Data Vlaue (Cr)'!C30</f>
        <v>BHARATFORG</v>
      </c>
      <c r="B35" s="140">
        <f>VLOOKUP($A35,'Data shares'!$C:$FB,7)</f>
        <v>1407.5</v>
      </c>
      <c r="C35" s="140">
        <f>VLOOKUP($A35,'Data shares'!$C:$FB,3)</f>
        <v>1409.8</v>
      </c>
      <c r="D35" s="140">
        <f>VLOOKUP($A35,'Data shares'!$C:$FB,4)</f>
        <v>1417.3</v>
      </c>
      <c r="E35" s="50">
        <f t="shared" si="0"/>
        <v>-0.52917519226698662</v>
      </c>
      <c r="F35" s="49">
        <f>VLOOKUP($A35,'Data shares'!$C:$FB,98)</f>
        <v>13833500</v>
      </c>
      <c r="G35" s="49">
        <f>VLOOKUP($A35,'Data shares'!$C:$FB,99)</f>
        <v>13774000</v>
      </c>
      <c r="H35" s="50">
        <f t="shared" si="1"/>
        <v>0.43197328299695076</v>
      </c>
      <c r="I35" s="49">
        <f>VLOOKUP($A35,'Data shares'!$C:$FB,66)</f>
        <v>7153000</v>
      </c>
      <c r="J35" s="49">
        <f>VLOOKUP($A35,'Data shares'!$C:$FB,67)</f>
        <v>6660000</v>
      </c>
      <c r="K35" s="50">
        <f t="shared" si="2"/>
        <v>6.8922130574584086</v>
      </c>
      <c r="L35" s="50">
        <f>VLOOKUP($A35,'Data shares'!$C:$FB,118)</f>
        <v>0.63</v>
      </c>
      <c r="M35" s="50">
        <f>VLOOKUP($A35,'Data shares'!$C:$FB,119)</f>
        <v>0.62</v>
      </c>
      <c r="N35" s="50">
        <f>VLOOKUP($A35,'Data shares'!$C:$FB,121)*100</f>
        <v>1.6099999999999999</v>
      </c>
      <c r="O35" s="50">
        <f>VLOOKUP($A35,'Data shares'!$C:$FB,124)</f>
        <v>0.74</v>
      </c>
      <c r="P35" s="50">
        <f>VLOOKUP($A35,'Data shares'!$C:$FB,125)</f>
        <v>0.44</v>
      </c>
      <c r="Q35" s="50">
        <f>VLOOKUP($A35,'Data shares'!$C:$FB,127)*100</f>
        <v>68.179999999999993</v>
      </c>
    </row>
    <row r="36" spans="1:17" x14ac:dyDescent="0.25">
      <c r="A36" s="97" t="str">
        <f>'Data Vlaue (Cr)'!C31</f>
        <v>BHARTIARTL</v>
      </c>
      <c r="B36" s="140">
        <f>VLOOKUP($A36,'Data shares'!$C:$FB,7)</f>
        <v>2092</v>
      </c>
      <c r="C36" s="140">
        <f>VLOOKUP($A36,'Data shares'!$C:$FB,3)</f>
        <v>2095.1999999999998</v>
      </c>
      <c r="D36" s="140">
        <f>VLOOKUP($A36,'Data shares'!$C:$FB,4)</f>
        <v>2109.1</v>
      </c>
      <c r="E36" s="50">
        <f t="shared" si="0"/>
        <v>-0.65904888340998957</v>
      </c>
      <c r="F36" s="49">
        <f>VLOOKUP($A36,'Data shares'!$C:$FB,98)</f>
        <v>75744450</v>
      </c>
      <c r="G36" s="49">
        <f>VLOOKUP($A36,'Data shares'!$C:$FB,99)</f>
        <v>75420500</v>
      </c>
      <c r="H36" s="50">
        <f t="shared" si="1"/>
        <v>0.42952512910945961</v>
      </c>
      <c r="I36" s="49">
        <f>VLOOKUP($A36,'Data shares'!$C:$FB,66)</f>
        <v>31035550</v>
      </c>
      <c r="J36" s="49">
        <f>VLOOKUP($A36,'Data shares'!$C:$FB,67)</f>
        <v>37221950</v>
      </c>
      <c r="K36" s="50">
        <f t="shared" si="2"/>
        <v>-19.933270072545838</v>
      </c>
      <c r="L36" s="50">
        <f>VLOOKUP($A36,'Data shares'!$C:$FB,118)</f>
        <v>0.49</v>
      </c>
      <c r="M36" s="50">
        <f>VLOOKUP($A36,'Data shares'!$C:$FB,119)</f>
        <v>0.5</v>
      </c>
      <c r="N36" s="50">
        <f>VLOOKUP($A36,'Data shares'!$C:$FB,121)*100</f>
        <v>-2</v>
      </c>
      <c r="O36" s="50">
        <f>VLOOKUP($A36,'Data shares'!$C:$FB,124)</f>
        <v>0.52</v>
      </c>
      <c r="P36" s="50">
        <f>VLOOKUP($A36,'Data shares'!$C:$FB,125)</f>
        <v>0.51</v>
      </c>
      <c r="Q36" s="50">
        <f>VLOOKUP($A36,'Data shares'!$C:$FB,127)*100</f>
        <v>1.96</v>
      </c>
    </row>
    <row r="37" spans="1:17" x14ac:dyDescent="0.25">
      <c r="A37" s="97" t="str">
        <f>'Data Vlaue (Cr)'!C32</f>
        <v>BHEL</v>
      </c>
      <c r="B37" s="140">
        <f>VLOOKUP($A37,'Data shares'!$C:$FB,7)</f>
        <v>275.05</v>
      </c>
      <c r="C37" s="140">
        <f>VLOOKUP($A37,'Data shares'!$C:$FB,3)</f>
        <v>275.5</v>
      </c>
      <c r="D37" s="140">
        <f>VLOOKUP($A37,'Data shares'!$C:$FB,4)</f>
        <v>278.75</v>
      </c>
      <c r="E37" s="50">
        <f t="shared" si="0"/>
        <v>-1.1659192825112108</v>
      </c>
      <c r="F37" s="49">
        <f>VLOOKUP($A37,'Data shares'!$C:$FB,98)</f>
        <v>143330250</v>
      </c>
      <c r="G37" s="49">
        <f>VLOOKUP($A37,'Data shares'!$C:$FB,99)</f>
        <v>140697375</v>
      </c>
      <c r="H37" s="50">
        <f t="shared" si="1"/>
        <v>1.8713035690964381</v>
      </c>
      <c r="I37" s="49">
        <f>VLOOKUP($A37,'Data shares'!$C:$FB,66)</f>
        <v>98991375</v>
      </c>
      <c r="J37" s="49">
        <f>VLOOKUP($A37,'Data shares'!$C:$FB,67)</f>
        <v>60705750</v>
      </c>
      <c r="K37" s="50">
        <f t="shared" si="2"/>
        <v>38.675717960276842</v>
      </c>
      <c r="L37" s="50">
        <f>VLOOKUP($A37,'Data shares'!$C:$FB,118)</f>
        <v>0.46</v>
      </c>
      <c r="M37" s="50">
        <f>VLOOKUP($A37,'Data shares'!$C:$FB,119)</f>
        <v>0.48</v>
      </c>
      <c r="N37" s="50">
        <f>VLOOKUP($A37,'Data shares'!$C:$FB,121)*100</f>
        <v>-4.17</v>
      </c>
      <c r="O37" s="50">
        <f>VLOOKUP($A37,'Data shares'!$C:$FB,124)</f>
        <v>0.46</v>
      </c>
      <c r="P37" s="50">
        <f>VLOOKUP($A37,'Data shares'!$C:$FB,125)</f>
        <v>0.32</v>
      </c>
      <c r="Q37" s="50">
        <f>VLOOKUP($A37,'Data shares'!$C:$FB,127)*100</f>
        <v>43.75</v>
      </c>
    </row>
    <row r="38" spans="1:17" x14ac:dyDescent="0.25">
      <c r="A38" s="97" t="str">
        <f>'Data Vlaue (Cr)'!C33</f>
        <v>BIOCON</v>
      </c>
      <c r="B38" s="140">
        <f>VLOOKUP($A38,'Data shares'!$C:$FB,7)</f>
        <v>392.25</v>
      </c>
      <c r="C38" s="140">
        <f>VLOOKUP($A38,'Data shares'!$C:$FB,3)</f>
        <v>393.55</v>
      </c>
      <c r="D38" s="140">
        <f>VLOOKUP($A38,'Data shares'!$C:$FB,4)</f>
        <v>386.85</v>
      </c>
      <c r="E38" s="50">
        <f t="shared" si="0"/>
        <v>1.731937443453532</v>
      </c>
      <c r="F38" s="49">
        <f>VLOOKUP($A38,'Data shares'!$C:$FB,98)</f>
        <v>95047500</v>
      </c>
      <c r="G38" s="49">
        <f>VLOOKUP($A38,'Data shares'!$C:$FB,99)</f>
        <v>98232500</v>
      </c>
      <c r="H38" s="50">
        <f t="shared" si="1"/>
        <v>-3.2423077901916368</v>
      </c>
      <c r="I38" s="49">
        <f>VLOOKUP($A38,'Data shares'!$C:$FB,66)</f>
        <v>67512500</v>
      </c>
      <c r="J38" s="49">
        <f>VLOOKUP($A38,'Data shares'!$C:$FB,67)</f>
        <v>28362500</v>
      </c>
      <c r="K38" s="50">
        <f t="shared" si="2"/>
        <v>57.989261247917057</v>
      </c>
      <c r="L38" s="50">
        <f>VLOOKUP($A38,'Data shares'!$C:$FB,118)</f>
        <v>0.52</v>
      </c>
      <c r="M38" s="50">
        <f>VLOOKUP($A38,'Data shares'!$C:$FB,119)</f>
        <v>0.51</v>
      </c>
      <c r="N38" s="50">
        <f>VLOOKUP($A38,'Data shares'!$C:$FB,121)*100</f>
        <v>1.96</v>
      </c>
      <c r="O38" s="50">
        <f>VLOOKUP($A38,'Data shares'!$C:$FB,124)</f>
        <v>0.45</v>
      </c>
      <c r="P38" s="50">
        <f>VLOOKUP($A38,'Data shares'!$C:$FB,125)</f>
        <v>0.34</v>
      </c>
      <c r="Q38" s="50">
        <f>VLOOKUP($A38,'Data shares'!$C:$FB,127)*100</f>
        <v>32.35</v>
      </c>
    </row>
    <row r="39" spans="1:17" x14ac:dyDescent="0.25">
      <c r="A39" s="97" t="str">
        <f>'Data Vlaue (Cr)'!C34</f>
        <v>BLUESTARCO</v>
      </c>
      <c r="B39" s="140">
        <f>VLOOKUP($A39,'Data shares'!$C:$FB,7)</f>
        <v>1854.6</v>
      </c>
      <c r="C39" s="140">
        <f>VLOOKUP($A39,'Data shares'!$C:$FB,3)</f>
        <v>1855.3</v>
      </c>
      <c r="D39" s="140">
        <f>VLOOKUP($A39,'Data shares'!$C:$FB,4)</f>
        <v>1825.9</v>
      </c>
      <c r="E39" s="50">
        <f t="shared" si="0"/>
        <v>1.6101648502108472</v>
      </c>
      <c r="F39" s="49">
        <f>VLOOKUP($A39,'Data shares'!$C:$FB,98)</f>
        <v>3662425</v>
      </c>
      <c r="G39" s="49">
        <f>VLOOKUP($A39,'Data shares'!$C:$FB,99)</f>
        <v>3654625</v>
      </c>
      <c r="H39" s="50">
        <f t="shared" si="1"/>
        <v>0.21342819030680302</v>
      </c>
      <c r="I39" s="49">
        <f>VLOOKUP($A39,'Data shares'!$C:$FB,66)</f>
        <v>3389100</v>
      </c>
      <c r="J39" s="49">
        <f>VLOOKUP($A39,'Data shares'!$C:$FB,67)</f>
        <v>1531075</v>
      </c>
      <c r="K39" s="50">
        <f t="shared" si="2"/>
        <v>54.823551975450712</v>
      </c>
      <c r="L39" s="50">
        <f>VLOOKUP($A39,'Data shares'!$C:$FB,118)</f>
        <v>0.95</v>
      </c>
      <c r="M39" s="50">
        <f>VLOOKUP($A39,'Data shares'!$C:$FB,119)</f>
        <v>0.7</v>
      </c>
      <c r="N39" s="50">
        <f>VLOOKUP($A39,'Data shares'!$C:$FB,121)*100</f>
        <v>35.709999999999994</v>
      </c>
      <c r="O39" s="50">
        <f>VLOOKUP($A39,'Data shares'!$C:$FB,124)</f>
        <v>0.65</v>
      </c>
      <c r="P39" s="50">
        <f>VLOOKUP($A39,'Data shares'!$C:$FB,125)</f>
        <v>0.23</v>
      </c>
      <c r="Q39" s="50">
        <f>VLOOKUP($A39,'Data shares'!$C:$FB,127)*100</f>
        <v>182.61</v>
      </c>
    </row>
    <row r="40" spans="1:17" x14ac:dyDescent="0.25">
      <c r="A40" s="97" t="str">
        <f>'Data Vlaue (Cr)'!C35</f>
        <v>BOSCHLTD</v>
      </c>
      <c r="B40" s="140">
        <f>VLOOKUP($A40,'Data shares'!$C:$FB,7)</f>
        <v>35720</v>
      </c>
      <c r="C40" s="140">
        <f>VLOOKUP($A40,'Data shares'!$C:$FB,3)</f>
        <v>35745</v>
      </c>
      <c r="D40" s="140">
        <f>VLOOKUP($A40,'Data shares'!$C:$FB,4)</f>
        <v>36045</v>
      </c>
      <c r="E40" s="50">
        <f t="shared" si="0"/>
        <v>-0.83229296712442791</v>
      </c>
      <c r="F40" s="49">
        <f>VLOOKUP($A40,'Data shares'!$C:$FB,98)</f>
        <v>350775</v>
      </c>
      <c r="G40" s="49">
        <f>VLOOKUP($A40,'Data shares'!$C:$FB,99)</f>
        <v>343525</v>
      </c>
      <c r="H40" s="50">
        <f t="shared" si="1"/>
        <v>2.1104723091478061</v>
      </c>
      <c r="I40" s="49">
        <f>VLOOKUP($A40,'Data shares'!$C:$FB,66)</f>
        <v>181200</v>
      </c>
      <c r="J40" s="49">
        <f>VLOOKUP($A40,'Data shares'!$C:$FB,67)</f>
        <v>182375</v>
      </c>
      <c r="K40" s="50">
        <f t="shared" si="2"/>
        <v>-0.64845474613686538</v>
      </c>
      <c r="L40" s="50">
        <f>VLOOKUP($A40,'Data shares'!$C:$FB,118)</f>
        <v>0.43</v>
      </c>
      <c r="M40" s="50">
        <f>VLOOKUP($A40,'Data shares'!$C:$FB,119)</f>
        <v>0.48</v>
      </c>
      <c r="N40" s="50">
        <f>VLOOKUP($A40,'Data shares'!$C:$FB,121)*100</f>
        <v>-10.42</v>
      </c>
      <c r="O40" s="50">
        <f>VLOOKUP($A40,'Data shares'!$C:$FB,124)</f>
        <v>0.2</v>
      </c>
      <c r="P40" s="50">
        <f>VLOOKUP($A40,'Data shares'!$C:$FB,125)</f>
        <v>0.15</v>
      </c>
      <c r="Q40" s="50">
        <f>VLOOKUP($A40,'Data shares'!$C:$FB,127)*100</f>
        <v>33.33</v>
      </c>
    </row>
    <row r="41" spans="1:17" x14ac:dyDescent="0.25">
      <c r="A41" s="97" t="str">
        <f>'Data Vlaue (Cr)'!C36</f>
        <v>BPCL</v>
      </c>
      <c r="B41" s="140">
        <f>VLOOKUP($A41,'Data shares'!$C:$FB,7)</f>
        <v>363.35</v>
      </c>
      <c r="C41" s="140">
        <f>VLOOKUP($A41,'Data shares'!$C:$FB,3)</f>
        <v>364.65</v>
      </c>
      <c r="D41" s="140">
        <f>VLOOKUP($A41,'Data shares'!$C:$FB,4)</f>
        <v>368.65</v>
      </c>
      <c r="E41" s="50">
        <f t="shared" si="0"/>
        <v>-1.0850400108504001</v>
      </c>
      <c r="F41" s="49">
        <f>VLOOKUP($A41,'Data shares'!$C:$FB,98)</f>
        <v>60103200</v>
      </c>
      <c r="G41" s="49">
        <f>VLOOKUP($A41,'Data shares'!$C:$FB,99)</f>
        <v>59747700</v>
      </c>
      <c r="H41" s="50">
        <f t="shared" si="1"/>
        <v>0.59500198333994447</v>
      </c>
      <c r="I41" s="49">
        <f>VLOOKUP($A41,'Data shares'!$C:$FB,66)</f>
        <v>33543400</v>
      </c>
      <c r="J41" s="49">
        <f>VLOOKUP($A41,'Data shares'!$C:$FB,67)</f>
        <v>67782000</v>
      </c>
      <c r="K41" s="50">
        <f t="shared" si="2"/>
        <v>-102.07253886010363</v>
      </c>
      <c r="L41" s="50">
        <f>VLOOKUP($A41,'Data shares'!$C:$FB,118)</f>
        <v>0.56999999999999995</v>
      </c>
      <c r="M41" s="50">
        <f>VLOOKUP($A41,'Data shares'!$C:$FB,119)</f>
        <v>0.56999999999999995</v>
      </c>
      <c r="N41" s="50">
        <f>VLOOKUP($A41,'Data shares'!$C:$FB,121)*100</f>
        <v>0</v>
      </c>
      <c r="O41" s="50">
        <f>VLOOKUP($A41,'Data shares'!$C:$FB,124)</f>
        <v>0.42</v>
      </c>
      <c r="P41" s="50">
        <f>VLOOKUP($A41,'Data shares'!$C:$FB,125)</f>
        <v>0.27</v>
      </c>
      <c r="Q41" s="50">
        <f>VLOOKUP($A41,'Data shares'!$C:$FB,127)*100</f>
        <v>55.559999999999995</v>
      </c>
    </row>
    <row r="42" spans="1:17" x14ac:dyDescent="0.25">
      <c r="A42" s="97" t="str">
        <f>'Data Vlaue (Cr)'!C37</f>
        <v>BRITANNIA</v>
      </c>
      <c r="B42" s="140">
        <f>VLOOKUP($A42,'Data shares'!$C:$FB,7)</f>
        <v>6040.5</v>
      </c>
      <c r="C42" s="140">
        <f>VLOOKUP($A42,'Data shares'!$C:$FB,3)</f>
        <v>6048.5</v>
      </c>
      <c r="D42" s="140">
        <f>VLOOKUP($A42,'Data shares'!$C:$FB,4)</f>
        <v>6100.5</v>
      </c>
      <c r="E42" s="50">
        <f t="shared" si="0"/>
        <v>-0.85238914843045654</v>
      </c>
      <c r="F42" s="49">
        <f>VLOOKUP($A42,'Data shares'!$C:$FB,98)</f>
        <v>4888750</v>
      </c>
      <c r="G42" s="49">
        <f>VLOOKUP($A42,'Data shares'!$C:$FB,99)</f>
        <v>4771125</v>
      </c>
      <c r="H42" s="50">
        <f t="shared" si="1"/>
        <v>2.4653514632293221</v>
      </c>
      <c r="I42" s="49">
        <f>VLOOKUP($A42,'Data shares'!$C:$FB,66)</f>
        <v>3967875</v>
      </c>
      <c r="J42" s="49">
        <f>VLOOKUP($A42,'Data shares'!$C:$FB,67)</f>
        <v>2917375</v>
      </c>
      <c r="K42" s="50">
        <f t="shared" si="2"/>
        <v>26.475128374759787</v>
      </c>
      <c r="L42" s="50">
        <f>VLOOKUP($A42,'Data shares'!$C:$FB,118)</f>
        <v>0.59</v>
      </c>
      <c r="M42" s="50">
        <f>VLOOKUP($A42,'Data shares'!$C:$FB,119)</f>
        <v>0.64</v>
      </c>
      <c r="N42" s="50">
        <f>VLOOKUP($A42,'Data shares'!$C:$FB,121)*100</f>
        <v>-7.8100000000000005</v>
      </c>
      <c r="O42" s="50">
        <f>VLOOKUP($A42,'Data shares'!$C:$FB,124)</f>
        <v>0.36</v>
      </c>
      <c r="P42" s="50">
        <f>VLOOKUP($A42,'Data shares'!$C:$FB,125)</f>
        <v>0.36</v>
      </c>
      <c r="Q42" s="50">
        <f>VLOOKUP($A42,'Data shares'!$C:$FB,127)*100</f>
        <v>0</v>
      </c>
    </row>
    <row r="43" spans="1:17" x14ac:dyDescent="0.25">
      <c r="A43" s="97" t="str">
        <f>'Data Vlaue (Cr)'!C38</f>
        <v>BSE</v>
      </c>
      <c r="B43" s="140">
        <f>VLOOKUP($A43,'Data shares'!$C:$FB,7)</f>
        <v>2682.9</v>
      </c>
      <c r="C43" s="140">
        <f>VLOOKUP($A43,'Data shares'!$C:$FB,3)</f>
        <v>2688.9</v>
      </c>
      <c r="D43" s="140">
        <f>VLOOKUP($A43,'Data shares'!$C:$FB,4)</f>
        <v>2633.5</v>
      </c>
      <c r="E43" s="50">
        <f t="shared" si="0"/>
        <v>2.1036643250427223</v>
      </c>
      <c r="F43" s="49">
        <f>VLOOKUP($A43,'Data shares'!$C:$FB,98)</f>
        <v>31984500</v>
      </c>
      <c r="G43" s="49">
        <f>VLOOKUP($A43,'Data shares'!$C:$FB,99)</f>
        <v>34198500</v>
      </c>
      <c r="H43" s="50">
        <f t="shared" si="1"/>
        <v>-6.473968156498092</v>
      </c>
      <c r="I43" s="49">
        <f>VLOOKUP($A43,'Data shares'!$C:$FB,66)</f>
        <v>50619000</v>
      </c>
      <c r="J43" s="49">
        <f>VLOOKUP($A43,'Data shares'!$C:$FB,67)</f>
        <v>42535500</v>
      </c>
      <c r="K43" s="50">
        <f t="shared" si="2"/>
        <v>15.969300065192913</v>
      </c>
      <c r="L43" s="50">
        <f>VLOOKUP($A43,'Data shares'!$C:$FB,118)</f>
        <v>0.55000000000000004</v>
      </c>
      <c r="M43" s="50">
        <f>VLOOKUP($A43,'Data shares'!$C:$FB,119)</f>
        <v>0.5</v>
      </c>
      <c r="N43" s="50">
        <f>VLOOKUP($A43,'Data shares'!$C:$FB,121)*100</f>
        <v>10</v>
      </c>
      <c r="O43" s="50">
        <f>VLOOKUP($A43,'Data shares'!$C:$FB,124)</f>
        <v>0.48</v>
      </c>
      <c r="P43" s="50">
        <f>VLOOKUP($A43,'Data shares'!$C:$FB,125)</f>
        <v>0.53</v>
      </c>
      <c r="Q43" s="50">
        <f>VLOOKUP($A43,'Data shares'!$C:$FB,127)*100</f>
        <v>-9.43</v>
      </c>
    </row>
    <row r="44" spans="1:17" x14ac:dyDescent="0.25">
      <c r="A44" s="97" t="str">
        <f>'Data Vlaue (Cr)'!C39</f>
        <v>CAMS</v>
      </c>
      <c r="B44" s="140">
        <f>VLOOKUP($A44,'Data shares'!$C:$FB,7)</f>
        <v>752.3</v>
      </c>
      <c r="C44" s="140">
        <f>VLOOKUP($A44,'Data shares'!$C:$FB,3)</f>
        <v>754</v>
      </c>
      <c r="D44" s="140">
        <f>VLOOKUP($A44,'Data shares'!$C:$FB,4)</f>
        <v>735.2</v>
      </c>
      <c r="E44" s="50">
        <f t="shared" si="0"/>
        <v>2.5571273122959677</v>
      </c>
      <c r="F44" s="49">
        <f>VLOOKUP($A44,'Data shares'!$C:$FB,98)</f>
        <v>19356750</v>
      </c>
      <c r="G44" s="49">
        <f>VLOOKUP($A44,'Data shares'!$C:$FB,99)</f>
        <v>19098000</v>
      </c>
      <c r="H44" s="50">
        <f t="shared" si="1"/>
        <v>1.3548539114043354</v>
      </c>
      <c r="I44" s="49">
        <f>VLOOKUP($A44,'Data shares'!$C:$FB,66)</f>
        <v>20459250</v>
      </c>
      <c r="J44" s="49">
        <f>VLOOKUP($A44,'Data shares'!$C:$FB,67)</f>
        <v>8454000</v>
      </c>
      <c r="K44" s="50">
        <f t="shared" si="2"/>
        <v>58.678837200777153</v>
      </c>
      <c r="L44" s="50">
        <f>VLOOKUP($A44,'Data shares'!$C:$FB,118)</f>
        <v>0.64</v>
      </c>
      <c r="M44" s="50">
        <f>VLOOKUP($A44,'Data shares'!$C:$FB,119)</f>
        <v>0.65</v>
      </c>
      <c r="N44" s="50">
        <f>VLOOKUP($A44,'Data shares'!$C:$FB,121)*100</f>
        <v>-1.54</v>
      </c>
      <c r="O44" s="50">
        <f>VLOOKUP($A44,'Data shares'!$C:$FB,124)</f>
        <v>0.31</v>
      </c>
      <c r="P44" s="50">
        <f>VLOOKUP($A44,'Data shares'!$C:$FB,125)</f>
        <v>0.94</v>
      </c>
      <c r="Q44" s="50">
        <f>VLOOKUP($A44,'Data shares'!$C:$FB,127)*100</f>
        <v>-67.02</v>
      </c>
    </row>
    <row r="45" spans="1:17" x14ac:dyDescent="0.25">
      <c r="A45" s="97" t="str">
        <f>'Data Vlaue (Cr)'!C40</f>
        <v>CANBK</v>
      </c>
      <c r="B45" s="140">
        <f>VLOOKUP($A45,'Data shares'!$C:$FB,7)</f>
        <v>149.83000000000001</v>
      </c>
      <c r="C45" s="140">
        <f>VLOOKUP($A45,'Data shares'!$C:$FB,3)</f>
        <v>149.69999999999999</v>
      </c>
      <c r="D45" s="140">
        <f>VLOOKUP($A45,'Data shares'!$C:$FB,4)</f>
        <v>150.35</v>
      </c>
      <c r="E45" s="50">
        <f t="shared" si="0"/>
        <v>-0.43232457598936191</v>
      </c>
      <c r="F45" s="49">
        <f>VLOOKUP($A45,'Data shares'!$C:$FB,98)</f>
        <v>347287500</v>
      </c>
      <c r="G45" s="49">
        <f>VLOOKUP($A45,'Data shares'!$C:$FB,99)</f>
        <v>346801500</v>
      </c>
      <c r="H45" s="50">
        <f t="shared" si="1"/>
        <v>0.14013780217213592</v>
      </c>
      <c r="I45" s="49">
        <f>VLOOKUP($A45,'Data shares'!$C:$FB,66)</f>
        <v>261366750</v>
      </c>
      <c r="J45" s="49">
        <f>VLOOKUP($A45,'Data shares'!$C:$FB,67)</f>
        <v>394530750</v>
      </c>
      <c r="K45" s="50">
        <f t="shared" si="2"/>
        <v>-50.949097389013708</v>
      </c>
      <c r="L45" s="50">
        <f>VLOOKUP($A45,'Data shares'!$C:$FB,118)</f>
        <v>0.81</v>
      </c>
      <c r="M45" s="50">
        <f>VLOOKUP($A45,'Data shares'!$C:$FB,119)</f>
        <v>0.82</v>
      </c>
      <c r="N45" s="50">
        <f>VLOOKUP($A45,'Data shares'!$C:$FB,121)*100</f>
        <v>-1.22</v>
      </c>
      <c r="O45" s="50">
        <f>VLOOKUP($A45,'Data shares'!$C:$FB,124)</f>
        <v>0.56999999999999995</v>
      </c>
      <c r="P45" s="50">
        <f>VLOOKUP($A45,'Data shares'!$C:$FB,125)</f>
        <v>0.49</v>
      </c>
      <c r="Q45" s="50">
        <f>VLOOKUP($A45,'Data shares'!$C:$FB,127)*100</f>
        <v>16.329999999999998</v>
      </c>
    </row>
    <row r="46" spans="1:17" x14ac:dyDescent="0.25">
      <c r="A46" s="97" t="str">
        <f>'Data Vlaue (Cr)'!C41</f>
        <v>CDSL</v>
      </c>
      <c r="B46" s="140">
        <f>VLOOKUP($A46,'Data shares'!$C:$FB,7)</f>
        <v>1489.6</v>
      </c>
      <c r="C46" s="140">
        <f>VLOOKUP($A46,'Data shares'!$C:$FB,3)</f>
        <v>1490.8</v>
      </c>
      <c r="D46" s="140">
        <f>VLOOKUP($A46,'Data shares'!$C:$FB,4)</f>
        <v>1478.4</v>
      </c>
      <c r="E46" s="50">
        <f t="shared" si="0"/>
        <v>0.83874458874457947</v>
      </c>
      <c r="F46" s="49">
        <f>VLOOKUP($A46,'Data shares'!$C:$FB,98)</f>
        <v>26650350</v>
      </c>
      <c r="G46" s="49">
        <f>VLOOKUP($A46,'Data shares'!$C:$FB,99)</f>
        <v>26885950</v>
      </c>
      <c r="H46" s="50">
        <f t="shared" si="1"/>
        <v>-0.87629412388254835</v>
      </c>
      <c r="I46" s="49">
        <f>VLOOKUP($A46,'Data shares'!$C:$FB,66)</f>
        <v>13143725</v>
      </c>
      <c r="J46" s="49">
        <f>VLOOKUP($A46,'Data shares'!$C:$FB,67)</f>
        <v>13350825</v>
      </c>
      <c r="K46" s="50">
        <f t="shared" si="2"/>
        <v>-1.5756568248346643</v>
      </c>
      <c r="L46" s="50">
        <f>VLOOKUP($A46,'Data shares'!$C:$FB,118)</f>
        <v>0.45</v>
      </c>
      <c r="M46" s="50">
        <f>VLOOKUP($A46,'Data shares'!$C:$FB,119)</f>
        <v>0.44</v>
      </c>
      <c r="N46" s="50">
        <f>VLOOKUP($A46,'Data shares'!$C:$FB,121)*100</f>
        <v>2.27</v>
      </c>
      <c r="O46" s="50">
        <f>VLOOKUP($A46,'Data shares'!$C:$FB,124)</f>
        <v>0.26</v>
      </c>
      <c r="P46" s="50">
        <f>VLOOKUP($A46,'Data shares'!$C:$FB,125)</f>
        <v>0.35</v>
      </c>
      <c r="Q46" s="50">
        <f>VLOOKUP($A46,'Data shares'!$C:$FB,127)*100</f>
        <v>-25.71</v>
      </c>
    </row>
    <row r="47" spans="1:17" x14ac:dyDescent="0.25">
      <c r="A47" s="97" t="str">
        <f>'Data Vlaue (Cr)'!C42</f>
        <v>CGPOWER</v>
      </c>
      <c r="B47" s="140">
        <f>VLOOKUP($A47,'Data shares'!$C:$FB,7)</f>
        <v>661.8</v>
      </c>
      <c r="C47" s="140">
        <f>VLOOKUP($A47,'Data shares'!$C:$FB,3)</f>
        <v>662.55</v>
      </c>
      <c r="D47" s="140">
        <f>VLOOKUP($A47,'Data shares'!$C:$FB,4)</f>
        <v>670.7</v>
      </c>
      <c r="E47" s="50">
        <f t="shared" si="0"/>
        <v>-1.2151483524675848</v>
      </c>
      <c r="F47" s="49">
        <f>VLOOKUP($A47,'Data shares'!$C:$FB,98)</f>
        <v>27977750</v>
      </c>
      <c r="G47" s="49">
        <f>VLOOKUP($A47,'Data shares'!$C:$FB,99)</f>
        <v>28696850</v>
      </c>
      <c r="H47" s="50">
        <f t="shared" si="1"/>
        <v>-2.5058499452030447</v>
      </c>
      <c r="I47" s="49">
        <f>VLOOKUP($A47,'Data shares'!$C:$FB,66)</f>
        <v>19312000</v>
      </c>
      <c r="J47" s="49">
        <f>VLOOKUP($A47,'Data shares'!$C:$FB,67)</f>
        <v>49492100</v>
      </c>
      <c r="K47" s="50">
        <f t="shared" si="2"/>
        <v>-156.27640845070422</v>
      </c>
      <c r="L47" s="50">
        <f>VLOOKUP($A47,'Data shares'!$C:$FB,118)</f>
        <v>0.44</v>
      </c>
      <c r="M47" s="50">
        <f>VLOOKUP($A47,'Data shares'!$C:$FB,119)</f>
        <v>0.44</v>
      </c>
      <c r="N47" s="50">
        <f>VLOOKUP($A47,'Data shares'!$C:$FB,121)*100</f>
        <v>0</v>
      </c>
      <c r="O47" s="50">
        <f>VLOOKUP($A47,'Data shares'!$C:$FB,124)</f>
        <v>0.41</v>
      </c>
      <c r="P47" s="50">
        <f>VLOOKUP($A47,'Data shares'!$C:$FB,125)</f>
        <v>0.22</v>
      </c>
      <c r="Q47" s="50">
        <f>VLOOKUP($A47,'Data shares'!$C:$FB,127)*100</f>
        <v>86.36</v>
      </c>
    </row>
    <row r="48" spans="1:17" x14ac:dyDescent="0.25">
      <c r="A48" s="97" t="str">
        <f>'Data Vlaue (Cr)'!C43</f>
        <v>CHOLAFIN</v>
      </c>
      <c r="B48" s="140">
        <f>VLOOKUP($A48,'Data shares'!$C:$FB,7)</f>
        <v>1679</v>
      </c>
      <c r="C48" s="140">
        <f>VLOOKUP($A48,'Data shares'!$C:$FB,3)</f>
        <v>1686</v>
      </c>
      <c r="D48" s="140">
        <f>VLOOKUP($A48,'Data shares'!$C:$FB,4)</f>
        <v>1679.2</v>
      </c>
      <c r="E48" s="50">
        <f t="shared" si="0"/>
        <v>0.40495474035254608</v>
      </c>
      <c r="F48" s="49">
        <f>VLOOKUP($A48,'Data shares'!$C:$FB,98)</f>
        <v>25916875</v>
      </c>
      <c r="G48" s="49">
        <f>VLOOKUP($A48,'Data shares'!$C:$FB,99)</f>
        <v>24522500</v>
      </c>
      <c r="H48" s="50">
        <f t="shared" si="1"/>
        <v>5.6861045978183302</v>
      </c>
      <c r="I48" s="49">
        <f>VLOOKUP($A48,'Data shares'!$C:$FB,66)</f>
        <v>12403125</v>
      </c>
      <c r="J48" s="49">
        <f>VLOOKUP($A48,'Data shares'!$C:$FB,67)</f>
        <v>24314375</v>
      </c>
      <c r="K48" s="50">
        <f t="shared" si="2"/>
        <v>-96.034265558075077</v>
      </c>
      <c r="L48" s="50">
        <f>VLOOKUP($A48,'Data shares'!$C:$FB,118)</f>
        <v>0.89</v>
      </c>
      <c r="M48" s="50">
        <f>VLOOKUP($A48,'Data shares'!$C:$FB,119)</f>
        <v>0.74</v>
      </c>
      <c r="N48" s="50">
        <f>VLOOKUP($A48,'Data shares'!$C:$FB,121)*100</f>
        <v>20.27</v>
      </c>
      <c r="O48" s="50">
        <f>VLOOKUP($A48,'Data shares'!$C:$FB,124)</f>
        <v>0.91</v>
      </c>
      <c r="P48" s="50">
        <f>VLOOKUP($A48,'Data shares'!$C:$FB,125)</f>
        <v>0.64</v>
      </c>
      <c r="Q48" s="50">
        <f>VLOOKUP($A48,'Data shares'!$C:$FB,127)*100</f>
        <v>42.19</v>
      </c>
    </row>
    <row r="49" spans="1:17" x14ac:dyDescent="0.25">
      <c r="A49" s="97" t="str">
        <f>'Data Vlaue (Cr)'!C44</f>
        <v>CIPLA</v>
      </c>
      <c r="B49" s="140">
        <f>VLOOKUP($A49,'Data shares'!$C:$FB,7)</f>
        <v>1498.9</v>
      </c>
      <c r="C49" s="140">
        <f>VLOOKUP($A49,'Data shares'!$C:$FB,3)</f>
        <v>1502.5</v>
      </c>
      <c r="D49" s="140">
        <f>VLOOKUP($A49,'Data shares'!$C:$FB,4)</f>
        <v>1498.5</v>
      </c>
      <c r="E49" s="50">
        <f t="shared" si="0"/>
        <v>0.26693360026693363</v>
      </c>
      <c r="F49" s="49">
        <f>VLOOKUP($A49,'Data shares'!$C:$FB,98)</f>
        <v>23805000</v>
      </c>
      <c r="G49" s="49">
        <f>VLOOKUP($A49,'Data shares'!$C:$FB,99)</f>
        <v>23887500</v>
      </c>
      <c r="H49" s="50">
        <f t="shared" si="1"/>
        <v>-0.34536891679748821</v>
      </c>
      <c r="I49" s="49">
        <f>VLOOKUP($A49,'Data shares'!$C:$FB,66)</f>
        <v>7536750</v>
      </c>
      <c r="J49" s="49">
        <f>VLOOKUP($A49,'Data shares'!$C:$FB,67)</f>
        <v>6340875</v>
      </c>
      <c r="K49" s="50">
        <f t="shared" si="2"/>
        <v>15.86725047268385</v>
      </c>
      <c r="L49" s="50">
        <f>VLOOKUP($A49,'Data shares'!$C:$FB,118)</f>
        <v>0.66</v>
      </c>
      <c r="M49" s="50">
        <f>VLOOKUP($A49,'Data shares'!$C:$FB,119)</f>
        <v>0.65</v>
      </c>
      <c r="N49" s="50">
        <f>VLOOKUP($A49,'Data shares'!$C:$FB,121)*100</f>
        <v>1.54</v>
      </c>
      <c r="O49" s="50">
        <f>VLOOKUP($A49,'Data shares'!$C:$FB,124)</f>
        <v>0.4</v>
      </c>
      <c r="P49" s="50">
        <f>VLOOKUP($A49,'Data shares'!$C:$FB,125)</f>
        <v>0.38</v>
      </c>
      <c r="Q49" s="50">
        <f>VLOOKUP($A49,'Data shares'!$C:$FB,127)*100</f>
        <v>5.26</v>
      </c>
    </row>
    <row r="50" spans="1:17" x14ac:dyDescent="0.25">
      <c r="A50" s="97" t="str">
        <f>'Data Vlaue (Cr)'!C45</f>
        <v>COALINDIA</v>
      </c>
      <c r="B50" s="140">
        <f>VLOOKUP($A50,'Data shares'!$C:$FB,7)</f>
        <v>385.3</v>
      </c>
      <c r="C50" s="140">
        <f>VLOOKUP($A50,'Data shares'!$C:$FB,3)</f>
        <v>386.5</v>
      </c>
      <c r="D50" s="140">
        <f>VLOOKUP($A50,'Data shares'!$C:$FB,4)</f>
        <v>385.85</v>
      </c>
      <c r="E50" s="50">
        <f t="shared" si="0"/>
        <v>0.16845924582090896</v>
      </c>
      <c r="F50" s="49">
        <f>VLOOKUP($A50,'Data shares'!$C:$FB,98)</f>
        <v>93213450</v>
      </c>
      <c r="G50" s="49">
        <f>VLOOKUP($A50,'Data shares'!$C:$FB,99)</f>
        <v>94286700</v>
      </c>
      <c r="H50" s="50">
        <f t="shared" si="1"/>
        <v>-1.1382835543082959</v>
      </c>
      <c r="I50" s="49">
        <f>VLOOKUP($A50,'Data shares'!$C:$FB,66)</f>
        <v>20868300</v>
      </c>
      <c r="J50" s="49">
        <f>VLOOKUP($A50,'Data shares'!$C:$FB,67)</f>
        <v>23284800</v>
      </c>
      <c r="K50" s="50">
        <f t="shared" si="2"/>
        <v>-11.57976452322422</v>
      </c>
      <c r="L50" s="50">
        <f>VLOOKUP($A50,'Data shares'!$C:$FB,118)</f>
        <v>0.97</v>
      </c>
      <c r="M50" s="50">
        <f>VLOOKUP($A50,'Data shares'!$C:$FB,119)</f>
        <v>0.95</v>
      </c>
      <c r="N50" s="50">
        <f>VLOOKUP($A50,'Data shares'!$C:$FB,121)*100</f>
        <v>2.11</v>
      </c>
      <c r="O50" s="50">
        <f>VLOOKUP($A50,'Data shares'!$C:$FB,124)</f>
        <v>0.75</v>
      </c>
      <c r="P50" s="50">
        <f>VLOOKUP($A50,'Data shares'!$C:$FB,125)</f>
        <v>0.57999999999999996</v>
      </c>
      <c r="Q50" s="50">
        <f>VLOOKUP($A50,'Data shares'!$C:$FB,127)*100</f>
        <v>29.310000000000002</v>
      </c>
    </row>
    <row r="51" spans="1:17" x14ac:dyDescent="0.25">
      <c r="A51" s="97" t="str">
        <f>'Data Vlaue (Cr)'!C46</f>
        <v>COFORGE</v>
      </c>
      <c r="B51" s="140">
        <f>VLOOKUP($A51,'Data shares'!$C:$FB,7)</f>
        <v>1854.8</v>
      </c>
      <c r="C51" s="140">
        <f>VLOOKUP($A51,'Data shares'!$C:$FB,3)</f>
        <v>1859.2</v>
      </c>
      <c r="D51" s="140">
        <f>VLOOKUP($A51,'Data shares'!$C:$FB,4)</f>
        <v>1851.5</v>
      </c>
      <c r="E51" s="50">
        <f t="shared" si="0"/>
        <v>0.41587901701323499</v>
      </c>
      <c r="F51" s="49">
        <f>VLOOKUP($A51,'Data shares'!$C:$FB,98)</f>
        <v>23906250</v>
      </c>
      <c r="G51" s="49">
        <f>VLOOKUP($A51,'Data shares'!$C:$FB,99)</f>
        <v>23776125</v>
      </c>
      <c r="H51" s="50">
        <f t="shared" si="1"/>
        <v>0.54729271485576392</v>
      </c>
      <c r="I51" s="49">
        <f>VLOOKUP($A51,'Data shares'!$C:$FB,66)</f>
        <v>16867125</v>
      </c>
      <c r="J51" s="49">
        <f>VLOOKUP($A51,'Data shares'!$C:$FB,67)</f>
        <v>15108375</v>
      </c>
      <c r="K51" s="50">
        <f t="shared" si="2"/>
        <v>10.427088196714022</v>
      </c>
      <c r="L51" s="50">
        <f>VLOOKUP($A51,'Data shares'!$C:$FB,118)</f>
        <v>0.46</v>
      </c>
      <c r="M51" s="50">
        <f>VLOOKUP($A51,'Data shares'!$C:$FB,119)</f>
        <v>0.46</v>
      </c>
      <c r="N51" s="50">
        <f>VLOOKUP($A51,'Data shares'!$C:$FB,121)*100</f>
        <v>0</v>
      </c>
      <c r="O51" s="50">
        <f>VLOOKUP($A51,'Data shares'!$C:$FB,124)</f>
        <v>0.33</v>
      </c>
      <c r="P51" s="50">
        <f>VLOOKUP($A51,'Data shares'!$C:$FB,125)</f>
        <v>0.41</v>
      </c>
      <c r="Q51" s="50">
        <f>VLOOKUP($A51,'Data shares'!$C:$FB,127)*100</f>
        <v>-19.509999999999998</v>
      </c>
    </row>
    <row r="52" spans="1:17" x14ac:dyDescent="0.25">
      <c r="A52" s="97" t="str">
        <f>'Data Vlaue (Cr)'!C47</f>
        <v>COLPAL</v>
      </c>
      <c r="B52" s="140">
        <f>VLOOKUP($A52,'Data shares'!$C:$FB,7)</f>
        <v>2090</v>
      </c>
      <c r="C52" s="140">
        <f>VLOOKUP($A52,'Data shares'!$C:$FB,3)</f>
        <v>2095.8000000000002</v>
      </c>
      <c r="D52" s="140">
        <f>VLOOKUP($A52,'Data shares'!$C:$FB,4)</f>
        <v>2089.6999999999998</v>
      </c>
      <c r="E52" s="50">
        <f t="shared" si="0"/>
        <v>0.29190792936786925</v>
      </c>
      <c r="F52" s="49">
        <f>VLOOKUP($A52,'Data shares'!$C:$FB,98)</f>
        <v>12309300</v>
      </c>
      <c r="G52" s="49">
        <f>VLOOKUP($A52,'Data shares'!$C:$FB,99)</f>
        <v>12226050</v>
      </c>
      <c r="H52" s="50">
        <f t="shared" si="1"/>
        <v>0.68092311089845048</v>
      </c>
      <c r="I52" s="49">
        <f>VLOOKUP($A52,'Data shares'!$C:$FB,66)</f>
        <v>5518350</v>
      </c>
      <c r="J52" s="49">
        <f>VLOOKUP($A52,'Data shares'!$C:$FB,67)</f>
        <v>8384400</v>
      </c>
      <c r="K52" s="50">
        <f t="shared" si="2"/>
        <v>-51.936720215281738</v>
      </c>
      <c r="L52" s="50">
        <f>VLOOKUP($A52,'Data shares'!$C:$FB,118)</f>
        <v>0.64</v>
      </c>
      <c r="M52" s="50">
        <f>VLOOKUP($A52,'Data shares'!$C:$FB,119)</f>
        <v>0.63</v>
      </c>
      <c r="N52" s="50">
        <f>VLOOKUP($A52,'Data shares'!$C:$FB,121)*100</f>
        <v>1.59</v>
      </c>
      <c r="O52" s="50">
        <f>VLOOKUP($A52,'Data shares'!$C:$FB,124)</f>
        <v>0.54</v>
      </c>
      <c r="P52" s="50">
        <f>VLOOKUP($A52,'Data shares'!$C:$FB,125)</f>
        <v>0.76</v>
      </c>
      <c r="Q52" s="50">
        <f>VLOOKUP($A52,'Data shares'!$C:$FB,127)*100</f>
        <v>-28.95</v>
      </c>
    </row>
    <row r="53" spans="1:17" x14ac:dyDescent="0.25">
      <c r="A53" s="97" t="str">
        <f>'Data Vlaue (Cr)'!C48</f>
        <v>CONCOR</v>
      </c>
      <c r="B53" s="140">
        <f>VLOOKUP($A53,'Data shares'!$C:$FB,7)</f>
        <v>498.25</v>
      </c>
      <c r="C53" s="140">
        <f>VLOOKUP($A53,'Data shares'!$C:$FB,3)</f>
        <v>498.8</v>
      </c>
      <c r="D53" s="140">
        <f>VLOOKUP($A53,'Data shares'!$C:$FB,4)</f>
        <v>496.75</v>
      </c>
      <c r="E53" s="50">
        <f t="shared" si="0"/>
        <v>0.41268243583291625</v>
      </c>
      <c r="F53" s="49">
        <f>VLOOKUP($A53,'Data shares'!$C:$FB,98)</f>
        <v>63913750</v>
      </c>
      <c r="G53" s="49">
        <f>VLOOKUP($A53,'Data shares'!$C:$FB,99)</f>
        <v>64428750</v>
      </c>
      <c r="H53" s="50">
        <f t="shared" si="1"/>
        <v>-0.79933259608482243</v>
      </c>
      <c r="I53" s="49">
        <f>VLOOKUP($A53,'Data shares'!$C:$FB,66)</f>
        <v>13287500</v>
      </c>
      <c r="J53" s="49">
        <f>VLOOKUP($A53,'Data shares'!$C:$FB,67)</f>
        <v>10385000</v>
      </c>
      <c r="K53" s="50">
        <f t="shared" si="2"/>
        <v>21.843838193791157</v>
      </c>
      <c r="L53" s="50">
        <f>VLOOKUP($A53,'Data shares'!$C:$FB,118)</f>
        <v>0.74</v>
      </c>
      <c r="M53" s="50">
        <f>VLOOKUP($A53,'Data shares'!$C:$FB,119)</f>
        <v>0.73</v>
      </c>
      <c r="N53" s="50">
        <f>VLOOKUP($A53,'Data shares'!$C:$FB,121)*100</f>
        <v>1.37</v>
      </c>
      <c r="O53" s="50">
        <f>VLOOKUP($A53,'Data shares'!$C:$FB,124)</f>
        <v>0.32</v>
      </c>
      <c r="P53" s="50">
        <f>VLOOKUP($A53,'Data shares'!$C:$FB,125)</f>
        <v>0.44</v>
      </c>
      <c r="Q53" s="50">
        <f>VLOOKUP($A53,'Data shares'!$C:$FB,127)*100</f>
        <v>-27.27</v>
      </c>
    </row>
    <row r="54" spans="1:17" x14ac:dyDescent="0.25">
      <c r="A54" s="97" t="str">
        <f>'Data Vlaue (Cr)'!C49</f>
        <v>CROMPTON</v>
      </c>
      <c r="B54" s="140">
        <f>VLOOKUP($A54,'Data shares'!$C:$FB,7)</f>
        <v>255.65</v>
      </c>
      <c r="C54" s="140">
        <f>VLOOKUP($A54,'Data shares'!$C:$FB,3)</f>
        <v>256.35000000000002</v>
      </c>
      <c r="D54" s="140">
        <f>VLOOKUP($A54,'Data shares'!$C:$FB,4)</f>
        <v>249.5</v>
      </c>
      <c r="E54" s="50">
        <f t="shared" si="0"/>
        <v>2.745490981963937</v>
      </c>
      <c r="F54" s="49">
        <f>VLOOKUP($A54,'Data shares'!$C:$FB,98)</f>
        <v>99635400</v>
      </c>
      <c r="G54" s="49">
        <f>VLOOKUP($A54,'Data shares'!$C:$FB,99)</f>
        <v>93393000</v>
      </c>
      <c r="H54" s="50">
        <f t="shared" si="1"/>
        <v>6.6840127204394335</v>
      </c>
      <c r="I54" s="49">
        <f>VLOOKUP($A54,'Data shares'!$C:$FB,66)</f>
        <v>159588000</v>
      </c>
      <c r="J54" s="49">
        <f>VLOOKUP($A54,'Data shares'!$C:$FB,67)</f>
        <v>21252600</v>
      </c>
      <c r="K54" s="50">
        <f t="shared" si="2"/>
        <v>86.682833295736515</v>
      </c>
      <c r="L54" s="50">
        <f>VLOOKUP($A54,'Data shares'!$C:$FB,118)</f>
        <v>0.48</v>
      </c>
      <c r="M54" s="50">
        <f>VLOOKUP($A54,'Data shares'!$C:$FB,119)</f>
        <v>0.49</v>
      </c>
      <c r="N54" s="50">
        <f>VLOOKUP($A54,'Data shares'!$C:$FB,121)*100</f>
        <v>-2.04</v>
      </c>
      <c r="O54" s="50">
        <f>VLOOKUP($A54,'Data shares'!$C:$FB,124)</f>
        <v>0.35</v>
      </c>
      <c r="P54" s="50">
        <f>VLOOKUP($A54,'Data shares'!$C:$FB,125)</f>
        <v>0.28999999999999998</v>
      </c>
      <c r="Q54" s="50">
        <f>VLOOKUP($A54,'Data shares'!$C:$FB,127)*100</f>
        <v>20.69</v>
      </c>
    </row>
    <row r="55" spans="1:17" x14ac:dyDescent="0.25">
      <c r="A55" s="97" t="str">
        <f>'Data Vlaue (Cr)'!C50</f>
        <v>CUMMINSIND</v>
      </c>
      <c r="B55" s="140">
        <f>VLOOKUP($A55,'Data shares'!$C:$FB,7)</f>
        <v>4385.3999999999996</v>
      </c>
      <c r="C55" s="140">
        <f>VLOOKUP($A55,'Data shares'!$C:$FB,3)</f>
        <v>4389.8</v>
      </c>
      <c r="D55" s="140">
        <f>VLOOKUP($A55,'Data shares'!$C:$FB,4)</f>
        <v>4521.1000000000004</v>
      </c>
      <c r="E55" s="50">
        <f t="shared" si="0"/>
        <v>-2.9041604919156883</v>
      </c>
      <c r="F55" s="49">
        <f>VLOOKUP($A55,'Data shares'!$C:$FB,98)</f>
        <v>5083200</v>
      </c>
      <c r="G55" s="49">
        <f>VLOOKUP($A55,'Data shares'!$C:$FB,99)</f>
        <v>4776600</v>
      </c>
      <c r="H55" s="50">
        <f t="shared" si="1"/>
        <v>6.4187916090943347</v>
      </c>
      <c r="I55" s="49">
        <f>VLOOKUP($A55,'Data shares'!$C:$FB,66)</f>
        <v>8218800</v>
      </c>
      <c r="J55" s="49">
        <f>VLOOKUP($A55,'Data shares'!$C:$FB,67)</f>
        <v>2634600</v>
      </c>
      <c r="K55" s="50">
        <f t="shared" si="2"/>
        <v>67.944225434369969</v>
      </c>
      <c r="L55" s="50">
        <f>VLOOKUP($A55,'Data shares'!$C:$FB,118)</f>
        <v>0.62</v>
      </c>
      <c r="M55" s="50">
        <f>VLOOKUP($A55,'Data shares'!$C:$FB,119)</f>
        <v>0.75</v>
      </c>
      <c r="N55" s="50">
        <f>VLOOKUP($A55,'Data shares'!$C:$FB,121)*100</f>
        <v>-17.330000000000002</v>
      </c>
      <c r="O55" s="50">
        <f>VLOOKUP($A55,'Data shares'!$C:$FB,124)</f>
        <v>0.8</v>
      </c>
      <c r="P55" s="50">
        <f>VLOOKUP($A55,'Data shares'!$C:$FB,125)</f>
        <v>0.33</v>
      </c>
      <c r="Q55" s="50">
        <f>VLOOKUP($A55,'Data shares'!$C:$FB,127)*100</f>
        <v>142.41999999999999</v>
      </c>
    </row>
    <row r="56" spans="1:17" x14ac:dyDescent="0.25">
      <c r="A56" s="97" t="str">
        <f>'Data Vlaue (Cr)'!C51</f>
        <v>CYIENT</v>
      </c>
      <c r="B56" s="140">
        <f>VLOOKUP($A56,'Data shares'!$C:$FB,7)</f>
        <v>1141.3</v>
      </c>
      <c r="C56" s="140">
        <f>VLOOKUP($A56,'Data shares'!$C:$FB,3)</f>
        <v>1144.0999999999999</v>
      </c>
      <c r="D56" s="140">
        <f>VLOOKUP($A56,'Data shares'!$C:$FB,4)</f>
        <v>1142.3</v>
      </c>
      <c r="E56" s="50">
        <f t="shared" si="0"/>
        <v>0.15757681869911186</v>
      </c>
      <c r="F56" s="49">
        <f>VLOOKUP($A56,'Data shares'!$C:$FB,98)</f>
        <v>5682250</v>
      </c>
      <c r="G56" s="49">
        <f>VLOOKUP($A56,'Data shares'!$C:$FB,99)</f>
        <v>5620200</v>
      </c>
      <c r="H56" s="50">
        <f t="shared" si="1"/>
        <v>1.1040532365396249</v>
      </c>
      <c r="I56" s="49">
        <f>VLOOKUP($A56,'Data shares'!$C:$FB,66)</f>
        <v>3524100</v>
      </c>
      <c r="J56" s="49">
        <f>VLOOKUP($A56,'Data shares'!$C:$FB,67)</f>
        <v>15132550</v>
      </c>
      <c r="K56" s="50">
        <f t="shared" si="2"/>
        <v>-329.401833092137</v>
      </c>
      <c r="L56" s="50">
        <f>VLOOKUP($A56,'Data shares'!$C:$FB,118)</f>
        <v>0.64</v>
      </c>
      <c r="M56" s="50">
        <f>VLOOKUP($A56,'Data shares'!$C:$FB,119)</f>
        <v>0.68</v>
      </c>
      <c r="N56" s="50">
        <f>VLOOKUP($A56,'Data shares'!$C:$FB,121)*100</f>
        <v>-5.88</v>
      </c>
      <c r="O56" s="50">
        <f>VLOOKUP($A56,'Data shares'!$C:$FB,124)</f>
        <v>0.19</v>
      </c>
      <c r="P56" s="50">
        <f>VLOOKUP($A56,'Data shares'!$C:$FB,125)</f>
        <v>0.75</v>
      </c>
      <c r="Q56" s="50">
        <f>VLOOKUP($A56,'Data shares'!$C:$FB,127)*100</f>
        <v>-74.67</v>
      </c>
    </row>
    <row r="57" spans="1:17" x14ac:dyDescent="0.25">
      <c r="A57" s="97" t="str">
        <f>'Data Vlaue (Cr)'!C52</f>
        <v>DABUR</v>
      </c>
      <c r="B57" s="140">
        <f>VLOOKUP($A57,'Data shares'!$C:$FB,7)</f>
        <v>492.55</v>
      </c>
      <c r="C57" s="140">
        <f>VLOOKUP($A57,'Data shares'!$C:$FB,3)</f>
        <v>493.6</v>
      </c>
      <c r="D57" s="140">
        <f>VLOOKUP($A57,'Data shares'!$C:$FB,4)</f>
        <v>494.5</v>
      </c>
      <c r="E57" s="50">
        <f t="shared" si="0"/>
        <v>-0.18200202224468701</v>
      </c>
      <c r="F57" s="49">
        <f>VLOOKUP($A57,'Data shares'!$C:$FB,98)</f>
        <v>44013750</v>
      </c>
      <c r="G57" s="49">
        <f>VLOOKUP($A57,'Data shares'!$C:$FB,99)</f>
        <v>43142500</v>
      </c>
      <c r="H57" s="50">
        <f t="shared" si="1"/>
        <v>2.0194703598539721</v>
      </c>
      <c r="I57" s="49">
        <f>VLOOKUP($A57,'Data shares'!$C:$FB,66)</f>
        <v>13803750</v>
      </c>
      <c r="J57" s="49">
        <f>VLOOKUP($A57,'Data shares'!$C:$FB,67)</f>
        <v>11976250</v>
      </c>
      <c r="K57" s="50">
        <f t="shared" si="2"/>
        <v>13.239156026442089</v>
      </c>
      <c r="L57" s="50">
        <f>VLOOKUP($A57,'Data shares'!$C:$FB,118)</f>
        <v>0.56000000000000005</v>
      </c>
      <c r="M57" s="50">
        <f>VLOOKUP($A57,'Data shares'!$C:$FB,119)</f>
        <v>0.54</v>
      </c>
      <c r="N57" s="50">
        <f>VLOOKUP($A57,'Data shares'!$C:$FB,121)*100</f>
        <v>3.6999999999999997</v>
      </c>
      <c r="O57" s="50">
        <f>VLOOKUP($A57,'Data shares'!$C:$FB,124)</f>
        <v>0.36</v>
      </c>
      <c r="P57" s="50">
        <f>VLOOKUP($A57,'Data shares'!$C:$FB,125)</f>
        <v>0.36</v>
      </c>
      <c r="Q57" s="50">
        <f>VLOOKUP($A57,'Data shares'!$C:$FB,127)*100</f>
        <v>0</v>
      </c>
    </row>
    <row r="58" spans="1:17" x14ac:dyDescent="0.25">
      <c r="A58" s="97" t="str">
        <f>'Data Vlaue (Cr)'!C53</f>
        <v>DALBHARAT</v>
      </c>
      <c r="B58" s="140">
        <f>VLOOKUP($A58,'Data shares'!$C:$FB,7)</f>
        <v>2024.4</v>
      </c>
      <c r="C58" s="140">
        <f>VLOOKUP($A58,'Data shares'!$C:$FB,3)</f>
        <v>2028.1</v>
      </c>
      <c r="D58" s="140">
        <f>VLOOKUP($A58,'Data shares'!$C:$FB,4)</f>
        <v>2077.6</v>
      </c>
      <c r="E58" s="50">
        <f t="shared" si="0"/>
        <v>-2.3825567963034273</v>
      </c>
      <c r="F58" s="49">
        <f>VLOOKUP($A58,'Data shares'!$C:$FB,98)</f>
        <v>4926025</v>
      </c>
      <c r="G58" s="49">
        <f>VLOOKUP($A58,'Data shares'!$C:$FB,99)</f>
        <v>4771975</v>
      </c>
      <c r="H58" s="50">
        <f t="shared" si="1"/>
        <v>3.2282231151672001</v>
      </c>
      <c r="I58" s="49">
        <f>VLOOKUP($A58,'Data shares'!$C:$FB,66)</f>
        <v>3257800</v>
      </c>
      <c r="J58" s="49">
        <f>VLOOKUP($A58,'Data shares'!$C:$FB,67)</f>
        <v>2290275</v>
      </c>
      <c r="K58" s="50">
        <f t="shared" si="2"/>
        <v>29.698723064644849</v>
      </c>
      <c r="L58" s="50">
        <f>VLOOKUP($A58,'Data shares'!$C:$FB,118)</f>
        <v>0.66</v>
      </c>
      <c r="M58" s="50">
        <f>VLOOKUP($A58,'Data shares'!$C:$FB,119)</f>
        <v>0.76</v>
      </c>
      <c r="N58" s="50">
        <f>VLOOKUP($A58,'Data shares'!$C:$FB,121)*100</f>
        <v>-13.16</v>
      </c>
      <c r="O58" s="50">
        <f>VLOOKUP($A58,'Data shares'!$C:$FB,124)</f>
        <v>0.84</v>
      </c>
      <c r="P58" s="50">
        <f>VLOOKUP($A58,'Data shares'!$C:$FB,125)</f>
        <v>0.4</v>
      </c>
      <c r="Q58" s="50">
        <f>VLOOKUP($A58,'Data shares'!$C:$FB,127)*100</f>
        <v>110.00000000000001</v>
      </c>
    </row>
    <row r="59" spans="1:17" x14ac:dyDescent="0.25">
      <c r="A59" s="97" t="str">
        <f>'Data Vlaue (Cr)'!C54</f>
        <v>DELHIVERY</v>
      </c>
      <c r="B59" s="140">
        <f>VLOOKUP($A59,'Data shares'!$C:$FB,7)</f>
        <v>402.35</v>
      </c>
      <c r="C59" s="140">
        <f>VLOOKUP($A59,'Data shares'!$C:$FB,3)</f>
        <v>402.6</v>
      </c>
      <c r="D59" s="140">
        <f>VLOOKUP($A59,'Data shares'!$C:$FB,4)</f>
        <v>400.3</v>
      </c>
      <c r="E59" s="50">
        <f t="shared" si="0"/>
        <v>0.57456907319510653</v>
      </c>
      <c r="F59" s="49">
        <f>VLOOKUP($A59,'Data shares'!$C:$FB,98)</f>
        <v>38595000</v>
      </c>
      <c r="G59" s="49">
        <f>VLOOKUP($A59,'Data shares'!$C:$FB,99)</f>
        <v>39221650</v>
      </c>
      <c r="H59" s="50">
        <f t="shared" si="1"/>
        <v>-1.597714527563221</v>
      </c>
      <c r="I59" s="49">
        <f>VLOOKUP($A59,'Data shares'!$C:$FB,66)</f>
        <v>14647425</v>
      </c>
      <c r="J59" s="49">
        <f>VLOOKUP($A59,'Data shares'!$C:$FB,67)</f>
        <v>13209450</v>
      </c>
      <c r="K59" s="50">
        <f t="shared" si="2"/>
        <v>9.8172545686357839</v>
      </c>
      <c r="L59" s="50">
        <f>VLOOKUP($A59,'Data shares'!$C:$FB,118)</f>
        <v>0.67</v>
      </c>
      <c r="M59" s="50">
        <f>VLOOKUP($A59,'Data shares'!$C:$FB,119)</f>
        <v>0.65</v>
      </c>
      <c r="N59" s="50">
        <f>VLOOKUP($A59,'Data shares'!$C:$FB,121)*100</f>
        <v>3.08</v>
      </c>
      <c r="O59" s="50">
        <f>VLOOKUP($A59,'Data shares'!$C:$FB,124)</f>
        <v>0.7</v>
      </c>
      <c r="P59" s="50">
        <f>VLOOKUP($A59,'Data shares'!$C:$FB,125)</f>
        <v>0.5</v>
      </c>
      <c r="Q59" s="50">
        <f>VLOOKUP($A59,'Data shares'!$C:$FB,127)*100</f>
        <v>40</v>
      </c>
    </row>
    <row r="60" spans="1:17" x14ac:dyDescent="0.25">
      <c r="A60" s="97" t="str">
        <f>'Data Vlaue (Cr)'!C55</f>
        <v>DIVISLAB</v>
      </c>
      <c r="B60" s="140">
        <f>VLOOKUP($A60,'Data shares'!$C:$FB,7)</f>
        <v>6380</v>
      </c>
      <c r="C60" s="140">
        <f>VLOOKUP($A60,'Data shares'!$C:$FB,3)</f>
        <v>6390.5</v>
      </c>
      <c r="D60" s="140">
        <f>VLOOKUP($A60,'Data shares'!$C:$FB,4)</f>
        <v>6299.5</v>
      </c>
      <c r="E60" s="50">
        <f t="shared" si="0"/>
        <v>1.444559091991428</v>
      </c>
      <c r="F60" s="49">
        <f>VLOOKUP($A60,'Data shares'!$C:$FB,98)</f>
        <v>4733700</v>
      </c>
      <c r="G60" s="49">
        <f>VLOOKUP($A60,'Data shares'!$C:$FB,99)</f>
        <v>4657700</v>
      </c>
      <c r="H60" s="50">
        <f t="shared" si="1"/>
        <v>1.6317066363226485</v>
      </c>
      <c r="I60" s="49">
        <f>VLOOKUP($A60,'Data shares'!$C:$FB,66)</f>
        <v>2897300</v>
      </c>
      <c r="J60" s="49">
        <f>VLOOKUP($A60,'Data shares'!$C:$FB,67)</f>
        <v>937800</v>
      </c>
      <c r="K60" s="50">
        <f t="shared" si="2"/>
        <v>67.631933179166808</v>
      </c>
      <c r="L60" s="50">
        <f>VLOOKUP($A60,'Data shares'!$C:$FB,118)</f>
        <v>0.71</v>
      </c>
      <c r="M60" s="50">
        <f>VLOOKUP($A60,'Data shares'!$C:$FB,119)</f>
        <v>0.7</v>
      </c>
      <c r="N60" s="50">
        <f>VLOOKUP($A60,'Data shares'!$C:$FB,121)*100</f>
        <v>1.43</v>
      </c>
      <c r="O60" s="50">
        <f>VLOOKUP($A60,'Data shares'!$C:$FB,124)</f>
        <v>0.31</v>
      </c>
      <c r="P60" s="50">
        <f>VLOOKUP($A60,'Data shares'!$C:$FB,125)</f>
        <v>0.45</v>
      </c>
      <c r="Q60" s="50">
        <f>VLOOKUP($A60,'Data shares'!$C:$FB,127)*100</f>
        <v>-31.11</v>
      </c>
    </row>
    <row r="61" spans="1:17" x14ac:dyDescent="0.25">
      <c r="A61" s="97" t="str">
        <f>'Data Vlaue (Cr)'!C56</f>
        <v>DIXON</v>
      </c>
      <c r="B61" s="140">
        <f>VLOOKUP($A61,'Data shares'!$C:$FB,7)</f>
        <v>13299</v>
      </c>
      <c r="C61" s="140">
        <f>VLOOKUP($A61,'Data shares'!$C:$FB,3)</f>
        <v>13326</v>
      </c>
      <c r="D61" s="140">
        <f>VLOOKUP($A61,'Data shares'!$C:$FB,4)</f>
        <v>13263</v>
      </c>
      <c r="E61" s="50">
        <f t="shared" si="0"/>
        <v>0.47500565482922413</v>
      </c>
      <c r="F61" s="49">
        <f>VLOOKUP($A61,'Data shares'!$C:$FB,98)</f>
        <v>7709450</v>
      </c>
      <c r="G61" s="49">
        <f>VLOOKUP($A61,'Data shares'!$C:$FB,99)</f>
        <v>7711800</v>
      </c>
      <c r="H61" s="50">
        <f t="shared" si="1"/>
        <v>-3.0472781970486786E-2</v>
      </c>
      <c r="I61" s="49">
        <f>VLOOKUP($A61,'Data shares'!$C:$FB,66)</f>
        <v>13707750</v>
      </c>
      <c r="J61" s="49">
        <f>VLOOKUP($A61,'Data shares'!$C:$FB,67)</f>
        <v>12586050</v>
      </c>
      <c r="K61" s="50">
        <f t="shared" si="2"/>
        <v>8.1829621929200638</v>
      </c>
      <c r="L61" s="50">
        <f>VLOOKUP($A61,'Data shares'!$C:$FB,118)</f>
        <v>0.53</v>
      </c>
      <c r="M61" s="50">
        <f>VLOOKUP($A61,'Data shares'!$C:$FB,119)</f>
        <v>0.52</v>
      </c>
      <c r="N61" s="50">
        <f>VLOOKUP($A61,'Data shares'!$C:$FB,121)*100</f>
        <v>1.92</v>
      </c>
      <c r="O61" s="50">
        <f>VLOOKUP($A61,'Data shares'!$C:$FB,124)</f>
        <v>0.79</v>
      </c>
      <c r="P61" s="50">
        <f>VLOOKUP($A61,'Data shares'!$C:$FB,125)</f>
        <v>1.0900000000000001</v>
      </c>
      <c r="Q61" s="50">
        <f>VLOOKUP($A61,'Data shares'!$C:$FB,127)*100</f>
        <v>-27.52</v>
      </c>
    </row>
    <row r="62" spans="1:17" x14ac:dyDescent="0.25">
      <c r="A62" s="97" t="str">
        <f>'Data Vlaue (Cr)'!C57</f>
        <v>DLF</v>
      </c>
      <c r="B62" s="140">
        <f>VLOOKUP($A62,'Data shares'!$C:$FB,7)</f>
        <v>679.05</v>
      </c>
      <c r="C62" s="140">
        <f>VLOOKUP($A62,'Data shares'!$C:$FB,3)</f>
        <v>680</v>
      </c>
      <c r="D62" s="140">
        <f>VLOOKUP($A62,'Data shares'!$C:$FB,4)</f>
        <v>683.8</v>
      </c>
      <c r="E62" s="50">
        <f t="shared" si="0"/>
        <v>-0.55571804621233611</v>
      </c>
      <c r="F62" s="49">
        <f>VLOOKUP($A62,'Data shares'!$C:$FB,98)</f>
        <v>89700600</v>
      </c>
      <c r="G62" s="49">
        <f>VLOOKUP($A62,'Data shares'!$C:$FB,99)</f>
        <v>88187550</v>
      </c>
      <c r="H62" s="50">
        <f t="shared" si="1"/>
        <v>1.7157183752128276</v>
      </c>
      <c r="I62" s="49">
        <f>VLOOKUP($A62,'Data shares'!$C:$FB,66)</f>
        <v>50132775</v>
      </c>
      <c r="J62" s="49">
        <f>VLOOKUP($A62,'Data shares'!$C:$FB,67)</f>
        <v>29743725</v>
      </c>
      <c r="K62" s="50">
        <f t="shared" si="2"/>
        <v>40.670100547994799</v>
      </c>
      <c r="L62" s="50">
        <f>VLOOKUP($A62,'Data shares'!$C:$FB,118)</f>
        <v>0.66</v>
      </c>
      <c r="M62" s="50">
        <f>VLOOKUP($A62,'Data shares'!$C:$FB,119)</f>
        <v>0.62</v>
      </c>
      <c r="N62" s="50">
        <f>VLOOKUP($A62,'Data shares'!$C:$FB,121)*100</f>
        <v>6.45</v>
      </c>
      <c r="O62" s="50">
        <f>VLOOKUP($A62,'Data shares'!$C:$FB,124)</f>
        <v>0.73</v>
      </c>
      <c r="P62" s="50">
        <f>VLOOKUP($A62,'Data shares'!$C:$FB,125)</f>
        <v>0.39</v>
      </c>
      <c r="Q62" s="50">
        <f>VLOOKUP($A62,'Data shares'!$C:$FB,127)*100</f>
        <v>87.18</v>
      </c>
    </row>
    <row r="63" spans="1:17" x14ac:dyDescent="0.25">
      <c r="A63" s="97" t="str">
        <f>'Data Vlaue (Cr)'!C58</f>
        <v>DMART</v>
      </c>
      <c r="B63" s="140">
        <f>VLOOKUP($A63,'Data shares'!$C:$FB,7)</f>
        <v>3757.2</v>
      </c>
      <c r="C63" s="140">
        <f>VLOOKUP($A63,'Data shares'!$C:$FB,3)</f>
        <v>3769.6</v>
      </c>
      <c r="D63" s="140">
        <f>VLOOKUP($A63,'Data shares'!$C:$FB,4)</f>
        <v>3825.1</v>
      </c>
      <c r="E63" s="50">
        <f t="shared" si="0"/>
        <v>-1.4509424590206792</v>
      </c>
      <c r="F63" s="49">
        <f>VLOOKUP($A63,'Data shares'!$C:$FB,98)</f>
        <v>9933000</v>
      </c>
      <c r="G63" s="49">
        <f>VLOOKUP($A63,'Data shares'!$C:$FB,99)</f>
        <v>9434850</v>
      </c>
      <c r="H63" s="50">
        <f t="shared" si="1"/>
        <v>5.2798931620534511</v>
      </c>
      <c r="I63" s="49">
        <f>VLOOKUP($A63,'Data shares'!$C:$FB,66)</f>
        <v>5157150</v>
      </c>
      <c r="J63" s="49">
        <f>VLOOKUP($A63,'Data shares'!$C:$FB,67)</f>
        <v>3317700</v>
      </c>
      <c r="K63" s="50">
        <f t="shared" si="2"/>
        <v>35.667956138564904</v>
      </c>
      <c r="L63" s="50">
        <f>VLOOKUP($A63,'Data shares'!$C:$FB,118)</f>
        <v>0.44</v>
      </c>
      <c r="M63" s="50">
        <f>VLOOKUP($A63,'Data shares'!$C:$FB,119)</f>
        <v>0.48</v>
      </c>
      <c r="N63" s="50">
        <f>VLOOKUP($A63,'Data shares'!$C:$FB,121)*100</f>
        <v>-8.33</v>
      </c>
      <c r="O63" s="50">
        <f>VLOOKUP($A63,'Data shares'!$C:$FB,124)</f>
        <v>0.4</v>
      </c>
      <c r="P63" s="50">
        <f>VLOOKUP($A63,'Data shares'!$C:$FB,125)</f>
        <v>0.4</v>
      </c>
      <c r="Q63" s="50">
        <f>VLOOKUP($A63,'Data shares'!$C:$FB,127)*100</f>
        <v>0</v>
      </c>
    </row>
    <row r="64" spans="1:17" x14ac:dyDescent="0.25">
      <c r="A64" s="97" t="str">
        <f>'Data Vlaue (Cr)'!C59</f>
        <v>DRREDDY</v>
      </c>
      <c r="B64" s="140">
        <f>VLOOKUP($A64,'Data shares'!$C:$FB,7)</f>
        <v>1280</v>
      </c>
      <c r="C64" s="140">
        <f>VLOOKUP($A64,'Data shares'!$C:$FB,3)</f>
        <v>1279.5999999999999</v>
      </c>
      <c r="D64" s="140">
        <f>VLOOKUP($A64,'Data shares'!$C:$FB,4)</f>
        <v>1273.2</v>
      </c>
      <c r="E64" s="50">
        <f t="shared" si="0"/>
        <v>0.50267043669493106</v>
      </c>
      <c r="F64" s="49">
        <f>VLOOKUP($A64,'Data shares'!$C:$FB,98)</f>
        <v>23956250</v>
      </c>
      <c r="G64" s="49">
        <f>VLOOKUP($A64,'Data shares'!$C:$FB,99)</f>
        <v>23740000</v>
      </c>
      <c r="H64" s="50">
        <f t="shared" si="1"/>
        <v>0.91090985678180281</v>
      </c>
      <c r="I64" s="49">
        <f>VLOOKUP($A64,'Data shares'!$C:$FB,66)</f>
        <v>7317500</v>
      </c>
      <c r="J64" s="49">
        <f>VLOOKUP($A64,'Data shares'!$C:$FB,67)</f>
        <v>6504375</v>
      </c>
      <c r="K64" s="50">
        <f t="shared" si="2"/>
        <v>11.11206012982576</v>
      </c>
      <c r="L64" s="50">
        <f>VLOOKUP($A64,'Data shares'!$C:$FB,118)</f>
        <v>0.5</v>
      </c>
      <c r="M64" s="50">
        <f>VLOOKUP($A64,'Data shares'!$C:$FB,119)</f>
        <v>0.49</v>
      </c>
      <c r="N64" s="50">
        <f>VLOOKUP($A64,'Data shares'!$C:$FB,121)*100</f>
        <v>2.04</v>
      </c>
      <c r="O64" s="50">
        <f>VLOOKUP($A64,'Data shares'!$C:$FB,124)</f>
        <v>0.53</v>
      </c>
      <c r="P64" s="50">
        <f>VLOOKUP($A64,'Data shares'!$C:$FB,125)</f>
        <v>0.53</v>
      </c>
      <c r="Q64" s="50">
        <f>VLOOKUP($A64,'Data shares'!$C:$FB,127)*100</f>
        <v>0</v>
      </c>
    </row>
    <row r="65" spans="1:17" x14ac:dyDescent="0.25">
      <c r="A65" s="97" t="str">
        <f>'Data Vlaue (Cr)'!C60</f>
        <v>EICHERMOT</v>
      </c>
      <c r="B65" s="140">
        <f>VLOOKUP($A65,'Data shares'!$C:$FB,7)</f>
        <v>7106.5</v>
      </c>
      <c r="C65" s="140">
        <f>VLOOKUP($A65,'Data shares'!$C:$FB,3)</f>
        <v>7113.5</v>
      </c>
      <c r="D65" s="140">
        <f>VLOOKUP($A65,'Data shares'!$C:$FB,4)</f>
        <v>7144</v>
      </c>
      <c r="E65" s="50">
        <f t="shared" si="0"/>
        <v>-0.42693169092945127</v>
      </c>
      <c r="F65" s="49">
        <f>VLOOKUP($A65,'Data shares'!$C:$FB,98)</f>
        <v>7817000</v>
      </c>
      <c r="G65" s="49">
        <f>VLOOKUP($A65,'Data shares'!$C:$FB,99)</f>
        <v>7971550</v>
      </c>
      <c r="H65" s="50">
        <f t="shared" si="1"/>
        <v>-1.9387697499231642</v>
      </c>
      <c r="I65" s="49">
        <f>VLOOKUP($A65,'Data shares'!$C:$FB,66)</f>
        <v>7879200</v>
      </c>
      <c r="J65" s="49">
        <f>VLOOKUP($A65,'Data shares'!$C:$FB,67)</f>
        <v>8274175</v>
      </c>
      <c r="K65" s="50">
        <f t="shared" si="2"/>
        <v>-5.0128820184790337</v>
      </c>
      <c r="L65" s="50">
        <f>VLOOKUP($A65,'Data shares'!$C:$FB,118)</f>
        <v>0.72</v>
      </c>
      <c r="M65" s="50">
        <f>VLOOKUP($A65,'Data shares'!$C:$FB,119)</f>
        <v>0.74</v>
      </c>
      <c r="N65" s="50">
        <f>VLOOKUP($A65,'Data shares'!$C:$FB,121)*100</f>
        <v>-2.7</v>
      </c>
      <c r="O65" s="50">
        <f>VLOOKUP($A65,'Data shares'!$C:$FB,124)</f>
        <v>0.78</v>
      </c>
      <c r="P65" s="50">
        <f>VLOOKUP($A65,'Data shares'!$C:$FB,125)</f>
        <v>0.53</v>
      </c>
      <c r="Q65" s="50">
        <f>VLOOKUP($A65,'Data shares'!$C:$FB,127)*100</f>
        <v>47.17</v>
      </c>
    </row>
    <row r="66" spans="1:17" x14ac:dyDescent="0.25">
      <c r="A66" s="97" t="str">
        <f>'Data Vlaue (Cr)'!C61</f>
        <v>ETERNAL</v>
      </c>
      <c r="B66" s="140">
        <f>VLOOKUP($A66,'Data shares'!$C:$FB,7)</f>
        <v>284.75</v>
      </c>
      <c r="C66" s="140">
        <f>VLOOKUP($A66,'Data shares'!$C:$FB,3)</f>
        <v>285.5</v>
      </c>
      <c r="D66" s="140">
        <f>VLOOKUP($A66,'Data shares'!$C:$FB,4)</f>
        <v>285</v>
      </c>
      <c r="E66" s="50">
        <f t="shared" si="0"/>
        <v>0.17543859649122806</v>
      </c>
      <c r="F66" s="49">
        <f>VLOOKUP($A66,'Data shares'!$C:$FB,98)</f>
        <v>454049725</v>
      </c>
      <c r="G66" s="49">
        <f>VLOOKUP($A66,'Data shares'!$C:$FB,99)</f>
        <v>453795100</v>
      </c>
      <c r="H66" s="50">
        <f t="shared" si="1"/>
        <v>5.61101254729282E-2</v>
      </c>
      <c r="I66" s="49">
        <f>VLOOKUP($A66,'Data shares'!$C:$FB,66)</f>
        <v>130940300</v>
      </c>
      <c r="J66" s="49">
        <f>VLOOKUP($A66,'Data shares'!$C:$FB,67)</f>
        <v>189865375</v>
      </c>
      <c r="K66" s="50">
        <f t="shared" si="2"/>
        <v>-45.001481591228981</v>
      </c>
      <c r="L66" s="50">
        <f>VLOOKUP($A66,'Data shares'!$C:$FB,118)</f>
        <v>0.53</v>
      </c>
      <c r="M66" s="50">
        <f>VLOOKUP($A66,'Data shares'!$C:$FB,119)</f>
        <v>0.53</v>
      </c>
      <c r="N66" s="50">
        <f>VLOOKUP($A66,'Data shares'!$C:$FB,121)*100</f>
        <v>0</v>
      </c>
      <c r="O66" s="50">
        <f>VLOOKUP($A66,'Data shares'!$C:$FB,124)</f>
        <v>0.55000000000000004</v>
      </c>
      <c r="P66" s="50">
        <f>VLOOKUP($A66,'Data shares'!$C:$FB,125)</f>
        <v>0.6</v>
      </c>
      <c r="Q66" s="50">
        <f>VLOOKUP($A66,'Data shares'!$C:$FB,127)*100</f>
        <v>-8.33</v>
      </c>
    </row>
    <row r="67" spans="1:17" x14ac:dyDescent="0.25">
      <c r="A67" s="97" t="str">
        <f>'Data Vlaue (Cr)'!C62</f>
        <v>EXIDEIND</v>
      </c>
      <c r="B67" s="140">
        <f>VLOOKUP($A67,'Data shares'!$C:$FB,7)</f>
        <v>359.05</v>
      </c>
      <c r="C67" s="140">
        <f>VLOOKUP($A67,'Data shares'!$C:$FB,3)</f>
        <v>359.5</v>
      </c>
      <c r="D67" s="140">
        <f>VLOOKUP($A67,'Data shares'!$C:$FB,4)</f>
        <v>364.1</v>
      </c>
      <c r="E67" s="50">
        <f t="shared" si="0"/>
        <v>-1.2633891787970399</v>
      </c>
      <c r="F67" s="49">
        <f>VLOOKUP($A67,'Data shares'!$C:$FB,98)</f>
        <v>52729200</v>
      </c>
      <c r="G67" s="49">
        <f>VLOOKUP($A67,'Data shares'!$C:$FB,99)</f>
        <v>50310000</v>
      </c>
      <c r="H67" s="50">
        <f t="shared" si="1"/>
        <v>4.8085867620751346</v>
      </c>
      <c r="I67" s="49">
        <f>VLOOKUP($A67,'Data shares'!$C:$FB,66)</f>
        <v>22291200</v>
      </c>
      <c r="J67" s="49">
        <f>VLOOKUP($A67,'Data shares'!$C:$FB,67)</f>
        <v>16549200</v>
      </c>
      <c r="K67" s="50">
        <f t="shared" si="2"/>
        <v>25.759043927648577</v>
      </c>
      <c r="L67" s="50">
        <f>VLOOKUP($A67,'Data shares'!$C:$FB,118)</f>
        <v>0.66</v>
      </c>
      <c r="M67" s="50">
        <f>VLOOKUP($A67,'Data shares'!$C:$FB,119)</f>
        <v>0.71</v>
      </c>
      <c r="N67" s="50">
        <f>VLOOKUP($A67,'Data shares'!$C:$FB,121)*100</f>
        <v>-7.04</v>
      </c>
      <c r="O67" s="50">
        <f>VLOOKUP($A67,'Data shares'!$C:$FB,124)</f>
        <v>0.47</v>
      </c>
      <c r="P67" s="50">
        <f>VLOOKUP($A67,'Data shares'!$C:$FB,125)</f>
        <v>0.41</v>
      </c>
      <c r="Q67" s="50">
        <f>VLOOKUP($A67,'Data shares'!$C:$FB,127)*100</f>
        <v>14.63</v>
      </c>
    </row>
    <row r="68" spans="1:17" x14ac:dyDescent="0.25">
      <c r="A68" s="97" t="str">
        <f>'Data Vlaue (Cr)'!C63</f>
        <v>FEDERALBNK</v>
      </c>
      <c r="B68" s="140">
        <f>VLOOKUP($A68,'Data shares'!$C:$FB,7)</f>
        <v>265.39999999999998</v>
      </c>
      <c r="C68" s="140">
        <f>VLOOKUP($A68,'Data shares'!$C:$FB,3)</f>
        <v>265.5</v>
      </c>
      <c r="D68" s="140">
        <f>VLOOKUP($A68,'Data shares'!$C:$FB,4)</f>
        <v>264.3</v>
      </c>
      <c r="E68" s="50">
        <f t="shared" si="0"/>
        <v>0.45402951191827035</v>
      </c>
      <c r="F68" s="49">
        <f>VLOOKUP($A68,'Data shares'!$C:$FB,98)</f>
        <v>153980000</v>
      </c>
      <c r="G68" s="49">
        <f>VLOOKUP($A68,'Data shares'!$C:$FB,99)</f>
        <v>154985000</v>
      </c>
      <c r="H68" s="50">
        <f t="shared" si="1"/>
        <v>-0.6484498499854825</v>
      </c>
      <c r="I68" s="49">
        <f>VLOOKUP($A68,'Data shares'!$C:$FB,66)</f>
        <v>111965000</v>
      </c>
      <c r="J68" s="49">
        <f>VLOOKUP($A68,'Data shares'!$C:$FB,67)</f>
        <v>87350000</v>
      </c>
      <c r="K68" s="50">
        <f t="shared" si="2"/>
        <v>21.984548742910732</v>
      </c>
      <c r="L68" s="50">
        <f>VLOOKUP($A68,'Data shares'!$C:$FB,118)</f>
        <v>1.03</v>
      </c>
      <c r="M68" s="50">
        <f>VLOOKUP($A68,'Data shares'!$C:$FB,119)</f>
        <v>0.99</v>
      </c>
      <c r="N68" s="50">
        <f>VLOOKUP($A68,'Data shares'!$C:$FB,121)*100</f>
        <v>4.04</v>
      </c>
      <c r="O68" s="50">
        <f>VLOOKUP($A68,'Data shares'!$C:$FB,124)</f>
        <v>0.74</v>
      </c>
      <c r="P68" s="50">
        <f>VLOOKUP($A68,'Data shares'!$C:$FB,125)</f>
        <v>0.59</v>
      </c>
      <c r="Q68" s="50">
        <f>VLOOKUP($A68,'Data shares'!$C:$FB,127)*100</f>
        <v>25.419999999999998</v>
      </c>
    </row>
    <row r="69" spans="1:17" x14ac:dyDescent="0.25">
      <c r="A69" s="97" t="str">
        <f>'Data Vlaue (Cr)'!C64</f>
        <v>FINNIFTY</v>
      </c>
      <c r="B69" s="140">
        <f>VLOOKUP($A69,'Data shares'!$C:$FB,7)</f>
        <v>27267.1</v>
      </c>
      <c r="C69" s="140">
        <f>VLOOKUP($A69,'Data shares'!$C:$FB,3)</f>
        <v>27368.5</v>
      </c>
      <c r="D69" s="140">
        <f>VLOOKUP($A69,'Data shares'!$C:$FB,4)</f>
        <v>27375.7</v>
      </c>
      <c r="E69" s="50">
        <f t="shared" si="0"/>
        <v>-2.6300697333769465E-2</v>
      </c>
      <c r="F69" s="49">
        <f>VLOOKUP($A69,'Data shares'!$C:$FB,98)</f>
        <v>1614675</v>
      </c>
      <c r="G69" s="49">
        <f>VLOOKUP($A69,'Data shares'!$C:$FB,99)</f>
        <v>1531220</v>
      </c>
      <c r="H69" s="50">
        <f t="shared" si="1"/>
        <v>5.4502292289808132</v>
      </c>
      <c r="I69" s="49">
        <f>VLOOKUP($A69,'Data shares'!$C:$FB,66)</f>
        <v>2775630</v>
      </c>
      <c r="J69" s="49">
        <f>VLOOKUP($A69,'Data shares'!$C:$FB,67)</f>
        <v>2995785</v>
      </c>
      <c r="K69" s="50">
        <f t="shared" si="2"/>
        <v>-7.9317128003372206</v>
      </c>
      <c r="L69" s="50">
        <f>VLOOKUP($A69,'Data shares'!$C:$FB,118)</f>
        <v>0.63</v>
      </c>
      <c r="M69" s="50">
        <f>VLOOKUP($A69,'Data shares'!$C:$FB,119)</f>
        <v>0.56999999999999995</v>
      </c>
      <c r="N69" s="50">
        <f>VLOOKUP($A69,'Data shares'!$C:$FB,121)*100</f>
        <v>10.530000000000001</v>
      </c>
      <c r="O69" s="50">
        <f>VLOOKUP($A69,'Data shares'!$C:$FB,124)</f>
        <v>0.86</v>
      </c>
      <c r="P69" s="50">
        <f>VLOOKUP($A69,'Data shares'!$C:$FB,125)</f>
        <v>0.66</v>
      </c>
      <c r="Q69" s="50">
        <f>VLOOKUP($A69,'Data shares'!$C:$FB,127)*100</f>
        <v>30.3</v>
      </c>
    </row>
    <row r="70" spans="1:17" x14ac:dyDescent="0.25">
      <c r="A70" s="97" t="str">
        <f>'Data Vlaue (Cr)'!C65</f>
        <v>FORTIS</v>
      </c>
      <c r="B70" s="140">
        <f>VLOOKUP($A70,'Data shares'!$C:$FB,7)</f>
        <v>866.35</v>
      </c>
      <c r="C70" s="140">
        <f>VLOOKUP($A70,'Data shares'!$C:$FB,3)</f>
        <v>866.8</v>
      </c>
      <c r="D70" s="140">
        <f>VLOOKUP($A70,'Data shares'!$C:$FB,4)</f>
        <v>871.65</v>
      </c>
      <c r="E70" s="50">
        <f t="shared" si="0"/>
        <v>-0.55641599265760611</v>
      </c>
      <c r="F70" s="49">
        <f>VLOOKUP($A70,'Data shares'!$C:$FB,98)</f>
        <v>23625875</v>
      </c>
      <c r="G70" s="49">
        <f>VLOOKUP($A70,'Data shares'!$C:$FB,99)</f>
        <v>24092425</v>
      </c>
      <c r="H70" s="50">
        <f t="shared" si="1"/>
        <v>-1.9365007881107856</v>
      </c>
      <c r="I70" s="49">
        <f>VLOOKUP($A70,'Data shares'!$C:$FB,66)</f>
        <v>11113500</v>
      </c>
      <c r="J70" s="49">
        <f>VLOOKUP($A70,'Data shares'!$C:$FB,67)</f>
        <v>6222475</v>
      </c>
      <c r="K70" s="50">
        <f t="shared" si="2"/>
        <v>44.009762900976291</v>
      </c>
      <c r="L70" s="50">
        <f>VLOOKUP($A70,'Data shares'!$C:$FB,118)</f>
        <v>0.45</v>
      </c>
      <c r="M70" s="50">
        <f>VLOOKUP($A70,'Data shares'!$C:$FB,119)</f>
        <v>0.44</v>
      </c>
      <c r="N70" s="50">
        <f>VLOOKUP($A70,'Data shares'!$C:$FB,121)*100</f>
        <v>2.27</v>
      </c>
      <c r="O70" s="50">
        <f>VLOOKUP($A70,'Data shares'!$C:$FB,124)</f>
        <v>0.56000000000000005</v>
      </c>
      <c r="P70" s="50">
        <f>VLOOKUP($A70,'Data shares'!$C:$FB,125)</f>
        <v>0.4</v>
      </c>
      <c r="Q70" s="50">
        <f>VLOOKUP($A70,'Data shares'!$C:$FB,127)*100</f>
        <v>40</v>
      </c>
    </row>
    <row r="71" spans="1:17" x14ac:dyDescent="0.25">
      <c r="A71" s="97" t="str">
        <f>'Data Vlaue (Cr)'!C66</f>
        <v>GAIL</v>
      </c>
      <c r="B71" s="140">
        <f>VLOOKUP($A71,'Data shares'!$C:$FB,7)</f>
        <v>167.55</v>
      </c>
      <c r="C71" s="140">
        <f>VLOOKUP($A71,'Data shares'!$C:$FB,3)</f>
        <v>168.09</v>
      </c>
      <c r="D71" s="140">
        <f>VLOOKUP($A71,'Data shares'!$C:$FB,4)</f>
        <v>169.34</v>
      </c>
      <c r="E71" s="50">
        <f t="shared" si="0"/>
        <v>-0.73815991496397781</v>
      </c>
      <c r="F71" s="49">
        <f>VLOOKUP($A71,'Data shares'!$C:$FB,98)</f>
        <v>213138450</v>
      </c>
      <c r="G71" s="49">
        <f>VLOOKUP($A71,'Data shares'!$C:$FB,99)</f>
        <v>213273900</v>
      </c>
      <c r="H71" s="50">
        <f t="shared" si="1"/>
        <v>-6.350988095589756E-2</v>
      </c>
      <c r="I71" s="49">
        <f>VLOOKUP($A71,'Data shares'!$C:$FB,66)</f>
        <v>40178250</v>
      </c>
      <c r="J71" s="49">
        <f>VLOOKUP($A71,'Data shares'!$C:$FB,67)</f>
        <v>41312250</v>
      </c>
      <c r="K71" s="50">
        <f t="shared" si="2"/>
        <v>-2.822422579380635</v>
      </c>
      <c r="L71" s="50">
        <f>VLOOKUP($A71,'Data shares'!$C:$FB,118)</f>
        <v>0.65</v>
      </c>
      <c r="M71" s="50">
        <f>VLOOKUP($A71,'Data shares'!$C:$FB,119)</f>
        <v>0.66</v>
      </c>
      <c r="N71" s="50">
        <f>VLOOKUP($A71,'Data shares'!$C:$FB,121)*100</f>
        <v>-1.52</v>
      </c>
      <c r="O71" s="50">
        <f>VLOOKUP($A71,'Data shares'!$C:$FB,124)</f>
        <v>0.4</v>
      </c>
      <c r="P71" s="50">
        <f>VLOOKUP($A71,'Data shares'!$C:$FB,125)</f>
        <v>0.39</v>
      </c>
      <c r="Q71" s="50">
        <f>VLOOKUP($A71,'Data shares'!$C:$FB,127)*100</f>
        <v>2.56</v>
      </c>
    </row>
    <row r="72" spans="1:17" x14ac:dyDescent="0.25">
      <c r="A72" s="97" t="str">
        <f>'Data Vlaue (Cr)'!C67</f>
        <v>GLENMARK</v>
      </c>
      <c r="B72" s="140">
        <f>VLOOKUP($A72,'Data shares'!$C:$FB,7)</f>
        <v>1957.1</v>
      </c>
      <c r="C72" s="140">
        <f>VLOOKUP($A72,'Data shares'!$C:$FB,3)</f>
        <v>1959.4</v>
      </c>
      <c r="D72" s="140">
        <f>VLOOKUP($A72,'Data shares'!$C:$FB,4)</f>
        <v>1951.9</v>
      </c>
      <c r="E72" s="50">
        <f t="shared" ref="E72:E135" si="3">(C72-D72)/D72*100</f>
        <v>0.38424099595266148</v>
      </c>
      <c r="F72" s="49">
        <f>VLOOKUP($A72,'Data shares'!$C:$FB,98)</f>
        <v>21663750</v>
      </c>
      <c r="G72" s="49">
        <f>VLOOKUP($A72,'Data shares'!$C:$FB,99)</f>
        <v>21753000</v>
      </c>
      <c r="H72" s="50">
        <f t="shared" ref="H72:H135" si="4">(F72-G72)/G72*100</f>
        <v>-0.41028823610536475</v>
      </c>
      <c r="I72" s="49">
        <f>VLOOKUP($A72,'Data shares'!$C:$FB,66)</f>
        <v>6627000</v>
      </c>
      <c r="J72" s="49">
        <f>VLOOKUP($A72,'Data shares'!$C:$FB,67)</f>
        <v>6593625</v>
      </c>
      <c r="K72" s="50">
        <f t="shared" ref="K72:K135" si="5">(I72-J72)/I72*100</f>
        <v>0.50362154821186056</v>
      </c>
      <c r="L72" s="50">
        <f>VLOOKUP($A72,'Data shares'!$C:$FB,118)</f>
        <v>0.73</v>
      </c>
      <c r="M72" s="50">
        <f>VLOOKUP($A72,'Data shares'!$C:$FB,119)</f>
        <v>0.72</v>
      </c>
      <c r="N72" s="50">
        <f>VLOOKUP($A72,'Data shares'!$C:$FB,121)*100</f>
        <v>1.39</v>
      </c>
      <c r="O72" s="50">
        <f>VLOOKUP($A72,'Data shares'!$C:$FB,124)</f>
        <v>0.56999999999999995</v>
      </c>
      <c r="P72" s="50">
        <f>VLOOKUP($A72,'Data shares'!$C:$FB,125)</f>
        <v>0.48</v>
      </c>
      <c r="Q72" s="50">
        <f>VLOOKUP($A72,'Data shares'!$C:$FB,127)*100</f>
        <v>18.75</v>
      </c>
    </row>
    <row r="73" spans="1:17" x14ac:dyDescent="0.25">
      <c r="A73" s="97" t="str">
        <f>'Data Vlaue (Cr)'!C68</f>
        <v>GMRAIRPORT</v>
      </c>
      <c r="B73" s="140">
        <f>VLOOKUP($A73,'Data shares'!$C:$FB,7)</f>
        <v>100.59</v>
      </c>
      <c r="C73" s="140">
        <f>VLOOKUP($A73,'Data shares'!$C:$FB,3)</f>
        <v>100.68</v>
      </c>
      <c r="D73" s="140">
        <f>VLOOKUP($A73,'Data shares'!$C:$FB,4)</f>
        <v>101.13</v>
      </c>
      <c r="E73" s="50">
        <f t="shared" si="3"/>
        <v>-0.44497181845148687</v>
      </c>
      <c r="F73" s="49">
        <f>VLOOKUP($A73,'Data shares'!$C:$FB,98)</f>
        <v>409816125</v>
      </c>
      <c r="G73" s="49">
        <f>VLOOKUP($A73,'Data shares'!$C:$FB,99)</f>
        <v>405087075</v>
      </c>
      <c r="H73" s="50">
        <f t="shared" si="4"/>
        <v>1.1674156722971227</v>
      </c>
      <c r="I73" s="49">
        <f>VLOOKUP($A73,'Data shares'!$C:$FB,66)</f>
        <v>211475025</v>
      </c>
      <c r="J73" s="49">
        <f>VLOOKUP($A73,'Data shares'!$C:$FB,67)</f>
        <v>218254725</v>
      </c>
      <c r="K73" s="50">
        <f t="shared" si="5"/>
        <v>-3.2059104851743134</v>
      </c>
      <c r="L73" s="50">
        <f>VLOOKUP($A73,'Data shares'!$C:$FB,118)</f>
        <v>0.5</v>
      </c>
      <c r="M73" s="50">
        <f>VLOOKUP($A73,'Data shares'!$C:$FB,119)</f>
        <v>0.54</v>
      </c>
      <c r="N73" s="50">
        <f>VLOOKUP($A73,'Data shares'!$C:$FB,121)*100</f>
        <v>-7.41</v>
      </c>
      <c r="O73" s="50">
        <f>VLOOKUP($A73,'Data shares'!$C:$FB,124)</f>
        <v>0.42</v>
      </c>
      <c r="P73" s="50">
        <f>VLOOKUP($A73,'Data shares'!$C:$FB,125)</f>
        <v>0.46</v>
      </c>
      <c r="Q73" s="50">
        <f>VLOOKUP($A73,'Data shares'!$C:$FB,127)*100</f>
        <v>-8.6999999999999993</v>
      </c>
    </row>
    <row r="74" spans="1:17" x14ac:dyDescent="0.25">
      <c r="A74" s="97" t="str">
        <f>'Data Vlaue (Cr)'!C69</f>
        <v>GODREJCP</v>
      </c>
      <c r="B74" s="140">
        <f>VLOOKUP($A74,'Data shares'!$C:$FB,7)</f>
        <v>1186.8</v>
      </c>
      <c r="C74" s="140">
        <f>VLOOKUP($A74,'Data shares'!$C:$FB,3)</f>
        <v>1189.0999999999999</v>
      </c>
      <c r="D74" s="140">
        <f>VLOOKUP($A74,'Data shares'!$C:$FB,4)</f>
        <v>1180.5</v>
      </c>
      <c r="E74" s="50">
        <f t="shared" si="3"/>
        <v>0.72850487081744253</v>
      </c>
      <c r="F74" s="49">
        <f>VLOOKUP($A74,'Data shares'!$C:$FB,98)</f>
        <v>14222000</v>
      </c>
      <c r="G74" s="49">
        <f>VLOOKUP($A74,'Data shares'!$C:$FB,99)</f>
        <v>14213000</v>
      </c>
      <c r="H74" s="50">
        <f t="shared" si="4"/>
        <v>6.3322310560754241E-2</v>
      </c>
      <c r="I74" s="49">
        <f>VLOOKUP($A74,'Data shares'!$C:$FB,66)</f>
        <v>4483500</v>
      </c>
      <c r="J74" s="49">
        <f>VLOOKUP($A74,'Data shares'!$C:$FB,67)</f>
        <v>4818000</v>
      </c>
      <c r="K74" s="50">
        <f t="shared" si="5"/>
        <v>-7.4606891937102713</v>
      </c>
      <c r="L74" s="50">
        <f>VLOOKUP($A74,'Data shares'!$C:$FB,118)</f>
        <v>0.7</v>
      </c>
      <c r="M74" s="50">
        <f>VLOOKUP($A74,'Data shares'!$C:$FB,119)</f>
        <v>0.64</v>
      </c>
      <c r="N74" s="50">
        <f>VLOOKUP($A74,'Data shares'!$C:$FB,121)*100</f>
        <v>9.370000000000001</v>
      </c>
      <c r="O74" s="50">
        <f>VLOOKUP($A74,'Data shares'!$C:$FB,124)</f>
        <v>0.56000000000000005</v>
      </c>
      <c r="P74" s="50">
        <f>VLOOKUP($A74,'Data shares'!$C:$FB,125)</f>
        <v>0.49</v>
      </c>
      <c r="Q74" s="50">
        <f>VLOOKUP($A74,'Data shares'!$C:$FB,127)*100</f>
        <v>14.29</v>
      </c>
    </row>
    <row r="75" spans="1:17" x14ac:dyDescent="0.25">
      <c r="A75" s="97" t="str">
        <f>'Data Vlaue (Cr)'!C70</f>
        <v>GODREJPROP</v>
      </c>
      <c r="B75" s="140">
        <f>VLOOKUP($A75,'Data shares'!$C:$FB,7)</f>
        <v>1999.8</v>
      </c>
      <c r="C75" s="140">
        <f>VLOOKUP($A75,'Data shares'!$C:$FB,3)</f>
        <v>2005.5</v>
      </c>
      <c r="D75" s="140">
        <f>VLOOKUP($A75,'Data shares'!$C:$FB,4)</f>
        <v>2018.7</v>
      </c>
      <c r="E75" s="50">
        <f t="shared" si="3"/>
        <v>-0.65388616436320623</v>
      </c>
      <c r="F75" s="49">
        <f>VLOOKUP($A75,'Data shares'!$C:$FB,98)</f>
        <v>14727075</v>
      </c>
      <c r="G75" s="49">
        <f>VLOOKUP($A75,'Data shares'!$C:$FB,99)</f>
        <v>14507625</v>
      </c>
      <c r="H75" s="50">
        <f t="shared" si="4"/>
        <v>1.5126528291157235</v>
      </c>
      <c r="I75" s="49">
        <f>VLOOKUP($A75,'Data shares'!$C:$FB,66)</f>
        <v>4797925</v>
      </c>
      <c r="J75" s="49">
        <f>VLOOKUP($A75,'Data shares'!$C:$FB,67)</f>
        <v>3151775</v>
      </c>
      <c r="K75" s="50">
        <f t="shared" si="5"/>
        <v>34.309623430962347</v>
      </c>
      <c r="L75" s="50">
        <f>VLOOKUP($A75,'Data shares'!$C:$FB,118)</f>
        <v>0.57999999999999996</v>
      </c>
      <c r="M75" s="50">
        <f>VLOOKUP($A75,'Data shares'!$C:$FB,119)</f>
        <v>0.6</v>
      </c>
      <c r="N75" s="50">
        <f>VLOOKUP($A75,'Data shares'!$C:$FB,121)*100</f>
        <v>-3.3300000000000005</v>
      </c>
      <c r="O75" s="50">
        <f>VLOOKUP($A75,'Data shares'!$C:$FB,124)</f>
        <v>0.31</v>
      </c>
      <c r="P75" s="50">
        <f>VLOOKUP($A75,'Data shares'!$C:$FB,125)</f>
        <v>0.61</v>
      </c>
      <c r="Q75" s="50">
        <f>VLOOKUP($A75,'Data shares'!$C:$FB,127)*100</f>
        <v>-49.18</v>
      </c>
    </row>
    <row r="76" spans="1:17" x14ac:dyDescent="0.25">
      <c r="A76" s="97" t="str">
        <f>'Data Vlaue (Cr)'!C71</f>
        <v>GRASIM</v>
      </c>
      <c r="B76" s="140">
        <f>VLOOKUP($A76,'Data shares'!$C:$FB,7)</f>
        <v>2807.6</v>
      </c>
      <c r="C76" s="140">
        <f>VLOOKUP($A76,'Data shares'!$C:$FB,3)</f>
        <v>2812</v>
      </c>
      <c r="D76" s="140">
        <f>VLOOKUP($A76,'Data shares'!$C:$FB,4)</f>
        <v>2813.1</v>
      </c>
      <c r="E76" s="50">
        <f t="shared" si="3"/>
        <v>-3.9102769187014649E-2</v>
      </c>
      <c r="F76" s="49">
        <f>VLOOKUP($A76,'Data shares'!$C:$FB,98)</f>
        <v>20598500</v>
      </c>
      <c r="G76" s="49">
        <f>VLOOKUP($A76,'Data shares'!$C:$FB,99)</f>
        <v>20560250</v>
      </c>
      <c r="H76" s="50">
        <f t="shared" si="4"/>
        <v>0.18603859388869298</v>
      </c>
      <c r="I76" s="49">
        <f>VLOOKUP($A76,'Data shares'!$C:$FB,66)</f>
        <v>2752500</v>
      </c>
      <c r="J76" s="49">
        <f>VLOOKUP($A76,'Data shares'!$C:$FB,67)</f>
        <v>2956500</v>
      </c>
      <c r="K76" s="50">
        <f t="shared" si="5"/>
        <v>-7.4114441416893735</v>
      </c>
      <c r="L76" s="50">
        <f>VLOOKUP($A76,'Data shares'!$C:$FB,118)</f>
        <v>1.0900000000000001</v>
      </c>
      <c r="M76" s="50">
        <f>VLOOKUP($A76,'Data shares'!$C:$FB,119)</f>
        <v>1.0900000000000001</v>
      </c>
      <c r="N76" s="50">
        <f>VLOOKUP($A76,'Data shares'!$C:$FB,121)*100</f>
        <v>0</v>
      </c>
      <c r="O76" s="50">
        <f>VLOOKUP($A76,'Data shares'!$C:$FB,124)</f>
        <v>0.53</v>
      </c>
      <c r="P76" s="50">
        <f>VLOOKUP($A76,'Data shares'!$C:$FB,125)</f>
        <v>0.53</v>
      </c>
      <c r="Q76" s="50">
        <f>VLOOKUP($A76,'Data shares'!$C:$FB,127)*100</f>
        <v>0</v>
      </c>
    </row>
    <row r="77" spans="1:17" x14ac:dyDescent="0.25">
      <c r="A77" s="97" t="str">
        <f>'Data Vlaue (Cr)'!C72</f>
        <v>HAL</v>
      </c>
      <c r="B77" s="140">
        <f>VLOOKUP($A77,'Data shares'!$C:$FB,7)</f>
        <v>4259.5</v>
      </c>
      <c r="C77" s="140">
        <f>VLOOKUP($A77,'Data shares'!$C:$FB,3)</f>
        <v>4263</v>
      </c>
      <c r="D77" s="140">
        <f>VLOOKUP($A77,'Data shares'!$C:$FB,4)</f>
        <v>4242.1000000000004</v>
      </c>
      <c r="E77" s="50">
        <f t="shared" si="3"/>
        <v>0.49268051201055219</v>
      </c>
      <c r="F77" s="49">
        <f>VLOOKUP($A77,'Data shares'!$C:$FB,98)</f>
        <v>23843400</v>
      </c>
      <c r="G77" s="49">
        <f>VLOOKUP($A77,'Data shares'!$C:$FB,99)</f>
        <v>24108750</v>
      </c>
      <c r="H77" s="50">
        <f t="shared" si="4"/>
        <v>-1.1006377352620937</v>
      </c>
      <c r="I77" s="49">
        <f>VLOOKUP($A77,'Data shares'!$C:$FB,66)</f>
        <v>11170350</v>
      </c>
      <c r="J77" s="49">
        <f>VLOOKUP($A77,'Data shares'!$C:$FB,67)</f>
        <v>9669600</v>
      </c>
      <c r="K77" s="50">
        <f t="shared" si="5"/>
        <v>13.435120654231964</v>
      </c>
      <c r="L77" s="50">
        <f>VLOOKUP($A77,'Data shares'!$C:$FB,118)</f>
        <v>0.52</v>
      </c>
      <c r="M77" s="50">
        <f>VLOOKUP($A77,'Data shares'!$C:$FB,119)</f>
        <v>0.49</v>
      </c>
      <c r="N77" s="50">
        <f>VLOOKUP($A77,'Data shares'!$C:$FB,121)*100</f>
        <v>6.12</v>
      </c>
      <c r="O77" s="50">
        <f>VLOOKUP($A77,'Data shares'!$C:$FB,124)</f>
        <v>0.46</v>
      </c>
      <c r="P77" s="50">
        <f>VLOOKUP($A77,'Data shares'!$C:$FB,125)</f>
        <v>0.44</v>
      </c>
      <c r="Q77" s="50">
        <f>VLOOKUP($A77,'Data shares'!$C:$FB,127)*100</f>
        <v>4.55</v>
      </c>
    </row>
    <row r="78" spans="1:17" x14ac:dyDescent="0.25">
      <c r="A78" s="97" t="str">
        <f>'Data Vlaue (Cr)'!C73</f>
        <v>HAVELLS</v>
      </c>
      <c r="B78" s="140">
        <f>VLOOKUP($A78,'Data shares'!$C:$FB,7)</f>
        <v>1401.2</v>
      </c>
      <c r="C78" s="140">
        <f>VLOOKUP($A78,'Data shares'!$C:$FB,3)</f>
        <v>1404.2</v>
      </c>
      <c r="D78" s="140">
        <f>VLOOKUP($A78,'Data shares'!$C:$FB,4)</f>
        <v>1398.7</v>
      </c>
      <c r="E78" s="50">
        <f t="shared" si="3"/>
        <v>0.39322227782941305</v>
      </c>
      <c r="F78" s="49">
        <f>VLOOKUP($A78,'Data shares'!$C:$FB,98)</f>
        <v>13075500</v>
      </c>
      <c r="G78" s="49">
        <f>VLOOKUP($A78,'Data shares'!$C:$FB,99)</f>
        <v>13262000</v>
      </c>
      <c r="H78" s="50">
        <f t="shared" si="4"/>
        <v>-1.4062735635650732</v>
      </c>
      <c r="I78" s="49">
        <f>VLOOKUP($A78,'Data shares'!$C:$FB,66)</f>
        <v>4572000</v>
      </c>
      <c r="J78" s="49">
        <f>VLOOKUP($A78,'Data shares'!$C:$FB,67)</f>
        <v>3960500</v>
      </c>
      <c r="K78" s="50">
        <f t="shared" si="5"/>
        <v>13.374890638670166</v>
      </c>
      <c r="L78" s="50">
        <f>VLOOKUP($A78,'Data shares'!$C:$FB,118)</f>
        <v>0.82</v>
      </c>
      <c r="M78" s="50">
        <f>VLOOKUP($A78,'Data shares'!$C:$FB,119)</f>
        <v>0.76</v>
      </c>
      <c r="N78" s="50">
        <f>VLOOKUP($A78,'Data shares'!$C:$FB,121)*100</f>
        <v>7.89</v>
      </c>
      <c r="O78" s="50">
        <f>VLOOKUP($A78,'Data shares'!$C:$FB,124)</f>
        <v>0.49</v>
      </c>
      <c r="P78" s="50">
        <f>VLOOKUP($A78,'Data shares'!$C:$FB,125)</f>
        <v>0.74</v>
      </c>
      <c r="Q78" s="50">
        <f>VLOOKUP($A78,'Data shares'!$C:$FB,127)*100</f>
        <v>-33.78</v>
      </c>
    </row>
    <row r="79" spans="1:17" x14ac:dyDescent="0.25">
      <c r="A79" s="97" t="str">
        <f>'Data Vlaue (Cr)'!C74</f>
        <v>HCLTECH</v>
      </c>
      <c r="B79" s="140">
        <f>VLOOKUP($A79,'Data shares'!$C:$FB,7)</f>
        <v>1661.4</v>
      </c>
      <c r="C79" s="140">
        <f>VLOOKUP($A79,'Data shares'!$C:$FB,3)</f>
        <v>1666.3</v>
      </c>
      <c r="D79" s="140">
        <f>VLOOKUP($A79,'Data shares'!$C:$FB,4)</f>
        <v>1661</v>
      </c>
      <c r="E79" s="50">
        <f t="shared" si="3"/>
        <v>0.31908488862130974</v>
      </c>
      <c r="F79" s="49">
        <f>VLOOKUP($A79,'Data shares'!$C:$FB,98)</f>
        <v>29022350</v>
      </c>
      <c r="G79" s="49">
        <f>VLOOKUP($A79,'Data shares'!$C:$FB,99)</f>
        <v>28630700</v>
      </c>
      <c r="H79" s="50">
        <f t="shared" si="4"/>
        <v>1.3679372142490402</v>
      </c>
      <c r="I79" s="49">
        <f>VLOOKUP($A79,'Data shares'!$C:$FB,66)</f>
        <v>16983400</v>
      </c>
      <c r="J79" s="49">
        <f>VLOOKUP($A79,'Data shares'!$C:$FB,67)</f>
        <v>9174900</v>
      </c>
      <c r="K79" s="50">
        <f t="shared" si="5"/>
        <v>45.977248371939659</v>
      </c>
      <c r="L79" s="50">
        <f>VLOOKUP($A79,'Data shares'!$C:$FB,118)</f>
        <v>0.59</v>
      </c>
      <c r="M79" s="50">
        <f>VLOOKUP($A79,'Data shares'!$C:$FB,119)</f>
        <v>0.56999999999999995</v>
      </c>
      <c r="N79" s="50">
        <f>VLOOKUP($A79,'Data shares'!$C:$FB,121)*100</f>
        <v>3.51</v>
      </c>
      <c r="O79" s="50">
        <f>VLOOKUP($A79,'Data shares'!$C:$FB,124)</f>
        <v>0.3</v>
      </c>
      <c r="P79" s="50">
        <f>VLOOKUP($A79,'Data shares'!$C:$FB,125)</f>
        <v>0.5</v>
      </c>
      <c r="Q79" s="50">
        <f>VLOOKUP($A79,'Data shares'!$C:$FB,127)*100</f>
        <v>-40</v>
      </c>
    </row>
    <row r="80" spans="1:17" x14ac:dyDescent="0.25">
      <c r="A80" s="97" t="str">
        <f>'Data Vlaue (Cr)'!C75</f>
        <v>HDFCAMC</v>
      </c>
      <c r="B80" s="140">
        <f>VLOOKUP($A80,'Data shares'!$C:$FB,7)</f>
        <v>2722.9</v>
      </c>
      <c r="C80" s="140">
        <f>VLOOKUP($A80,'Data shares'!$C:$FB,3)</f>
        <v>2732.7</v>
      </c>
      <c r="D80" s="140">
        <f>VLOOKUP($A80,'Data shares'!$C:$FB,4)</f>
        <v>2548.9</v>
      </c>
      <c r="E80" s="50">
        <f t="shared" si="3"/>
        <v>7.2109537447526266</v>
      </c>
      <c r="F80" s="49">
        <f>VLOOKUP($A80,'Data shares'!$C:$FB,98)</f>
        <v>13017000</v>
      </c>
      <c r="G80" s="49">
        <f>VLOOKUP($A80,'Data shares'!$C:$FB,99)</f>
        <v>8957400</v>
      </c>
      <c r="H80" s="50">
        <f t="shared" si="4"/>
        <v>45.321186951570766</v>
      </c>
      <c r="I80" s="49">
        <f>VLOOKUP($A80,'Data shares'!$C:$FB,66)</f>
        <v>52314900</v>
      </c>
      <c r="J80" s="49">
        <f>VLOOKUP($A80,'Data shares'!$C:$FB,67)</f>
        <v>5461200</v>
      </c>
      <c r="K80" s="50">
        <f t="shared" si="5"/>
        <v>89.560909033564045</v>
      </c>
      <c r="L80" s="50">
        <f>VLOOKUP($A80,'Data shares'!$C:$FB,118)</f>
        <v>0.95</v>
      </c>
      <c r="M80" s="50">
        <f>VLOOKUP($A80,'Data shares'!$C:$FB,119)</f>
        <v>0.78</v>
      </c>
      <c r="N80" s="50">
        <f>VLOOKUP($A80,'Data shares'!$C:$FB,121)*100</f>
        <v>21.790000000000003</v>
      </c>
      <c r="O80" s="50">
        <f>VLOOKUP($A80,'Data shares'!$C:$FB,124)</f>
        <v>0.45</v>
      </c>
      <c r="P80" s="50">
        <f>VLOOKUP($A80,'Data shares'!$C:$FB,125)</f>
        <v>0.98</v>
      </c>
      <c r="Q80" s="50">
        <f>VLOOKUP($A80,'Data shares'!$C:$FB,127)*100</f>
        <v>-54.08</v>
      </c>
    </row>
    <row r="81" spans="1:17" x14ac:dyDescent="0.25">
      <c r="A81" s="97" t="str">
        <f>'Data Vlaue (Cr)'!C76</f>
        <v>HDFCBANK</v>
      </c>
      <c r="B81" s="140">
        <f>VLOOKUP($A81,'Data shares'!$C:$FB,7)</f>
        <v>979.7</v>
      </c>
      <c r="C81" s="140">
        <f>VLOOKUP($A81,'Data shares'!$C:$FB,3)</f>
        <v>982.1</v>
      </c>
      <c r="D81" s="140">
        <f>VLOOKUP($A81,'Data shares'!$C:$FB,4)</f>
        <v>987.5</v>
      </c>
      <c r="E81" s="50">
        <f t="shared" si="3"/>
        <v>-0.54683544303797238</v>
      </c>
      <c r="F81" s="49">
        <f>VLOOKUP($A81,'Data shares'!$C:$FB,98)</f>
        <v>299363350</v>
      </c>
      <c r="G81" s="49">
        <f>VLOOKUP($A81,'Data shares'!$C:$FB,99)</f>
        <v>292844200</v>
      </c>
      <c r="H81" s="50">
        <f t="shared" si="4"/>
        <v>2.2261496044654461</v>
      </c>
      <c r="I81" s="49">
        <f>VLOOKUP($A81,'Data shares'!$C:$FB,66)</f>
        <v>109487400</v>
      </c>
      <c r="J81" s="49">
        <f>VLOOKUP($A81,'Data shares'!$C:$FB,67)</f>
        <v>104513200</v>
      </c>
      <c r="K81" s="50">
        <f t="shared" si="5"/>
        <v>4.5431711776880261</v>
      </c>
      <c r="L81" s="50">
        <f>VLOOKUP($A81,'Data shares'!$C:$FB,118)</f>
        <v>0.62</v>
      </c>
      <c r="M81" s="50">
        <f>VLOOKUP($A81,'Data shares'!$C:$FB,119)</f>
        <v>0.64</v>
      </c>
      <c r="N81" s="50">
        <f>VLOOKUP($A81,'Data shares'!$C:$FB,121)*100</f>
        <v>-3.1300000000000003</v>
      </c>
      <c r="O81" s="50">
        <f>VLOOKUP($A81,'Data shares'!$C:$FB,124)</f>
        <v>0.6</v>
      </c>
      <c r="P81" s="50">
        <f>VLOOKUP($A81,'Data shares'!$C:$FB,125)</f>
        <v>0.62</v>
      </c>
      <c r="Q81" s="50">
        <f>VLOOKUP($A81,'Data shares'!$C:$FB,127)*100</f>
        <v>-3.2300000000000004</v>
      </c>
    </row>
    <row r="82" spans="1:17" x14ac:dyDescent="0.25">
      <c r="A82" s="97" t="str">
        <f>'Data Vlaue (Cr)'!C77</f>
        <v>HDFCLIFE</v>
      </c>
      <c r="B82" s="140">
        <f>VLOOKUP($A82,'Data shares'!$C:$FB,7)</f>
        <v>757</v>
      </c>
      <c r="C82" s="140">
        <f>VLOOKUP($A82,'Data shares'!$C:$FB,3)</f>
        <v>758.7</v>
      </c>
      <c r="D82" s="140">
        <f>VLOOKUP($A82,'Data shares'!$C:$FB,4)</f>
        <v>754.85</v>
      </c>
      <c r="E82" s="50">
        <f t="shared" si="3"/>
        <v>0.51003510631251536</v>
      </c>
      <c r="F82" s="49">
        <f>VLOOKUP($A82,'Data shares'!$C:$FB,98)</f>
        <v>59021600</v>
      </c>
      <c r="G82" s="49">
        <f>VLOOKUP($A82,'Data shares'!$C:$FB,99)</f>
        <v>59710200</v>
      </c>
      <c r="H82" s="50">
        <f t="shared" si="4"/>
        <v>-1.1532368004126599</v>
      </c>
      <c r="I82" s="49">
        <f>VLOOKUP($A82,'Data shares'!$C:$FB,66)</f>
        <v>18846300</v>
      </c>
      <c r="J82" s="49">
        <f>VLOOKUP($A82,'Data shares'!$C:$FB,67)</f>
        <v>44337700</v>
      </c>
      <c r="K82" s="50">
        <f t="shared" si="5"/>
        <v>-135.25944084515262</v>
      </c>
      <c r="L82" s="50">
        <f>VLOOKUP($A82,'Data shares'!$C:$FB,118)</f>
        <v>0.46</v>
      </c>
      <c r="M82" s="50">
        <f>VLOOKUP($A82,'Data shares'!$C:$FB,119)</f>
        <v>0.43</v>
      </c>
      <c r="N82" s="50">
        <f>VLOOKUP($A82,'Data shares'!$C:$FB,121)*100</f>
        <v>6.98</v>
      </c>
      <c r="O82" s="50">
        <f>VLOOKUP($A82,'Data shares'!$C:$FB,124)</f>
        <v>0.34</v>
      </c>
      <c r="P82" s="50">
        <f>VLOOKUP($A82,'Data shares'!$C:$FB,125)</f>
        <v>0.32</v>
      </c>
      <c r="Q82" s="50">
        <f>VLOOKUP($A82,'Data shares'!$C:$FB,127)*100</f>
        <v>6.25</v>
      </c>
    </row>
    <row r="83" spans="1:17" x14ac:dyDescent="0.25">
      <c r="A83" s="97" t="str">
        <f>'Data Vlaue (Cr)'!C78</f>
        <v>HEROMOTOCO</v>
      </c>
      <c r="B83" s="140">
        <f>VLOOKUP($A83,'Data shares'!$C:$FB,7)</f>
        <v>5748.5</v>
      </c>
      <c r="C83" s="140">
        <f>VLOOKUP($A83,'Data shares'!$C:$FB,3)</f>
        <v>5749.5</v>
      </c>
      <c r="D83" s="140">
        <f>VLOOKUP($A83,'Data shares'!$C:$FB,4)</f>
        <v>5827.5</v>
      </c>
      <c r="E83" s="50">
        <f t="shared" si="3"/>
        <v>-1.3384813384813385</v>
      </c>
      <c r="F83" s="49">
        <f>VLOOKUP($A83,'Data shares'!$C:$FB,98)</f>
        <v>13477350</v>
      </c>
      <c r="G83" s="49">
        <f>VLOOKUP($A83,'Data shares'!$C:$FB,99)</f>
        <v>11787300</v>
      </c>
      <c r="H83" s="50">
        <f t="shared" si="4"/>
        <v>14.337889084014153</v>
      </c>
      <c r="I83" s="49">
        <f>VLOOKUP($A83,'Data shares'!$C:$FB,66)</f>
        <v>26961750</v>
      </c>
      <c r="J83" s="49">
        <f>VLOOKUP($A83,'Data shares'!$C:$FB,67)</f>
        <v>13040550</v>
      </c>
      <c r="K83" s="50">
        <f t="shared" si="5"/>
        <v>51.633146958190764</v>
      </c>
      <c r="L83" s="50">
        <f>VLOOKUP($A83,'Data shares'!$C:$FB,118)</f>
        <v>0.43</v>
      </c>
      <c r="M83" s="50">
        <f>VLOOKUP($A83,'Data shares'!$C:$FB,119)</f>
        <v>0.55000000000000004</v>
      </c>
      <c r="N83" s="50">
        <f>VLOOKUP($A83,'Data shares'!$C:$FB,121)*100</f>
        <v>-21.82</v>
      </c>
      <c r="O83" s="50">
        <f>VLOOKUP($A83,'Data shares'!$C:$FB,124)</f>
        <v>0.67</v>
      </c>
      <c r="P83" s="50">
        <f>VLOOKUP($A83,'Data shares'!$C:$FB,125)</f>
        <v>0.79</v>
      </c>
      <c r="Q83" s="50">
        <f>VLOOKUP($A83,'Data shares'!$C:$FB,127)*100</f>
        <v>-15.190000000000001</v>
      </c>
    </row>
    <row r="84" spans="1:17" x14ac:dyDescent="0.25">
      <c r="A84" s="97" t="str">
        <f>'Data Vlaue (Cr)'!C79</f>
        <v>HFCL</v>
      </c>
      <c r="B84" s="140">
        <f>VLOOKUP($A84,'Data shares'!$C:$FB,7)</f>
        <v>64.62</v>
      </c>
      <c r="C84" s="140">
        <f>VLOOKUP($A84,'Data shares'!$C:$FB,3)</f>
        <v>64.75</v>
      </c>
      <c r="D84" s="140">
        <f>VLOOKUP($A84,'Data shares'!$C:$FB,4)</f>
        <v>64.63</v>
      </c>
      <c r="E84" s="50">
        <f t="shared" si="3"/>
        <v>0.18567228841096173</v>
      </c>
      <c r="F84" s="49">
        <f>VLOOKUP($A84,'Data shares'!$C:$FB,98)</f>
        <v>210121650</v>
      </c>
      <c r="G84" s="49">
        <f>VLOOKUP($A84,'Data shares'!$C:$FB,99)</f>
        <v>213024150</v>
      </c>
      <c r="H84" s="50">
        <f t="shared" si="4"/>
        <v>-1.3625215732582432</v>
      </c>
      <c r="I84" s="49">
        <f>VLOOKUP($A84,'Data shares'!$C:$FB,66)</f>
        <v>48484650</v>
      </c>
      <c r="J84" s="49">
        <f>VLOOKUP($A84,'Data shares'!$C:$FB,67)</f>
        <v>56927700</v>
      </c>
      <c r="K84" s="50">
        <f t="shared" si="5"/>
        <v>-17.413861912997206</v>
      </c>
      <c r="L84" s="50">
        <f>VLOOKUP($A84,'Data shares'!$C:$FB,118)</f>
        <v>0.43</v>
      </c>
      <c r="M84" s="50">
        <f>VLOOKUP($A84,'Data shares'!$C:$FB,119)</f>
        <v>0.41</v>
      </c>
      <c r="N84" s="50">
        <f>VLOOKUP($A84,'Data shares'!$C:$FB,121)*100</f>
        <v>4.88</v>
      </c>
      <c r="O84" s="50">
        <f>VLOOKUP($A84,'Data shares'!$C:$FB,124)</f>
        <v>0.39</v>
      </c>
      <c r="P84" s="50">
        <f>VLOOKUP($A84,'Data shares'!$C:$FB,125)</f>
        <v>0.64</v>
      </c>
      <c r="Q84" s="50">
        <f>VLOOKUP($A84,'Data shares'!$C:$FB,127)*100</f>
        <v>-39.06</v>
      </c>
    </row>
    <row r="85" spans="1:17" x14ac:dyDescent="0.25">
      <c r="A85" s="97" t="str">
        <f>'Data Vlaue (Cr)'!C80</f>
        <v>HINDALCO</v>
      </c>
      <c r="B85" s="140">
        <f>VLOOKUP($A85,'Data shares'!$C:$FB,7)</f>
        <v>856.7</v>
      </c>
      <c r="C85" s="140">
        <f>VLOOKUP($A85,'Data shares'!$C:$FB,3)</f>
        <v>858</v>
      </c>
      <c r="D85" s="140">
        <f>VLOOKUP($A85,'Data shares'!$C:$FB,4)</f>
        <v>849.65</v>
      </c>
      <c r="E85" s="50">
        <f t="shared" si="3"/>
        <v>0.98275760607309159</v>
      </c>
      <c r="F85" s="49">
        <f>VLOOKUP($A85,'Data shares'!$C:$FB,98)</f>
        <v>106062600</v>
      </c>
      <c r="G85" s="49">
        <f>VLOOKUP($A85,'Data shares'!$C:$FB,99)</f>
        <v>105156800</v>
      </c>
      <c r="H85" s="50">
        <f t="shared" si="4"/>
        <v>0.8613803386942166</v>
      </c>
      <c r="I85" s="49">
        <f>VLOOKUP($A85,'Data shares'!$C:$FB,66)</f>
        <v>72985500</v>
      </c>
      <c r="J85" s="49">
        <f>VLOOKUP($A85,'Data shares'!$C:$FB,67)</f>
        <v>46651500</v>
      </c>
      <c r="K85" s="50">
        <f t="shared" si="5"/>
        <v>36.081139404402244</v>
      </c>
      <c r="L85" s="50">
        <f>VLOOKUP($A85,'Data shares'!$C:$FB,118)</f>
        <v>0.77</v>
      </c>
      <c r="M85" s="50">
        <f>VLOOKUP($A85,'Data shares'!$C:$FB,119)</f>
        <v>0.74</v>
      </c>
      <c r="N85" s="50">
        <f>VLOOKUP($A85,'Data shares'!$C:$FB,121)*100</f>
        <v>4.05</v>
      </c>
      <c r="O85" s="50">
        <f>VLOOKUP($A85,'Data shares'!$C:$FB,124)</f>
        <v>0.54</v>
      </c>
      <c r="P85" s="50">
        <f>VLOOKUP($A85,'Data shares'!$C:$FB,125)</f>
        <v>0.44</v>
      </c>
      <c r="Q85" s="50">
        <f>VLOOKUP($A85,'Data shares'!$C:$FB,127)*100</f>
        <v>22.73</v>
      </c>
    </row>
    <row r="86" spans="1:17" x14ac:dyDescent="0.25">
      <c r="A86" s="97" t="str">
        <f>'Data Vlaue (Cr)'!C81</f>
        <v>HINDPETRO</v>
      </c>
      <c r="B86" s="140">
        <f>VLOOKUP($A86,'Data shares'!$C:$FB,7)</f>
        <v>464</v>
      </c>
      <c r="C86" s="140">
        <f>VLOOKUP($A86,'Data shares'!$C:$FB,3)</f>
        <v>464.6</v>
      </c>
      <c r="D86" s="140">
        <f>VLOOKUP($A86,'Data shares'!$C:$FB,4)</f>
        <v>466.4</v>
      </c>
      <c r="E86" s="50">
        <f t="shared" si="3"/>
        <v>-0.38593481989707429</v>
      </c>
      <c r="F86" s="49">
        <f>VLOOKUP($A86,'Data shares'!$C:$FB,98)</f>
        <v>62353800</v>
      </c>
      <c r="G86" s="49">
        <f>VLOOKUP($A86,'Data shares'!$C:$FB,99)</f>
        <v>62210025</v>
      </c>
      <c r="H86" s="50">
        <f t="shared" si="4"/>
        <v>0.23111226848084371</v>
      </c>
      <c r="I86" s="49">
        <f>VLOOKUP($A86,'Data shares'!$C:$FB,66)</f>
        <v>21610800</v>
      </c>
      <c r="J86" s="49">
        <f>VLOOKUP($A86,'Data shares'!$C:$FB,67)</f>
        <v>31142475</v>
      </c>
      <c r="K86" s="50">
        <f t="shared" si="5"/>
        <v>-44.106071964017993</v>
      </c>
      <c r="L86" s="50">
        <f>VLOOKUP($A86,'Data shares'!$C:$FB,118)</f>
        <v>0.59</v>
      </c>
      <c r="M86" s="50">
        <f>VLOOKUP($A86,'Data shares'!$C:$FB,119)</f>
        <v>0.57999999999999996</v>
      </c>
      <c r="N86" s="50">
        <f>VLOOKUP($A86,'Data shares'!$C:$FB,121)*100</f>
        <v>1.72</v>
      </c>
      <c r="O86" s="50">
        <f>VLOOKUP($A86,'Data shares'!$C:$FB,124)</f>
        <v>0.52</v>
      </c>
      <c r="P86" s="50">
        <f>VLOOKUP($A86,'Data shares'!$C:$FB,125)</f>
        <v>0.38</v>
      </c>
      <c r="Q86" s="50">
        <f>VLOOKUP($A86,'Data shares'!$C:$FB,127)*100</f>
        <v>36.840000000000003</v>
      </c>
    </row>
    <row r="87" spans="1:17" x14ac:dyDescent="0.25">
      <c r="A87" s="97" t="str">
        <f>'Data Vlaue (Cr)'!C82</f>
        <v>HINDUNILVR</v>
      </c>
      <c r="B87" s="140">
        <f>VLOOKUP($A87,'Data shares'!$C:$FB,7)</f>
        <v>2265.5</v>
      </c>
      <c r="C87" s="140">
        <f>VLOOKUP($A87,'Data shares'!$C:$FB,3)</f>
        <v>2265.6</v>
      </c>
      <c r="D87" s="140">
        <f>VLOOKUP($A87,'Data shares'!$C:$FB,4)</f>
        <v>2275.3000000000002</v>
      </c>
      <c r="E87" s="50">
        <f t="shared" si="3"/>
        <v>-0.42631740869337109</v>
      </c>
      <c r="F87" s="49">
        <f>VLOOKUP($A87,'Data shares'!$C:$FB,98)</f>
        <v>21959400</v>
      </c>
      <c r="G87" s="49">
        <f>VLOOKUP($A87,'Data shares'!$C:$FB,99)</f>
        <v>21006300</v>
      </c>
      <c r="H87" s="50">
        <f t="shared" si="4"/>
        <v>4.5372102654917814</v>
      </c>
      <c r="I87" s="49">
        <f>VLOOKUP($A87,'Data shares'!$C:$FB,66)</f>
        <v>10076400</v>
      </c>
      <c r="J87" s="49">
        <f>VLOOKUP($A87,'Data shares'!$C:$FB,67)</f>
        <v>8140500</v>
      </c>
      <c r="K87" s="50">
        <f t="shared" si="5"/>
        <v>19.212218649517684</v>
      </c>
      <c r="L87" s="50">
        <f>VLOOKUP($A87,'Data shares'!$C:$FB,118)</f>
        <v>0.51</v>
      </c>
      <c r="M87" s="50">
        <f>VLOOKUP($A87,'Data shares'!$C:$FB,119)</f>
        <v>0.52</v>
      </c>
      <c r="N87" s="50">
        <f>VLOOKUP($A87,'Data shares'!$C:$FB,121)*100</f>
        <v>-1.92</v>
      </c>
      <c r="O87" s="50">
        <f>VLOOKUP($A87,'Data shares'!$C:$FB,124)</f>
        <v>0.37</v>
      </c>
      <c r="P87" s="50">
        <f>VLOOKUP($A87,'Data shares'!$C:$FB,125)</f>
        <v>0.32</v>
      </c>
      <c r="Q87" s="50">
        <f>VLOOKUP($A87,'Data shares'!$C:$FB,127)*100</f>
        <v>15.620000000000001</v>
      </c>
    </row>
    <row r="88" spans="1:17" x14ac:dyDescent="0.25">
      <c r="A88" s="97" t="str">
        <f>'Data Vlaue (Cr)'!C83</f>
        <v>HINDZINC</v>
      </c>
      <c r="B88" s="140">
        <f>VLOOKUP($A88,'Data shares'!$C:$FB,7)</f>
        <v>592.15</v>
      </c>
      <c r="C88" s="140">
        <f>VLOOKUP($A88,'Data shares'!$C:$FB,3)</f>
        <v>592.35</v>
      </c>
      <c r="D88" s="140">
        <f>VLOOKUP($A88,'Data shares'!$C:$FB,4)</f>
        <v>578.9</v>
      </c>
      <c r="E88" s="50">
        <f t="shared" si="3"/>
        <v>2.3233719122473735</v>
      </c>
      <c r="F88" s="140">
        <f>VLOOKUP($A88,'Data shares'!$C:$FB,98)</f>
        <v>124238275</v>
      </c>
      <c r="G88" s="140">
        <f>VLOOKUP($A88,'Data shares'!$C:$FB,99)</f>
        <v>122618825</v>
      </c>
      <c r="H88" s="50">
        <f t="shared" si="4"/>
        <v>1.3207189026644155</v>
      </c>
      <c r="I88" s="49">
        <f>VLOOKUP($A88,'Data shares'!$C:$FB,66)</f>
        <v>220165575</v>
      </c>
      <c r="J88" s="49">
        <f>VLOOKUP($A88,'Data shares'!$C:$FB,67)</f>
        <v>308184275</v>
      </c>
      <c r="K88" s="50">
        <f t="shared" si="5"/>
        <v>-39.978411702192766</v>
      </c>
      <c r="L88" s="50">
        <f>VLOOKUP($A88,'Data shares'!$C:$FB,118)</f>
        <v>0.72</v>
      </c>
      <c r="M88" s="50">
        <f>VLOOKUP($A88,'Data shares'!$C:$FB,119)</f>
        <v>0.66</v>
      </c>
      <c r="N88" s="50">
        <f>VLOOKUP($A88,'Data shares'!$C:$FB,121)*100</f>
        <v>9.09</v>
      </c>
      <c r="O88" s="50">
        <f>VLOOKUP($A88,'Data shares'!$C:$FB,124)</f>
        <v>0.46</v>
      </c>
      <c r="P88" s="50">
        <f>VLOOKUP($A88,'Data shares'!$C:$FB,125)</f>
        <v>0.41</v>
      </c>
      <c r="Q88" s="50">
        <f>VLOOKUP($A88,'Data shares'!$C:$FB,127)*100</f>
        <v>12.2</v>
      </c>
    </row>
    <row r="89" spans="1:17" x14ac:dyDescent="0.25">
      <c r="A89" s="97" t="str">
        <f>'Data Vlaue (Cr)'!C84</f>
        <v>HUDCO</v>
      </c>
      <c r="B89" s="140">
        <f>VLOOKUP($A89,'Data shares'!$C:$FB,7)</f>
        <v>206.9</v>
      </c>
      <c r="C89" s="140">
        <f>VLOOKUP($A89,'Data shares'!$C:$FB,3)</f>
        <v>207.03</v>
      </c>
      <c r="D89" s="140">
        <f>VLOOKUP($A89,'Data shares'!$C:$FB,4)</f>
        <v>207.89</v>
      </c>
      <c r="E89" s="50">
        <f t="shared" si="3"/>
        <v>-0.41368031170329761</v>
      </c>
      <c r="F89" s="49">
        <f>VLOOKUP($A89,'Data shares'!$C:$FB,98)</f>
        <v>95526600</v>
      </c>
      <c r="G89" s="49">
        <f>VLOOKUP($A89,'Data shares'!$C:$FB,99)</f>
        <v>94841175</v>
      </c>
      <c r="H89" s="50">
        <f t="shared" si="4"/>
        <v>0.7227082540890073</v>
      </c>
      <c r="I89" s="49">
        <f>VLOOKUP($A89,'Data shares'!$C:$FB,66)</f>
        <v>57201075</v>
      </c>
      <c r="J89" s="49">
        <f>VLOOKUP($A89,'Data shares'!$C:$FB,67)</f>
        <v>36424650</v>
      </c>
      <c r="K89" s="50">
        <f t="shared" si="5"/>
        <v>36.321738708581961</v>
      </c>
      <c r="L89" s="50">
        <f>VLOOKUP($A89,'Data shares'!$C:$FB,118)</f>
        <v>0.44</v>
      </c>
      <c r="M89" s="50">
        <f>VLOOKUP($A89,'Data shares'!$C:$FB,119)</f>
        <v>0.44</v>
      </c>
      <c r="N89" s="50">
        <f>VLOOKUP($A89,'Data shares'!$C:$FB,121)*100</f>
        <v>0</v>
      </c>
      <c r="O89" s="50">
        <f>VLOOKUP($A89,'Data shares'!$C:$FB,124)</f>
        <v>0.33</v>
      </c>
      <c r="P89" s="50">
        <f>VLOOKUP($A89,'Data shares'!$C:$FB,125)</f>
        <v>0.48</v>
      </c>
      <c r="Q89" s="50">
        <f>VLOOKUP($A89,'Data shares'!$C:$FB,127)*100</f>
        <v>-31.25</v>
      </c>
    </row>
    <row r="90" spans="1:17" x14ac:dyDescent="0.25">
      <c r="A90" s="97" t="str">
        <f>'Data Vlaue (Cr)'!C85</f>
        <v>ICICIBANK</v>
      </c>
      <c r="B90" s="140">
        <f>VLOOKUP($A90,'Data shares'!$C:$FB,7)</f>
        <v>1356.8</v>
      </c>
      <c r="C90" s="140">
        <f>VLOOKUP($A90,'Data shares'!$C:$FB,3)</f>
        <v>1359.5</v>
      </c>
      <c r="D90" s="140">
        <f>VLOOKUP($A90,'Data shares'!$C:$FB,4)</f>
        <v>1356.5</v>
      </c>
      <c r="E90" s="50">
        <f t="shared" si="3"/>
        <v>0.22115739034279397</v>
      </c>
      <c r="F90" s="49">
        <f>VLOOKUP($A90,'Data shares'!$C:$FB,98)</f>
        <v>185916500</v>
      </c>
      <c r="G90" s="49">
        <f>VLOOKUP($A90,'Data shares'!$C:$FB,99)</f>
        <v>187032300</v>
      </c>
      <c r="H90" s="50">
        <f t="shared" si="4"/>
        <v>-0.59658144609246633</v>
      </c>
      <c r="I90" s="49">
        <f>VLOOKUP($A90,'Data shares'!$C:$FB,66)</f>
        <v>107546600</v>
      </c>
      <c r="J90" s="49">
        <f>VLOOKUP($A90,'Data shares'!$C:$FB,67)</f>
        <v>106170400</v>
      </c>
      <c r="K90" s="50">
        <f t="shared" si="5"/>
        <v>1.2796313412046501</v>
      </c>
      <c r="L90" s="50">
        <f>VLOOKUP($A90,'Data shares'!$C:$FB,118)</f>
        <v>0.61</v>
      </c>
      <c r="M90" s="50">
        <f>VLOOKUP($A90,'Data shares'!$C:$FB,119)</f>
        <v>0.6</v>
      </c>
      <c r="N90" s="50">
        <f>VLOOKUP($A90,'Data shares'!$C:$FB,121)*100</f>
        <v>1.67</v>
      </c>
      <c r="O90" s="50">
        <f>VLOOKUP($A90,'Data shares'!$C:$FB,124)</f>
        <v>0.62</v>
      </c>
      <c r="P90" s="50">
        <f>VLOOKUP($A90,'Data shares'!$C:$FB,125)</f>
        <v>0.76</v>
      </c>
      <c r="Q90" s="50">
        <f>VLOOKUP($A90,'Data shares'!$C:$FB,127)*100</f>
        <v>-18.420000000000002</v>
      </c>
    </row>
    <row r="91" spans="1:17" x14ac:dyDescent="0.25">
      <c r="A91" s="97" t="str">
        <f>'Data Vlaue (Cr)'!C86</f>
        <v>ICICIGI</v>
      </c>
      <c r="B91" s="140">
        <f>VLOOKUP($A91,'Data shares'!$C:$FB,7)</f>
        <v>1949.8</v>
      </c>
      <c r="C91" s="140">
        <f>VLOOKUP($A91,'Data shares'!$C:$FB,3)</f>
        <v>1955.3</v>
      </c>
      <c r="D91" s="140">
        <f>VLOOKUP($A91,'Data shares'!$C:$FB,4)</f>
        <v>1947.1</v>
      </c>
      <c r="E91" s="50">
        <f t="shared" si="3"/>
        <v>0.42113912998818992</v>
      </c>
      <c r="F91" s="49">
        <f>VLOOKUP($A91,'Data shares'!$C:$FB,98)</f>
        <v>8722025</v>
      </c>
      <c r="G91" s="49">
        <f>VLOOKUP($A91,'Data shares'!$C:$FB,99)</f>
        <v>8750625</v>
      </c>
      <c r="H91" s="50">
        <f t="shared" si="4"/>
        <v>-0.32683379758588671</v>
      </c>
      <c r="I91" s="49">
        <f>VLOOKUP($A91,'Data shares'!$C:$FB,66)</f>
        <v>1664975</v>
      </c>
      <c r="J91" s="49">
        <f>VLOOKUP($A91,'Data shares'!$C:$FB,67)</f>
        <v>1707550</v>
      </c>
      <c r="K91" s="50">
        <f t="shared" si="5"/>
        <v>-2.5570954518836619</v>
      </c>
      <c r="L91" s="50">
        <f>VLOOKUP($A91,'Data shares'!$C:$FB,118)</f>
        <v>0.54</v>
      </c>
      <c r="M91" s="50">
        <f>VLOOKUP($A91,'Data shares'!$C:$FB,119)</f>
        <v>0.52</v>
      </c>
      <c r="N91" s="50">
        <f>VLOOKUP($A91,'Data shares'!$C:$FB,121)*100</f>
        <v>3.85</v>
      </c>
      <c r="O91" s="50">
        <f>VLOOKUP($A91,'Data shares'!$C:$FB,124)</f>
        <v>0.7</v>
      </c>
      <c r="P91" s="50">
        <f>VLOOKUP($A91,'Data shares'!$C:$FB,125)</f>
        <v>0.32</v>
      </c>
      <c r="Q91" s="50">
        <f>VLOOKUP($A91,'Data shares'!$C:$FB,127)*100</f>
        <v>118.75</v>
      </c>
    </row>
    <row r="92" spans="1:17" x14ac:dyDescent="0.25">
      <c r="A92" s="97" t="str">
        <f>'Data Vlaue (Cr)'!C87</f>
        <v>ICICIPRULI</v>
      </c>
      <c r="B92" s="140">
        <f>VLOOKUP($A92,'Data shares'!$C:$FB,7)</f>
        <v>645.65</v>
      </c>
      <c r="C92" s="140">
        <f>VLOOKUP($A92,'Data shares'!$C:$FB,3)</f>
        <v>646.95000000000005</v>
      </c>
      <c r="D92" s="140">
        <f>VLOOKUP($A92,'Data shares'!$C:$FB,4)</f>
        <v>631.20000000000005</v>
      </c>
      <c r="E92" s="50">
        <f t="shared" si="3"/>
        <v>2.4952471482889731</v>
      </c>
      <c r="F92" s="49">
        <f>VLOOKUP($A92,'Data shares'!$C:$FB,98)</f>
        <v>23618025</v>
      </c>
      <c r="G92" s="49">
        <f>VLOOKUP($A92,'Data shares'!$C:$FB,99)</f>
        <v>23253575</v>
      </c>
      <c r="H92" s="50">
        <f t="shared" si="4"/>
        <v>1.5672858904491029</v>
      </c>
      <c r="I92" s="49">
        <f>VLOOKUP($A92,'Data shares'!$C:$FB,66)</f>
        <v>10422900</v>
      </c>
      <c r="J92" s="49">
        <f>VLOOKUP($A92,'Data shares'!$C:$FB,67)</f>
        <v>5757200</v>
      </c>
      <c r="K92" s="50">
        <f t="shared" si="5"/>
        <v>44.763933262335819</v>
      </c>
      <c r="L92" s="50">
        <f>VLOOKUP($A92,'Data shares'!$C:$FB,118)</f>
        <v>0.49</v>
      </c>
      <c r="M92" s="50">
        <f>VLOOKUP($A92,'Data shares'!$C:$FB,119)</f>
        <v>0.46</v>
      </c>
      <c r="N92" s="50">
        <f>VLOOKUP($A92,'Data shares'!$C:$FB,121)*100</f>
        <v>6.52</v>
      </c>
      <c r="O92" s="50">
        <f>VLOOKUP($A92,'Data shares'!$C:$FB,124)</f>
        <v>0.38</v>
      </c>
      <c r="P92" s="50">
        <f>VLOOKUP($A92,'Data shares'!$C:$FB,125)</f>
        <v>0.39</v>
      </c>
      <c r="Q92" s="50">
        <f>VLOOKUP($A92,'Data shares'!$C:$FB,127)*100</f>
        <v>-2.56</v>
      </c>
    </row>
    <row r="93" spans="1:17" x14ac:dyDescent="0.25">
      <c r="A93" s="97" t="str">
        <f>'Data Vlaue (Cr)'!C88</f>
        <v>IDEA</v>
      </c>
      <c r="B93" s="140">
        <f>VLOOKUP($A93,'Data shares'!$C:$FB,7)</f>
        <v>11.3</v>
      </c>
      <c r="C93" s="140">
        <f>VLOOKUP($A93,'Data shares'!$C:$FB,3)</f>
        <v>11.35</v>
      </c>
      <c r="D93" s="140">
        <f>VLOOKUP($A93,'Data shares'!$C:$FB,4)</f>
        <v>11.17</v>
      </c>
      <c r="E93" s="50">
        <f t="shared" si="3"/>
        <v>1.6114592658907763</v>
      </c>
      <c r="F93" s="49">
        <f>VLOOKUP($A93,'Data shares'!$C:$FB,98)</f>
        <v>10587091425</v>
      </c>
      <c r="G93" s="49">
        <f>VLOOKUP($A93,'Data shares'!$C:$FB,99)</f>
        <v>10632906900</v>
      </c>
      <c r="H93" s="50">
        <f t="shared" si="4"/>
        <v>-0.43088381597698366</v>
      </c>
      <c r="I93" s="49">
        <f>VLOOKUP($A93,'Data shares'!$C:$FB,66)</f>
        <v>5891827200</v>
      </c>
      <c r="J93" s="49">
        <f>VLOOKUP($A93,'Data shares'!$C:$FB,67)</f>
        <v>3211157325</v>
      </c>
      <c r="K93" s="50">
        <f t="shared" si="5"/>
        <v>45.498107531055901</v>
      </c>
      <c r="L93" s="50">
        <f>VLOOKUP($A93,'Data shares'!$C:$FB,118)</f>
        <v>0.53</v>
      </c>
      <c r="M93" s="50">
        <f>VLOOKUP($A93,'Data shares'!$C:$FB,119)</f>
        <v>0.56999999999999995</v>
      </c>
      <c r="N93" s="50">
        <f>VLOOKUP($A93,'Data shares'!$C:$FB,121)*100</f>
        <v>-7.02</v>
      </c>
      <c r="O93" s="50">
        <f>VLOOKUP($A93,'Data shares'!$C:$FB,124)</f>
        <v>0.28000000000000003</v>
      </c>
      <c r="P93" s="50">
        <f>VLOOKUP($A93,'Data shares'!$C:$FB,125)</f>
        <v>0.26</v>
      </c>
      <c r="Q93" s="50">
        <f>VLOOKUP($A93,'Data shares'!$C:$FB,127)*100</f>
        <v>7.6899999999999995</v>
      </c>
    </row>
    <row r="94" spans="1:17" x14ac:dyDescent="0.25">
      <c r="A94" s="97" t="str">
        <f>'Data Vlaue (Cr)'!C89</f>
        <v>IDFCFIRSTB</v>
      </c>
      <c r="B94" s="140">
        <f>VLOOKUP($A94,'Data shares'!$C:$FB,7)</f>
        <v>83.79</v>
      </c>
      <c r="C94" s="140">
        <f>VLOOKUP($A94,'Data shares'!$C:$FB,3)</f>
        <v>83.87</v>
      </c>
      <c r="D94" s="140">
        <f>VLOOKUP($A94,'Data shares'!$C:$FB,4)</f>
        <v>84.01</v>
      </c>
      <c r="E94" s="50">
        <f t="shared" si="3"/>
        <v>-0.16664682775860085</v>
      </c>
      <c r="F94" s="49">
        <f>VLOOKUP($A94,'Data shares'!$C:$FB,98)</f>
        <v>586977650</v>
      </c>
      <c r="G94" s="49">
        <f>VLOOKUP($A94,'Data shares'!$C:$FB,99)</f>
        <v>580744850</v>
      </c>
      <c r="H94" s="50">
        <f t="shared" si="4"/>
        <v>1.0732424058517265</v>
      </c>
      <c r="I94" s="49">
        <f>VLOOKUP($A94,'Data shares'!$C:$FB,66)</f>
        <v>240278150</v>
      </c>
      <c r="J94" s="49">
        <f>VLOOKUP($A94,'Data shares'!$C:$FB,67)</f>
        <v>167552875</v>
      </c>
      <c r="K94" s="50">
        <f t="shared" si="5"/>
        <v>30.267119586196252</v>
      </c>
      <c r="L94" s="50">
        <f>VLOOKUP($A94,'Data shares'!$C:$FB,118)</f>
        <v>0.74</v>
      </c>
      <c r="M94" s="50">
        <f>VLOOKUP($A94,'Data shares'!$C:$FB,119)</f>
        <v>0.72</v>
      </c>
      <c r="N94" s="50">
        <f>VLOOKUP($A94,'Data shares'!$C:$FB,121)*100</f>
        <v>2.78</v>
      </c>
      <c r="O94" s="50">
        <f>VLOOKUP($A94,'Data shares'!$C:$FB,124)</f>
        <v>0.52</v>
      </c>
      <c r="P94" s="50">
        <f>VLOOKUP($A94,'Data shares'!$C:$FB,125)</f>
        <v>0.49</v>
      </c>
      <c r="Q94" s="50">
        <f>VLOOKUP($A94,'Data shares'!$C:$FB,127)*100</f>
        <v>6.12</v>
      </c>
    </row>
    <row r="95" spans="1:17" x14ac:dyDescent="0.25">
      <c r="A95" s="97" t="str">
        <f>'Data Vlaue (Cr)'!C90</f>
        <v>IEX</v>
      </c>
      <c r="B95" s="140">
        <f>VLOOKUP($A95,'Data shares'!$C:$FB,7)</f>
        <v>139.76</v>
      </c>
      <c r="C95" s="140">
        <f>VLOOKUP($A95,'Data shares'!$C:$FB,3)</f>
        <v>140.06</v>
      </c>
      <c r="D95" s="140">
        <f>VLOOKUP($A95,'Data shares'!$C:$FB,4)</f>
        <v>140.38999999999999</v>
      </c>
      <c r="E95" s="50">
        <f t="shared" si="3"/>
        <v>-0.23505947717072734</v>
      </c>
      <c r="F95" s="49">
        <f>VLOOKUP($A95,'Data shares'!$C:$FB,98)</f>
        <v>137838750</v>
      </c>
      <c r="G95" s="49">
        <f>VLOOKUP($A95,'Data shares'!$C:$FB,99)</f>
        <v>137433750</v>
      </c>
      <c r="H95" s="50">
        <f t="shared" si="4"/>
        <v>0.29468744031215038</v>
      </c>
      <c r="I95" s="49">
        <f>VLOOKUP($A95,'Data shares'!$C:$FB,66)</f>
        <v>36772500</v>
      </c>
      <c r="J95" s="49">
        <f>VLOOKUP($A95,'Data shares'!$C:$FB,67)</f>
        <v>22845000</v>
      </c>
      <c r="K95" s="50">
        <f t="shared" si="5"/>
        <v>37.874770548643689</v>
      </c>
      <c r="L95" s="50">
        <f>VLOOKUP($A95,'Data shares'!$C:$FB,118)</f>
        <v>0.73</v>
      </c>
      <c r="M95" s="50">
        <f>VLOOKUP($A95,'Data shares'!$C:$FB,119)</f>
        <v>0.73</v>
      </c>
      <c r="N95" s="50">
        <f>VLOOKUP($A95,'Data shares'!$C:$FB,121)*100</f>
        <v>0</v>
      </c>
      <c r="O95" s="50">
        <f>VLOOKUP($A95,'Data shares'!$C:$FB,124)</f>
        <v>0.43</v>
      </c>
      <c r="P95" s="50">
        <f>VLOOKUP($A95,'Data shares'!$C:$FB,125)</f>
        <v>0.31</v>
      </c>
      <c r="Q95" s="50">
        <f>VLOOKUP($A95,'Data shares'!$C:$FB,127)*100</f>
        <v>38.71</v>
      </c>
    </row>
    <row r="96" spans="1:17" x14ac:dyDescent="0.25">
      <c r="A96" s="97" t="str">
        <f>'Data Vlaue (Cr)'!C91</f>
        <v>IIFL</v>
      </c>
      <c r="B96" s="140">
        <f>VLOOKUP($A96,'Data shares'!$C:$FB,7)</f>
        <v>560.5</v>
      </c>
      <c r="C96" s="140">
        <f>VLOOKUP($A96,'Data shares'!$C:$FB,3)</f>
        <v>561.9</v>
      </c>
      <c r="D96" s="140">
        <f>VLOOKUP($A96,'Data shares'!$C:$FB,4)</f>
        <v>563.54999999999995</v>
      </c>
      <c r="E96" s="50">
        <f t="shared" si="3"/>
        <v>-0.29278679797710538</v>
      </c>
      <c r="F96" s="49">
        <f>VLOOKUP($A96,'Data shares'!$C:$FB,98)</f>
        <v>23979450</v>
      </c>
      <c r="G96" s="49">
        <f>VLOOKUP($A96,'Data shares'!$C:$FB,99)</f>
        <v>24276450</v>
      </c>
      <c r="H96" s="50">
        <f t="shared" si="4"/>
        <v>-1.2234078705906342</v>
      </c>
      <c r="I96" s="49">
        <f>VLOOKUP($A96,'Data shares'!$C:$FB,66)</f>
        <v>13079550</v>
      </c>
      <c r="J96" s="49">
        <f>VLOOKUP($A96,'Data shares'!$C:$FB,67)</f>
        <v>13411200</v>
      </c>
      <c r="K96" s="50">
        <f t="shared" si="5"/>
        <v>-2.5356376939573608</v>
      </c>
      <c r="L96" s="50">
        <f>VLOOKUP($A96,'Data shares'!$C:$FB,118)</f>
        <v>0.61</v>
      </c>
      <c r="M96" s="50">
        <f>VLOOKUP($A96,'Data shares'!$C:$FB,119)</f>
        <v>0.6</v>
      </c>
      <c r="N96" s="50">
        <f>VLOOKUP($A96,'Data shares'!$C:$FB,121)*100</f>
        <v>1.67</v>
      </c>
      <c r="O96" s="50">
        <f>VLOOKUP($A96,'Data shares'!$C:$FB,124)</f>
        <v>0.33</v>
      </c>
      <c r="P96" s="50">
        <f>VLOOKUP($A96,'Data shares'!$C:$FB,125)</f>
        <v>0.22</v>
      </c>
      <c r="Q96" s="50">
        <f>VLOOKUP($A96,'Data shares'!$C:$FB,127)*100</f>
        <v>50</v>
      </c>
    </row>
    <row r="97" spans="1:17" x14ac:dyDescent="0.25">
      <c r="A97" s="97" t="str">
        <f>'Data Vlaue (Cr)'!C92</f>
        <v>INDHOTEL</v>
      </c>
      <c r="B97" s="140">
        <f>VLOOKUP($A97,'Data shares'!$C:$FB,7)</f>
        <v>722</v>
      </c>
      <c r="C97" s="140">
        <f>VLOOKUP($A97,'Data shares'!$C:$FB,3)</f>
        <v>724.15</v>
      </c>
      <c r="D97" s="140">
        <f>VLOOKUP($A97,'Data shares'!$C:$FB,4)</f>
        <v>715.75</v>
      </c>
      <c r="E97" s="50">
        <f t="shared" si="3"/>
        <v>1.1735941320293366</v>
      </c>
      <c r="F97" s="49">
        <f>VLOOKUP($A97,'Data shares'!$C:$FB,98)</f>
        <v>44430000</v>
      </c>
      <c r="G97" s="49">
        <f>VLOOKUP($A97,'Data shares'!$C:$FB,99)</f>
        <v>44786000</v>
      </c>
      <c r="H97" s="50">
        <f t="shared" si="4"/>
        <v>-0.79489126066181404</v>
      </c>
      <c r="I97" s="49">
        <f>VLOOKUP($A97,'Data shares'!$C:$FB,66)</f>
        <v>17548000</v>
      </c>
      <c r="J97" s="49">
        <f>VLOOKUP($A97,'Data shares'!$C:$FB,67)</f>
        <v>15794000</v>
      </c>
      <c r="K97" s="50">
        <f t="shared" si="5"/>
        <v>9.9954410759060863</v>
      </c>
      <c r="L97" s="50">
        <f>VLOOKUP($A97,'Data shares'!$C:$FB,118)</f>
        <v>0.65</v>
      </c>
      <c r="M97" s="50">
        <f>VLOOKUP($A97,'Data shares'!$C:$FB,119)</f>
        <v>0.6</v>
      </c>
      <c r="N97" s="50">
        <f>VLOOKUP($A97,'Data shares'!$C:$FB,121)*100</f>
        <v>8.33</v>
      </c>
      <c r="O97" s="50">
        <f>VLOOKUP($A97,'Data shares'!$C:$FB,124)</f>
        <v>0.48</v>
      </c>
      <c r="P97" s="50">
        <f>VLOOKUP($A97,'Data shares'!$C:$FB,125)</f>
        <v>0.41</v>
      </c>
      <c r="Q97" s="50">
        <f>VLOOKUP($A97,'Data shares'!$C:$FB,127)*100</f>
        <v>17.07</v>
      </c>
    </row>
    <row r="98" spans="1:17" x14ac:dyDescent="0.25">
      <c r="A98" s="97" t="str">
        <f>'Data Vlaue (Cr)'!C93</f>
        <v>INDIANB</v>
      </c>
      <c r="B98" s="140">
        <f>VLOOKUP($A98,'Data shares'!$C:$FB,7)</f>
        <v>777.85</v>
      </c>
      <c r="C98" s="140">
        <f>VLOOKUP($A98,'Data shares'!$C:$FB,3)</f>
        <v>778.45</v>
      </c>
      <c r="D98" s="140">
        <f>VLOOKUP($A98,'Data shares'!$C:$FB,4)</f>
        <v>776.35</v>
      </c>
      <c r="E98" s="50">
        <f t="shared" si="3"/>
        <v>0.27049655438913156</v>
      </c>
      <c r="F98" s="49">
        <f>VLOOKUP($A98,'Data shares'!$C:$FB,98)</f>
        <v>29105000</v>
      </c>
      <c r="G98" s="49">
        <f>VLOOKUP($A98,'Data shares'!$C:$FB,99)</f>
        <v>29351000</v>
      </c>
      <c r="H98" s="50">
        <f t="shared" si="4"/>
        <v>-0.8381315798439577</v>
      </c>
      <c r="I98" s="49">
        <f>VLOOKUP($A98,'Data shares'!$C:$FB,66)</f>
        <v>8069000</v>
      </c>
      <c r="J98" s="49">
        <f>VLOOKUP($A98,'Data shares'!$C:$FB,67)</f>
        <v>8025000</v>
      </c>
      <c r="K98" s="50">
        <f t="shared" si="5"/>
        <v>0.54529681497087612</v>
      </c>
      <c r="L98" s="50">
        <f>VLOOKUP($A98,'Data shares'!$C:$FB,118)</f>
        <v>0.41</v>
      </c>
      <c r="M98" s="50">
        <f>VLOOKUP($A98,'Data shares'!$C:$FB,119)</f>
        <v>0.41</v>
      </c>
      <c r="N98" s="50">
        <f>VLOOKUP($A98,'Data shares'!$C:$FB,121)*100</f>
        <v>0</v>
      </c>
      <c r="O98" s="50">
        <f>VLOOKUP($A98,'Data shares'!$C:$FB,124)</f>
        <v>0.26</v>
      </c>
      <c r="P98" s="50">
        <f>VLOOKUP($A98,'Data shares'!$C:$FB,125)</f>
        <v>0.36</v>
      </c>
      <c r="Q98" s="50">
        <f>VLOOKUP($A98,'Data shares'!$C:$FB,127)*100</f>
        <v>-27.779999999999998</v>
      </c>
    </row>
    <row r="99" spans="1:17" x14ac:dyDescent="0.25">
      <c r="A99" s="97" t="str">
        <f>'Data Vlaue (Cr)'!C94</f>
        <v>INDIAVIX</v>
      </c>
      <c r="B99" s="140">
        <f>VLOOKUP($A99,'Data shares'!$C:$FB,7)</f>
        <v>9.7100000000000009</v>
      </c>
      <c r="C99" s="140">
        <f>VLOOKUP($A99,'Data shares'!$C:$FB,3)</f>
        <v>9.7100000000000009</v>
      </c>
      <c r="D99" s="140">
        <f>VLOOKUP($A99,'Data shares'!$C:$FB,4)</f>
        <v>9.84</v>
      </c>
      <c r="E99" s="50">
        <f t="shared" si="3"/>
        <v>-1.3211382113821037</v>
      </c>
      <c r="F99" s="49">
        <f>VLOOKUP($A99,'Data shares'!$C:$FB,98)</f>
        <v>0</v>
      </c>
      <c r="G99" s="49">
        <f>VLOOKUP($A99,'Data shares'!$C:$FB,99)</f>
        <v>0</v>
      </c>
      <c r="H99" s="50" t="e">
        <f t="shared" si="4"/>
        <v>#DIV/0!</v>
      </c>
      <c r="I99" s="49">
        <f>VLOOKUP($A99,'Data shares'!$C:$FB,66)</f>
        <v>0</v>
      </c>
      <c r="J99" s="49">
        <f>VLOOKUP($A99,'Data shares'!$C:$FB,67)</f>
        <v>0</v>
      </c>
      <c r="K99" s="50" t="e">
        <f t="shared" si="5"/>
        <v>#DIV/0!</v>
      </c>
      <c r="L99" s="50">
        <f>VLOOKUP($A99,'Data shares'!$C:$FB,118)</f>
        <v>0</v>
      </c>
      <c r="M99" s="50">
        <f>VLOOKUP($A99,'Data shares'!$C:$FB,119)</f>
        <v>0</v>
      </c>
      <c r="N99" s="50">
        <f>VLOOKUP($A99,'Data shares'!$C:$FB,121)*100</f>
        <v>0</v>
      </c>
      <c r="O99" s="50">
        <f>VLOOKUP($A99,'Data shares'!$C:$FB,124)</f>
        <v>0</v>
      </c>
      <c r="P99" s="50">
        <f>VLOOKUP($A99,'Data shares'!$C:$FB,125)</f>
        <v>0</v>
      </c>
      <c r="Q99" s="50">
        <f>VLOOKUP($A99,'Data shares'!$C:$FB,127)*100</f>
        <v>0</v>
      </c>
    </row>
    <row r="100" spans="1:17" x14ac:dyDescent="0.25">
      <c r="A100" s="97" t="str">
        <f>'Data Vlaue (Cr)'!C95</f>
        <v>INDIGO</v>
      </c>
      <c r="B100" s="140">
        <f>VLOOKUP($A100,'Data shares'!$C:$FB,7)</f>
        <v>5115.5</v>
      </c>
      <c r="C100" s="140">
        <f>VLOOKUP($A100,'Data shares'!$C:$FB,3)</f>
        <v>5130.5</v>
      </c>
      <c r="D100" s="140">
        <f>VLOOKUP($A100,'Data shares'!$C:$FB,4)</f>
        <v>4984</v>
      </c>
      <c r="E100" s="50">
        <f t="shared" si="3"/>
        <v>2.9394060995184592</v>
      </c>
      <c r="F100" s="49">
        <f>VLOOKUP($A100,'Data shares'!$C:$FB,98)</f>
        <v>36290700</v>
      </c>
      <c r="G100" s="49">
        <f>VLOOKUP($A100,'Data shares'!$C:$FB,99)</f>
        <v>37648500</v>
      </c>
      <c r="H100" s="50">
        <f t="shared" si="4"/>
        <v>-3.6065181879756167</v>
      </c>
      <c r="I100" s="49">
        <f>VLOOKUP($A100,'Data shares'!$C:$FB,66)</f>
        <v>57352350</v>
      </c>
      <c r="J100" s="49">
        <f>VLOOKUP($A100,'Data shares'!$C:$FB,67)</f>
        <v>14007300</v>
      </c>
      <c r="K100" s="50">
        <f t="shared" si="5"/>
        <v>75.576763637409812</v>
      </c>
      <c r="L100" s="50">
        <f>VLOOKUP($A100,'Data shares'!$C:$FB,118)</f>
        <v>0.56000000000000005</v>
      </c>
      <c r="M100" s="50">
        <f>VLOOKUP($A100,'Data shares'!$C:$FB,119)</f>
        <v>0.48</v>
      </c>
      <c r="N100" s="50">
        <f>VLOOKUP($A100,'Data shares'!$C:$FB,121)*100</f>
        <v>16.669999999999998</v>
      </c>
      <c r="O100" s="50">
        <f>VLOOKUP($A100,'Data shares'!$C:$FB,124)</f>
        <v>0.48</v>
      </c>
      <c r="P100" s="50">
        <f>VLOOKUP($A100,'Data shares'!$C:$FB,125)</f>
        <v>0.51</v>
      </c>
      <c r="Q100" s="50">
        <f>VLOOKUP($A100,'Data shares'!$C:$FB,127)*100</f>
        <v>-5.88</v>
      </c>
    </row>
    <row r="101" spans="1:17" x14ac:dyDescent="0.25">
      <c r="A101" s="97" t="str">
        <f>'Data Vlaue (Cr)'!C96</f>
        <v>INDUSINDBK</v>
      </c>
      <c r="B101" s="140">
        <f>VLOOKUP($A101,'Data shares'!$C:$FB,7)</f>
        <v>834.9</v>
      </c>
      <c r="C101" s="140">
        <f>VLOOKUP($A101,'Data shares'!$C:$FB,3)</f>
        <v>835.8</v>
      </c>
      <c r="D101" s="140">
        <f>VLOOKUP($A101,'Data shares'!$C:$FB,4)</f>
        <v>834.65</v>
      </c>
      <c r="E101" s="50">
        <f t="shared" si="3"/>
        <v>0.13778230395974089</v>
      </c>
      <c r="F101" s="49">
        <f>VLOOKUP($A101,'Data shares'!$C:$FB,98)</f>
        <v>70896000</v>
      </c>
      <c r="G101" s="49">
        <f>VLOOKUP($A101,'Data shares'!$C:$FB,99)</f>
        <v>71937600</v>
      </c>
      <c r="H101" s="50">
        <f t="shared" si="4"/>
        <v>-1.4479215319943952</v>
      </c>
      <c r="I101" s="49">
        <f>VLOOKUP($A101,'Data shares'!$C:$FB,66)</f>
        <v>25594800</v>
      </c>
      <c r="J101" s="49">
        <f>VLOOKUP($A101,'Data shares'!$C:$FB,67)</f>
        <v>40085500</v>
      </c>
      <c r="K101" s="50">
        <f t="shared" si="5"/>
        <v>-56.615796958757244</v>
      </c>
      <c r="L101" s="50">
        <f>VLOOKUP($A101,'Data shares'!$C:$FB,118)</f>
        <v>0.71</v>
      </c>
      <c r="M101" s="50">
        <f>VLOOKUP($A101,'Data shares'!$C:$FB,119)</f>
        <v>0.7</v>
      </c>
      <c r="N101" s="50">
        <f>VLOOKUP($A101,'Data shares'!$C:$FB,121)*100</f>
        <v>1.43</v>
      </c>
      <c r="O101" s="50">
        <f>VLOOKUP($A101,'Data shares'!$C:$FB,124)</f>
        <v>0.7</v>
      </c>
      <c r="P101" s="50">
        <f>VLOOKUP($A101,'Data shares'!$C:$FB,125)</f>
        <v>0.88</v>
      </c>
      <c r="Q101" s="50">
        <f>VLOOKUP($A101,'Data shares'!$C:$FB,127)*100</f>
        <v>-20.45</v>
      </c>
    </row>
    <row r="102" spans="1:17" x14ac:dyDescent="0.25">
      <c r="A102" s="97" t="str">
        <f>'Data Vlaue (Cr)'!C97</f>
        <v>INDUSTOWER</v>
      </c>
      <c r="B102" s="140">
        <f>VLOOKUP($A102,'Data shares'!$C:$FB,7)</f>
        <v>408.75</v>
      </c>
      <c r="C102" s="140">
        <f>VLOOKUP($A102,'Data shares'!$C:$FB,3)</f>
        <v>409.7</v>
      </c>
      <c r="D102" s="140">
        <f>VLOOKUP($A102,'Data shares'!$C:$FB,4)</f>
        <v>408.6</v>
      </c>
      <c r="E102" s="50">
        <f t="shared" si="3"/>
        <v>0.26921194322074543</v>
      </c>
      <c r="F102" s="49">
        <f>VLOOKUP($A102,'Data shares'!$C:$FB,98)</f>
        <v>124822500</v>
      </c>
      <c r="G102" s="49">
        <f>VLOOKUP($A102,'Data shares'!$C:$FB,99)</f>
        <v>126299800</v>
      </c>
      <c r="H102" s="50">
        <f t="shared" si="4"/>
        <v>-1.1696772283091501</v>
      </c>
      <c r="I102" s="49">
        <f>VLOOKUP($A102,'Data shares'!$C:$FB,66)</f>
        <v>35419500</v>
      </c>
      <c r="J102" s="49">
        <f>VLOOKUP($A102,'Data shares'!$C:$FB,67)</f>
        <v>27801800</v>
      </c>
      <c r="K102" s="50">
        <f t="shared" si="5"/>
        <v>21.507079433645309</v>
      </c>
      <c r="L102" s="50">
        <f>VLOOKUP($A102,'Data shares'!$C:$FB,118)</f>
        <v>0.6</v>
      </c>
      <c r="M102" s="50">
        <f>VLOOKUP($A102,'Data shares'!$C:$FB,119)</f>
        <v>0.59</v>
      </c>
      <c r="N102" s="50">
        <f>VLOOKUP($A102,'Data shares'!$C:$FB,121)*100</f>
        <v>1.69</v>
      </c>
      <c r="O102" s="50">
        <f>VLOOKUP($A102,'Data shares'!$C:$FB,124)</f>
        <v>0.35</v>
      </c>
      <c r="P102" s="50">
        <f>VLOOKUP($A102,'Data shares'!$C:$FB,125)</f>
        <v>0.25</v>
      </c>
      <c r="Q102" s="50">
        <f>VLOOKUP($A102,'Data shares'!$C:$FB,127)*100</f>
        <v>40</v>
      </c>
    </row>
    <row r="103" spans="1:17" x14ac:dyDescent="0.25">
      <c r="A103" s="97" t="str">
        <f>'Data Vlaue (Cr)'!C98</f>
        <v>INFY</v>
      </c>
      <c r="B103" s="140">
        <f>VLOOKUP($A103,'Data shares'!$C:$FB,7)</f>
        <v>1626.8</v>
      </c>
      <c r="C103" s="140">
        <f>VLOOKUP($A103,'Data shares'!$C:$FB,3)</f>
        <v>1627.9</v>
      </c>
      <c r="D103" s="140">
        <f>VLOOKUP($A103,'Data shares'!$C:$FB,4)</f>
        <v>1605.8</v>
      </c>
      <c r="E103" s="50">
        <f t="shared" si="3"/>
        <v>1.376261053680417</v>
      </c>
      <c r="F103" s="49">
        <f>VLOOKUP($A103,'Data shares'!$C:$FB,98)</f>
        <v>121290400</v>
      </c>
      <c r="G103" s="49">
        <f>VLOOKUP($A103,'Data shares'!$C:$FB,99)</f>
        <v>116527200</v>
      </c>
      <c r="H103" s="50">
        <f t="shared" si="4"/>
        <v>4.0876293260286012</v>
      </c>
      <c r="I103" s="49">
        <f>VLOOKUP($A103,'Data shares'!$C:$FB,66)</f>
        <v>87880800</v>
      </c>
      <c r="J103" s="49">
        <f>VLOOKUP($A103,'Data shares'!$C:$FB,67)</f>
        <v>43017200</v>
      </c>
      <c r="K103" s="50">
        <f t="shared" si="5"/>
        <v>51.050513877889138</v>
      </c>
      <c r="L103" s="50">
        <f>VLOOKUP($A103,'Data shares'!$C:$FB,118)</f>
        <v>0.76</v>
      </c>
      <c r="M103" s="50">
        <f>VLOOKUP($A103,'Data shares'!$C:$FB,119)</f>
        <v>0.65</v>
      </c>
      <c r="N103" s="50">
        <f>VLOOKUP($A103,'Data shares'!$C:$FB,121)*100</f>
        <v>16.919999999999998</v>
      </c>
      <c r="O103" s="50">
        <f>VLOOKUP($A103,'Data shares'!$C:$FB,124)</f>
        <v>0.56999999999999995</v>
      </c>
      <c r="P103" s="50">
        <f>VLOOKUP($A103,'Data shares'!$C:$FB,125)</f>
        <v>0.54</v>
      </c>
      <c r="Q103" s="50">
        <f>VLOOKUP($A103,'Data shares'!$C:$FB,127)*100</f>
        <v>5.56</v>
      </c>
    </row>
    <row r="104" spans="1:17" x14ac:dyDescent="0.25">
      <c r="A104" s="97" t="str">
        <f>'Data Vlaue (Cr)'!C99</f>
        <v>INOXWIND</v>
      </c>
      <c r="B104" s="140">
        <f>VLOOKUP($A104,'Data shares'!$C:$FB,7)</f>
        <v>124.21</v>
      </c>
      <c r="C104" s="140">
        <f>VLOOKUP($A104,'Data shares'!$C:$FB,3)</f>
        <v>124.71</v>
      </c>
      <c r="D104" s="140">
        <f>VLOOKUP($A104,'Data shares'!$C:$FB,4)</f>
        <v>126.43</v>
      </c>
      <c r="E104" s="50">
        <f t="shared" si="3"/>
        <v>-1.3604366052361092</v>
      </c>
      <c r="F104" s="49">
        <f>VLOOKUP($A104,'Data shares'!$C:$FB,98)</f>
        <v>157404801</v>
      </c>
      <c r="G104" s="49">
        <f>VLOOKUP($A104,'Data shares'!$C:$FB,99)</f>
        <v>157497562</v>
      </c>
      <c r="H104" s="50">
        <f t="shared" si="4"/>
        <v>-5.8896784700705404E-2</v>
      </c>
      <c r="I104" s="49">
        <f>VLOOKUP($A104,'Data shares'!$C:$FB,66)</f>
        <v>35749872</v>
      </c>
      <c r="J104" s="49">
        <f>VLOOKUP($A104,'Data shares'!$C:$FB,67)</f>
        <v>23807072</v>
      </c>
      <c r="K104" s="50">
        <f t="shared" si="5"/>
        <v>33.406553175910666</v>
      </c>
      <c r="L104" s="50">
        <f>VLOOKUP($A104,'Data shares'!$C:$FB,118)</f>
        <v>0.49</v>
      </c>
      <c r="M104" s="50">
        <f>VLOOKUP($A104,'Data shares'!$C:$FB,119)</f>
        <v>0.49</v>
      </c>
      <c r="N104" s="50">
        <f>VLOOKUP($A104,'Data shares'!$C:$FB,121)*100</f>
        <v>0</v>
      </c>
      <c r="O104" s="50">
        <f>VLOOKUP($A104,'Data shares'!$C:$FB,124)</f>
        <v>0.69</v>
      </c>
      <c r="P104" s="50">
        <f>VLOOKUP($A104,'Data shares'!$C:$FB,125)</f>
        <v>0.6</v>
      </c>
      <c r="Q104" s="50">
        <f>VLOOKUP($A104,'Data shares'!$C:$FB,127)*100</f>
        <v>15</v>
      </c>
    </row>
    <row r="105" spans="1:17" x14ac:dyDescent="0.25">
      <c r="A105" s="97" t="str">
        <f>'Data Vlaue (Cr)'!C100</f>
        <v>IOC</v>
      </c>
      <c r="B105" s="140">
        <f>VLOOKUP($A105,'Data shares'!$C:$FB,7)</f>
        <v>161.75</v>
      </c>
      <c r="C105" s="140">
        <f>VLOOKUP($A105,'Data shares'!$C:$FB,3)</f>
        <v>162.16</v>
      </c>
      <c r="D105" s="140">
        <f>VLOOKUP($A105,'Data shares'!$C:$FB,4)</f>
        <v>168.64</v>
      </c>
      <c r="E105" s="50">
        <f t="shared" si="3"/>
        <v>-3.8425047438330111</v>
      </c>
      <c r="F105" s="49">
        <f>VLOOKUP($A105,'Data shares'!$C:$FB,98)</f>
        <v>201639750</v>
      </c>
      <c r="G105" s="49">
        <f>VLOOKUP($A105,'Data shares'!$C:$FB,99)</f>
        <v>201781125</v>
      </c>
      <c r="H105" s="50">
        <f t="shared" si="4"/>
        <v>-7.0063540383175082E-2</v>
      </c>
      <c r="I105" s="49">
        <f>VLOOKUP($A105,'Data shares'!$C:$FB,66)</f>
        <v>127218000</v>
      </c>
      <c r="J105" s="49">
        <f>VLOOKUP($A105,'Data shares'!$C:$FB,67)</f>
        <v>170483625</v>
      </c>
      <c r="K105" s="50">
        <f t="shared" si="5"/>
        <v>-34.00904353157572</v>
      </c>
      <c r="L105" s="50">
        <f>VLOOKUP($A105,'Data shares'!$C:$FB,118)</f>
        <v>0.67</v>
      </c>
      <c r="M105" s="50">
        <f>VLOOKUP($A105,'Data shares'!$C:$FB,119)</f>
        <v>0.66</v>
      </c>
      <c r="N105" s="50">
        <f>VLOOKUP($A105,'Data shares'!$C:$FB,121)*100</f>
        <v>1.52</v>
      </c>
      <c r="O105" s="50">
        <f>VLOOKUP($A105,'Data shares'!$C:$FB,124)</f>
        <v>0.56999999999999995</v>
      </c>
      <c r="P105" s="50">
        <f>VLOOKUP($A105,'Data shares'!$C:$FB,125)</f>
        <v>0.57999999999999996</v>
      </c>
      <c r="Q105" s="50">
        <f>VLOOKUP($A105,'Data shares'!$C:$FB,127)*100</f>
        <v>-1.72</v>
      </c>
    </row>
    <row r="106" spans="1:17" x14ac:dyDescent="0.25">
      <c r="A106" s="97" t="str">
        <f>'Data Vlaue (Cr)'!C101</f>
        <v>IRCTC</v>
      </c>
      <c r="B106" s="140">
        <f>VLOOKUP($A106,'Data shares'!$C:$FB,7)</f>
        <v>663.85</v>
      </c>
      <c r="C106" s="140">
        <f>VLOOKUP($A106,'Data shares'!$C:$FB,3)</f>
        <v>665.6</v>
      </c>
      <c r="D106" s="140">
        <f>VLOOKUP($A106,'Data shares'!$C:$FB,4)</f>
        <v>667.25</v>
      </c>
      <c r="E106" s="50">
        <f t="shared" si="3"/>
        <v>-0.24728362682652338</v>
      </c>
      <c r="F106" s="49">
        <f>VLOOKUP($A106,'Data shares'!$C:$FB,98)</f>
        <v>37971500</v>
      </c>
      <c r="G106" s="49">
        <f>VLOOKUP($A106,'Data shares'!$C:$FB,99)</f>
        <v>38381875</v>
      </c>
      <c r="H106" s="50">
        <f t="shared" si="4"/>
        <v>-1.0691895588738174</v>
      </c>
      <c r="I106" s="49">
        <f>VLOOKUP($A106,'Data shares'!$C:$FB,66)</f>
        <v>10476375</v>
      </c>
      <c r="J106" s="49">
        <f>VLOOKUP($A106,'Data shares'!$C:$FB,67)</f>
        <v>10350375</v>
      </c>
      <c r="K106" s="50">
        <f t="shared" si="5"/>
        <v>1.202706088699574</v>
      </c>
      <c r="L106" s="50">
        <f>VLOOKUP($A106,'Data shares'!$C:$FB,118)</f>
        <v>0.68</v>
      </c>
      <c r="M106" s="50">
        <f>VLOOKUP($A106,'Data shares'!$C:$FB,119)</f>
        <v>0.7</v>
      </c>
      <c r="N106" s="50">
        <f>VLOOKUP($A106,'Data shares'!$C:$FB,121)*100</f>
        <v>-2.86</v>
      </c>
      <c r="O106" s="50">
        <f>VLOOKUP($A106,'Data shares'!$C:$FB,124)</f>
        <v>0.35</v>
      </c>
      <c r="P106" s="50">
        <f>VLOOKUP($A106,'Data shares'!$C:$FB,125)</f>
        <v>0.63</v>
      </c>
      <c r="Q106" s="50">
        <f>VLOOKUP($A106,'Data shares'!$C:$FB,127)*100</f>
        <v>-44.440000000000005</v>
      </c>
    </row>
    <row r="107" spans="1:17" x14ac:dyDescent="0.25">
      <c r="A107" s="97" t="str">
        <f>'Data Vlaue (Cr)'!C102</f>
        <v>IREDA</v>
      </c>
      <c r="B107" s="140">
        <f>VLOOKUP($A107,'Data shares'!$C:$FB,7)</f>
        <v>131.41999999999999</v>
      </c>
      <c r="C107" s="140">
        <f>VLOOKUP($A107,'Data shares'!$C:$FB,3)</f>
        <v>131.72</v>
      </c>
      <c r="D107" s="140">
        <f>VLOOKUP($A107,'Data shares'!$C:$FB,4)</f>
        <v>131.16999999999999</v>
      </c>
      <c r="E107" s="50">
        <f t="shared" si="3"/>
        <v>0.41930319432798002</v>
      </c>
      <c r="F107" s="49">
        <f>VLOOKUP($A107,'Data shares'!$C:$FB,98)</f>
        <v>115385250</v>
      </c>
      <c r="G107" s="49">
        <f>VLOOKUP($A107,'Data shares'!$C:$FB,99)</f>
        <v>112787400</v>
      </c>
      <c r="H107" s="50">
        <f t="shared" si="4"/>
        <v>2.3033157959133734</v>
      </c>
      <c r="I107" s="49">
        <f>VLOOKUP($A107,'Data shares'!$C:$FB,66)</f>
        <v>34475850</v>
      </c>
      <c r="J107" s="49">
        <f>VLOOKUP($A107,'Data shares'!$C:$FB,67)</f>
        <v>29266350</v>
      </c>
      <c r="K107" s="50">
        <f t="shared" si="5"/>
        <v>15.110577404182928</v>
      </c>
      <c r="L107" s="50">
        <f>VLOOKUP($A107,'Data shares'!$C:$FB,118)</f>
        <v>0.51</v>
      </c>
      <c r="M107" s="50">
        <f>VLOOKUP($A107,'Data shares'!$C:$FB,119)</f>
        <v>0.5</v>
      </c>
      <c r="N107" s="50">
        <f>VLOOKUP($A107,'Data shares'!$C:$FB,121)*100</f>
        <v>2</v>
      </c>
      <c r="O107" s="50">
        <f>VLOOKUP($A107,'Data shares'!$C:$FB,124)</f>
        <v>0.4</v>
      </c>
      <c r="P107" s="50">
        <f>VLOOKUP($A107,'Data shares'!$C:$FB,125)</f>
        <v>0.32</v>
      </c>
      <c r="Q107" s="50">
        <f>VLOOKUP($A107,'Data shares'!$C:$FB,127)*100</f>
        <v>25</v>
      </c>
    </row>
    <row r="108" spans="1:17" x14ac:dyDescent="0.25">
      <c r="A108" s="97" t="str">
        <f>'Data Vlaue (Cr)'!C103</f>
        <v>IRFC</v>
      </c>
      <c r="B108" s="140">
        <f>VLOOKUP($A108,'Data shares'!$C:$FB,7)</f>
        <v>110.81</v>
      </c>
      <c r="C108" s="140">
        <f>VLOOKUP($A108,'Data shares'!$C:$FB,3)</f>
        <v>111.19</v>
      </c>
      <c r="D108" s="140">
        <f>VLOOKUP($A108,'Data shares'!$C:$FB,4)</f>
        <v>111.25</v>
      </c>
      <c r="E108" s="50">
        <f t="shared" si="3"/>
        <v>-5.3932584269664963E-2</v>
      </c>
      <c r="F108" s="49">
        <f>VLOOKUP($A108,'Data shares'!$C:$FB,98)</f>
        <v>112880000</v>
      </c>
      <c r="G108" s="49">
        <f>VLOOKUP($A108,'Data shares'!$C:$FB,99)</f>
        <v>112935250</v>
      </c>
      <c r="H108" s="50">
        <f t="shared" si="4"/>
        <v>-4.8921837955819815E-2</v>
      </c>
      <c r="I108" s="49">
        <f>VLOOKUP($A108,'Data shares'!$C:$FB,66)</f>
        <v>40239000</v>
      </c>
      <c r="J108" s="49">
        <f>VLOOKUP($A108,'Data shares'!$C:$FB,67)</f>
        <v>36435250</v>
      </c>
      <c r="K108" s="50">
        <f t="shared" si="5"/>
        <v>9.4528939585973806</v>
      </c>
      <c r="L108" s="50">
        <f>VLOOKUP($A108,'Data shares'!$C:$FB,118)</f>
        <v>0.49</v>
      </c>
      <c r="M108" s="50">
        <f>VLOOKUP($A108,'Data shares'!$C:$FB,119)</f>
        <v>0.48</v>
      </c>
      <c r="N108" s="50">
        <f>VLOOKUP($A108,'Data shares'!$C:$FB,121)*100</f>
        <v>2.08</v>
      </c>
      <c r="O108" s="50">
        <f>VLOOKUP($A108,'Data shares'!$C:$FB,124)</f>
        <v>0.46</v>
      </c>
      <c r="P108" s="50">
        <f>VLOOKUP($A108,'Data shares'!$C:$FB,125)</f>
        <v>0.42</v>
      </c>
      <c r="Q108" s="50">
        <f>VLOOKUP($A108,'Data shares'!$C:$FB,127)*100</f>
        <v>9.5200000000000014</v>
      </c>
    </row>
    <row r="109" spans="1:17" x14ac:dyDescent="0.25">
      <c r="A109" s="97" t="str">
        <f>'Data Vlaue (Cr)'!C104</f>
        <v>ITC</v>
      </c>
      <c r="B109" s="140">
        <f>VLOOKUP($A109,'Data shares'!$C:$FB,7)</f>
        <v>400.4</v>
      </c>
      <c r="C109" s="140">
        <f>VLOOKUP($A109,'Data shares'!$C:$FB,3)</f>
        <v>401.25</v>
      </c>
      <c r="D109" s="140">
        <f>VLOOKUP($A109,'Data shares'!$C:$FB,4)</f>
        <v>401.05</v>
      </c>
      <c r="E109" s="50">
        <f t="shared" si="3"/>
        <v>4.9869093629220457E-2</v>
      </c>
      <c r="F109" s="49">
        <f>VLOOKUP($A109,'Data shares'!$C:$FB,98)</f>
        <v>275734400</v>
      </c>
      <c r="G109" s="49">
        <f>VLOOKUP($A109,'Data shares'!$C:$FB,99)</f>
        <v>276201600</v>
      </c>
      <c r="H109" s="50">
        <f t="shared" si="4"/>
        <v>-0.16915180795476928</v>
      </c>
      <c r="I109" s="49">
        <f>VLOOKUP($A109,'Data shares'!$C:$FB,66)</f>
        <v>64072000</v>
      </c>
      <c r="J109" s="49">
        <f>VLOOKUP($A109,'Data shares'!$C:$FB,67)</f>
        <v>72676800</v>
      </c>
      <c r="K109" s="50">
        <f t="shared" si="5"/>
        <v>-13.429891372206267</v>
      </c>
      <c r="L109" s="50">
        <f>VLOOKUP($A109,'Data shares'!$C:$FB,118)</f>
        <v>0.6</v>
      </c>
      <c r="M109" s="50">
        <f>VLOOKUP($A109,'Data shares'!$C:$FB,119)</f>
        <v>0.62</v>
      </c>
      <c r="N109" s="50">
        <f>VLOOKUP($A109,'Data shares'!$C:$FB,121)*100</f>
        <v>-3.2300000000000004</v>
      </c>
      <c r="O109" s="50">
        <f>VLOOKUP($A109,'Data shares'!$C:$FB,124)</f>
        <v>0.56000000000000005</v>
      </c>
      <c r="P109" s="50">
        <f>VLOOKUP($A109,'Data shares'!$C:$FB,125)</f>
        <v>0.48</v>
      </c>
      <c r="Q109" s="50">
        <f>VLOOKUP($A109,'Data shares'!$C:$FB,127)*100</f>
        <v>16.669999999999998</v>
      </c>
    </row>
    <row r="110" spans="1:17" x14ac:dyDescent="0.25">
      <c r="A110" s="97" t="str">
        <f>'Data Vlaue (Cr)'!C105</f>
        <v>JINDALSTEL</v>
      </c>
      <c r="B110" s="140">
        <f>VLOOKUP($A110,'Data shares'!$C:$FB,7)</f>
        <v>986</v>
      </c>
      <c r="C110" s="140">
        <f>VLOOKUP($A110,'Data shares'!$C:$FB,3)</f>
        <v>988.9</v>
      </c>
      <c r="D110" s="140">
        <f>VLOOKUP($A110,'Data shares'!$C:$FB,4)</f>
        <v>1003.9</v>
      </c>
      <c r="E110" s="50">
        <f t="shared" si="3"/>
        <v>-1.494172726367168</v>
      </c>
      <c r="F110" s="49">
        <f>VLOOKUP($A110,'Data shares'!$C:$FB,98)</f>
        <v>23138750</v>
      </c>
      <c r="G110" s="49">
        <f>VLOOKUP($A110,'Data shares'!$C:$FB,99)</f>
        <v>22001250</v>
      </c>
      <c r="H110" s="50">
        <f t="shared" si="4"/>
        <v>5.1701607863189594</v>
      </c>
      <c r="I110" s="49">
        <f>VLOOKUP($A110,'Data shares'!$C:$FB,66)</f>
        <v>17856875</v>
      </c>
      <c r="J110" s="49">
        <f>VLOOKUP($A110,'Data shares'!$C:$FB,67)</f>
        <v>8147500</v>
      </c>
      <c r="K110" s="50">
        <f t="shared" si="5"/>
        <v>54.373315599733999</v>
      </c>
      <c r="L110" s="50">
        <f>VLOOKUP($A110,'Data shares'!$C:$FB,118)</f>
        <v>0.62</v>
      </c>
      <c r="M110" s="50">
        <f>VLOOKUP($A110,'Data shares'!$C:$FB,119)</f>
        <v>0.6</v>
      </c>
      <c r="N110" s="50">
        <f>VLOOKUP($A110,'Data shares'!$C:$FB,121)*100</f>
        <v>3.3300000000000005</v>
      </c>
      <c r="O110" s="50">
        <f>VLOOKUP($A110,'Data shares'!$C:$FB,124)</f>
        <v>0.65</v>
      </c>
      <c r="P110" s="50">
        <f>VLOOKUP($A110,'Data shares'!$C:$FB,125)</f>
        <v>0.55000000000000004</v>
      </c>
      <c r="Q110" s="50">
        <f>VLOOKUP($A110,'Data shares'!$C:$FB,127)*100</f>
        <v>18.18</v>
      </c>
    </row>
    <row r="111" spans="1:17" x14ac:dyDescent="0.25">
      <c r="A111" s="97" t="str">
        <f>'Data Vlaue (Cr)'!C106</f>
        <v>JIOFIN</v>
      </c>
      <c r="B111" s="140">
        <f>VLOOKUP($A111,'Data shares'!$C:$FB,7)</f>
        <v>292.3</v>
      </c>
      <c r="C111" s="140">
        <f>VLOOKUP($A111,'Data shares'!$C:$FB,3)</f>
        <v>292.89999999999998</v>
      </c>
      <c r="D111" s="140">
        <f>VLOOKUP($A111,'Data shares'!$C:$FB,4)</f>
        <v>293.7</v>
      </c>
      <c r="E111" s="50">
        <f t="shared" si="3"/>
        <v>-0.27238678924072568</v>
      </c>
      <c r="F111" s="49">
        <f>VLOOKUP($A111,'Data shares'!$C:$FB,98)</f>
        <v>278623050</v>
      </c>
      <c r="G111" s="49">
        <f>VLOOKUP($A111,'Data shares'!$C:$FB,99)</f>
        <v>274621000</v>
      </c>
      <c r="H111" s="50">
        <f t="shared" si="4"/>
        <v>1.4572993325346568</v>
      </c>
      <c r="I111" s="49">
        <f>VLOOKUP($A111,'Data shares'!$C:$FB,66)</f>
        <v>75538400</v>
      </c>
      <c r="J111" s="49">
        <f>VLOOKUP($A111,'Data shares'!$C:$FB,67)</f>
        <v>59607750</v>
      </c>
      <c r="K111" s="50">
        <f t="shared" si="5"/>
        <v>21.08947237431558</v>
      </c>
      <c r="L111" s="50">
        <f>VLOOKUP($A111,'Data shares'!$C:$FB,118)</f>
        <v>0.69</v>
      </c>
      <c r="M111" s="50">
        <f>VLOOKUP($A111,'Data shares'!$C:$FB,119)</f>
        <v>0.68</v>
      </c>
      <c r="N111" s="50">
        <f>VLOOKUP($A111,'Data shares'!$C:$FB,121)*100</f>
        <v>1.47</v>
      </c>
      <c r="O111" s="50">
        <f>VLOOKUP($A111,'Data shares'!$C:$FB,124)</f>
        <v>0.37</v>
      </c>
      <c r="P111" s="50">
        <f>VLOOKUP($A111,'Data shares'!$C:$FB,125)</f>
        <v>0.36</v>
      </c>
      <c r="Q111" s="50">
        <f>VLOOKUP($A111,'Data shares'!$C:$FB,127)*100</f>
        <v>2.78</v>
      </c>
    </row>
    <row r="112" spans="1:17" x14ac:dyDescent="0.25">
      <c r="A112" s="97" t="str">
        <f>'Data Vlaue (Cr)'!C107</f>
        <v>JSWENERGY</v>
      </c>
      <c r="B112" s="140">
        <f>VLOOKUP($A112,'Data shares'!$C:$FB,7)</f>
        <v>472</v>
      </c>
      <c r="C112" s="140">
        <f>VLOOKUP($A112,'Data shares'!$C:$FB,3)</f>
        <v>472.35</v>
      </c>
      <c r="D112" s="140">
        <f>VLOOKUP($A112,'Data shares'!$C:$FB,4)</f>
        <v>475.8</v>
      </c>
      <c r="E112" s="50">
        <f t="shared" si="3"/>
        <v>-0.72509457755359163</v>
      </c>
      <c r="F112" s="49">
        <f>VLOOKUP($A112,'Data shares'!$C:$FB,98)</f>
        <v>72092000</v>
      </c>
      <c r="G112" s="49">
        <f>VLOOKUP($A112,'Data shares'!$C:$FB,99)</f>
        <v>73213000</v>
      </c>
      <c r="H112" s="50">
        <f t="shared" si="4"/>
        <v>-1.5311488396869408</v>
      </c>
      <c r="I112" s="49">
        <f>VLOOKUP($A112,'Data shares'!$C:$FB,66)</f>
        <v>17968000</v>
      </c>
      <c r="J112" s="49">
        <f>VLOOKUP($A112,'Data shares'!$C:$FB,67)</f>
        <v>19059000</v>
      </c>
      <c r="K112" s="50">
        <f t="shared" si="5"/>
        <v>-6.0719056099732862</v>
      </c>
      <c r="L112" s="50">
        <f>VLOOKUP($A112,'Data shares'!$C:$FB,118)</f>
        <v>0.65</v>
      </c>
      <c r="M112" s="50">
        <f>VLOOKUP($A112,'Data shares'!$C:$FB,119)</f>
        <v>0.68</v>
      </c>
      <c r="N112" s="50">
        <f>VLOOKUP($A112,'Data shares'!$C:$FB,121)*100</f>
        <v>-4.41</v>
      </c>
      <c r="O112" s="50">
        <f>VLOOKUP($A112,'Data shares'!$C:$FB,124)</f>
        <v>0.65</v>
      </c>
      <c r="P112" s="50">
        <f>VLOOKUP($A112,'Data shares'!$C:$FB,125)</f>
        <v>0.6</v>
      </c>
      <c r="Q112" s="50">
        <f>VLOOKUP($A112,'Data shares'!$C:$FB,127)*100</f>
        <v>8.33</v>
      </c>
    </row>
    <row r="113" spans="1:17" x14ac:dyDescent="0.25">
      <c r="A113" s="97" t="str">
        <f>'Data Vlaue (Cr)'!C108</f>
        <v>JSWSTEEL</v>
      </c>
      <c r="B113" s="140">
        <f>VLOOKUP($A113,'Data shares'!$C:$FB,7)</f>
        <v>1082.2</v>
      </c>
      <c r="C113" s="140">
        <f>VLOOKUP($A113,'Data shares'!$C:$FB,3)</f>
        <v>1084</v>
      </c>
      <c r="D113" s="140">
        <f>VLOOKUP($A113,'Data shares'!$C:$FB,4)</f>
        <v>1083.2</v>
      </c>
      <c r="E113" s="50">
        <f t="shared" si="3"/>
        <v>7.3855243722300082E-2</v>
      </c>
      <c r="F113" s="49">
        <f>VLOOKUP($A113,'Data shares'!$C:$FB,98)</f>
        <v>80352000</v>
      </c>
      <c r="G113" s="49">
        <f>VLOOKUP($A113,'Data shares'!$C:$FB,99)</f>
        <v>80272350</v>
      </c>
      <c r="H113" s="50">
        <f t="shared" si="4"/>
        <v>9.9224701905450644E-2</v>
      </c>
      <c r="I113" s="49">
        <f>VLOOKUP($A113,'Data shares'!$C:$FB,66)</f>
        <v>28441800</v>
      </c>
      <c r="J113" s="49">
        <f>VLOOKUP($A113,'Data shares'!$C:$FB,67)</f>
        <v>22331025</v>
      </c>
      <c r="K113" s="50">
        <f t="shared" si="5"/>
        <v>21.485190810708183</v>
      </c>
      <c r="L113" s="50">
        <f>VLOOKUP($A113,'Data shares'!$C:$FB,118)</f>
        <v>0.52</v>
      </c>
      <c r="M113" s="50">
        <f>VLOOKUP($A113,'Data shares'!$C:$FB,119)</f>
        <v>0.51</v>
      </c>
      <c r="N113" s="50">
        <f>VLOOKUP($A113,'Data shares'!$C:$FB,121)*100</f>
        <v>1.96</v>
      </c>
      <c r="O113" s="50">
        <f>VLOOKUP($A113,'Data shares'!$C:$FB,124)</f>
        <v>0.4</v>
      </c>
      <c r="P113" s="50">
        <f>VLOOKUP($A113,'Data shares'!$C:$FB,125)</f>
        <v>0.37</v>
      </c>
      <c r="Q113" s="50">
        <f>VLOOKUP($A113,'Data shares'!$C:$FB,127)*100</f>
        <v>8.1100000000000012</v>
      </c>
    </row>
    <row r="114" spans="1:17" x14ac:dyDescent="0.25">
      <c r="A114" s="97" t="str">
        <f>'Data Vlaue (Cr)'!C109</f>
        <v>JUBLFOOD</v>
      </c>
      <c r="B114" s="140">
        <f>VLOOKUP($A114,'Data shares'!$C:$FB,7)</f>
        <v>558.70000000000005</v>
      </c>
      <c r="C114" s="140">
        <f>VLOOKUP($A114,'Data shares'!$C:$FB,3)</f>
        <v>559</v>
      </c>
      <c r="D114" s="140">
        <f>VLOOKUP($A114,'Data shares'!$C:$FB,4)</f>
        <v>554.70000000000005</v>
      </c>
      <c r="E114" s="50">
        <f t="shared" si="3"/>
        <v>0.77519379844960412</v>
      </c>
      <c r="F114" s="49">
        <f>VLOOKUP($A114,'Data shares'!$C:$FB,98)</f>
        <v>44387500</v>
      </c>
      <c r="G114" s="49">
        <f>VLOOKUP($A114,'Data shares'!$C:$FB,99)</f>
        <v>44898750</v>
      </c>
      <c r="H114" s="50">
        <f t="shared" si="4"/>
        <v>-1.1386731256438096</v>
      </c>
      <c r="I114" s="49">
        <f>VLOOKUP($A114,'Data shares'!$C:$FB,66)</f>
        <v>19052500</v>
      </c>
      <c r="J114" s="49">
        <f>VLOOKUP($A114,'Data shares'!$C:$FB,67)</f>
        <v>27065000</v>
      </c>
      <c r="K114" s="50">
        <f t="shared" si="5"/>
        <v>-42.054848445085945</v>
      </c>
      <c r="L114" s="50">
        <f>VLOOKUP($A114,'Data shares'!$C:$FB,118)</f>
        <v>0.6</v>
      </c>
      <c r="M114" s="50">
        <f>VLOOKUP($A114,'Data shares'!$C:$FB,119)</f>
        <v>0.56000000000000005</v>
      </c>
      <c r="N114" s="50">
        <f>VLOOKUP($A114,'Data shares'!$C:$FB,121)*100</f>
        <v>7.1400000000000006</v>
      </c>
      <c r="O114" s="50">
        <f>VLOOKUP($A114,'Data shares'!$C:$FB,124)</f>
        <v>0.55000000000000004</v>
      </c>
      <c r="P114" s="50">
        <f>VLOOKUP($A114,'Data shares'!$C:$FB,125)</f>
        <v>0.63</v>
      </c>
      <c r="Q114" s="50">
        <f>VLOOKUP($A114,'Data shares'!$C:$FB,127)*100</f>
        <v>-12.7</v>
      </c>
    </row>
    <row r="115" spans="1:17" x14ac:dyDescent="0.25">
      <c r="A115" s="97" t="str">
        <f>'Data Vlaue (Cr)'!C110</f>
        <v>KALYANKJIL</v>
      </c>
      <c r="B115" s="140">
        <f>VLOOKUP($A115,'Data shares'!$C:$FB,7)</f>
        <v>470.85</v>
      </c>
      <c r="C115" s="140">
        <f>VLOOKUP($A115,'Data shares'!$C:$FB,3)</f>
        <v>471.9</v>
      </c>
      <c r="D115" s="140">
        <f>VLOOKUP($A115,'Data shares'!$C:$FB,4)</f>
        <v>475.3</v>
      </c>
      <c r="E115" s="50">
        <f t="shared" si="3"/>
        <v>-0.71533768146434551</v>
      </c>
      <c r="F115" s="49">
        <f>VLOOKUP($A115,'Data shares'!$C:$FB,98)</f>
        <v>52312175</v>
      </c>
      <c r="G115" s="49">
        <f>VLOOKUP($A115,'Data shares'!$C:$FB,99)</f>
        <v>51778725</v>
      </c>
      <c r="H115" s="50">
        <f t="shared" si="4"/>
        <v>1.030249392969796</v>
      </c>
      <c r="I115" s="49">
        <f>VLOOKUP($A115,'Data shares'!$C:$FB,66)</f>
        <v>13120050</v>
      </c>
      <c r="J115" s="49">
        <f>VLOOKUP($A115,'Data shares'!$C:$FB,67)</f>
        <v>19448600</v>
      </c>
      <c r="K115" s="50">
        <f t="shared" si="5"/>
        <v>-48.235715565108364</v>
      </c>
      <c r="L115" s="50">
        <f>VLOOKUP($A115,'Data shares'!$C:$FB,118)</f>
        <v>0.55000000000000004</v>
      </c>
      <c r="M115" s="50">
        <f>VLOOKUP($A115,'Data shares'!$C:$FB,119)</f>
        <v>0.55000000000000004</v>
      </c>
      <c r="N115" s="50">
        <f>VLOOKUP($A115,'Data shares'!$C:$FB,121)*100</f>
        <v>0</v>
      </c>
      <c r="O115" s="50">
        <f>VLOOKUP($A115,'Data shares'!$C:$FB,124)</f>
        <v>0.3</v>
      </c>
      <c r="P115" s="50">
        <f>VLOOKUP($A115,'Data shares'!$C:$FB,125)</f>
        <v>0.55000000000000004</v>
      </c>
      <c r="Q115" s="50">
        <f>VLOOKUP($A115,'Data shares'!$C:$FB,127)*100</f>
        <v>-45.45</v>
      </c>
    </row>
    <row r="116" spans="1:17" x14ac:dyDescent="0.25">
      <c r="A116" s="97" t="str">
        <f>'Data Vlaue (Cr)'!C111</f>
        <v>KAYNES</v>
      </c>
      <c r="B116" s="140">
        <f>VLOOKUP($A116,'Data shares'!$C:$FB,7)</f>
        <v>4046.5</v>
      </c>
      <c r="C116" s="140">
        <f>VLOOKUP($A116,'Data shares'!$C:$FB,3)</f>
        <v>4048</v>
      </c>
      <c r="D116" s="140">
        <f>VLOOKUP($A116,'Data shares'!$C:$FB,4)</f>
        <v>4098.5</v>
      </c>
      <c r="E116" s="50">
        <f t="shared" si="3"/>
        <v>-1.2321581066243747</v>
      </c>
      <c r="F116" s="49">
        <f>VLOOKUP($A116,'Data shares'!$C:$FB,98)</f>
        <v>15138700</v>
      </c>
      <c r="G116" s="49">
        <f>VLOOKUP($A116,'Data shares'!$C:$FB,99)</f>
        <v>15503000</v>
      </c>
      <c r="H116" s="50">
        <f t="shared" si="4"/>
        <v>-2.3498677675288655</v>
      </c>
      <c r="I116" s="49">
        <f>VLOOKUP($A116,'Data shares'!$C:$FB,66)</f>
        <v>17476600</v>
      </c>
      <c r="J116" s="49">
        <f>VLOOKUP($A116,'Data shares'!$C:$FB,67)</f>
        <v>16644400</v>
      </c>
      <c r="K116" s="50">
        <f t="shared" si="5"/>
        <v>4.7617957726331204</v>
      </c>
      <c r="L116" s="50">
        <f>VLOOKUP($A116,'Data shares'!$C:$FB,118)</f>
        <v>0.39</v>
      </c>
      <c r="M116" s="50">
        <f>VLOOKUP($A116,'Data shares'!$C:$FB,119)</f>
        <v>0.4</v>
      </c>
      <c r="N116" s="50">
        <f>VLOOKUP($A116,'Data shares'!$C:$FB,121)*100</f>
        <v>-2.5</v>
      </c>
      <c r="O116" s="50">
        <f>VLOOKUP($A116,'Data shares'!$C:$FB,124)</f>
        <v>0.51</v>
      </c>
      <c r="P116" s="50">
        <f>VLOOKUP($A116,'Data shares'!$C:$FB,125)</f>
        <v>0.5</v>
      </c>
      <c r="Q116" s="50">
        <f>VLOOKUP($A116,'Data shares'!$C:$FB,127)*100</f>
        <v>2</v>
      </c>
    </row>
    <row r="117" spans="1:17" x14ac:dyDescent="0.25">
      <c r="A117" s="97" t="str">
        <f>'Data Vlaue (Cr)'!C112</f>
        <v>KEI</v>
      </c>
      <c r="B117" s="140">
        <f>VLOOKUP($A117,'Data shares'!$C:$FB,7)</f>
        <v>4086.8</v>
      </c>
      <c r="C117" s="140">
        <f>VLOOKUP($A117,'Data shares'!$C:$FB,3)</f>
        <v>4103.5</v>
      </c>
      <c r="D117" s="140">
        <f>VLOOKUP($A117,'Data shares'!$C:$FB,4)</f>
        <v>4119.8999999999996</v>
      </c>
      <c r="E117" s="50">
        <f t="shared" si="3"/>
        <v>-0.39806791426975502</v>
      </c>
      <c r="F117" s="49">
        <f>VLOOKUP($A117,'Data shares'!$C:$FB,98)</f>
        <v>2308075</v>
      </c>
      <c r="G117" s="49">
        <f>VLOOKUP($A117,'Data shares'!$C:$FB,99)</f>
        <v>2301425</v>
      </c>
      <c r="H117" s="50">
        <f t="shared" si="4"/>
        <v>0.28895141053912249</v>
      </c>
      <c r="I117" s="49">
        <f>VLOOKUP($A117,'Data shares'!$C:$FB,66)</f>
        <v>1351875</v>
      </c>
      <c r="J117" s="49">
        <f>VLOOKUP($A117,'Data shares'!$C:$FB,67)</f>
        <v>2246825</v>
      </c>
      <c r="K117" s="50">
        <f t="shared" si="5"/>
        <v>-66.200647249190936</v>
      </c>
      <c r="L117" s="50">
        <f>VLOOKUP($A117,'Data shares'!$C:$FB,118)</f>
        <v>0.7</v>
      </c>
      <c r="M117" s="50">
        <f>VLOOKUP($A117,'Data shares'!$C:$FB,119)</f>
        <v>0.67</v>
      </c>
      <c r="N117" s="50">
        <f>VLOOKUP($A117,'Data shares'!$C:$FB,121)*100</f>
        <v>4.4799999999999995</v>
      </c>
      <c r="O117" s="50">
        <f>VLOOKUP($A117,'Data shares'!$C:$FB,124)</f>
        <v>0.9</v>
      </c>
      <c r="P117" s="50">
        <f>VLOOKUP($A117,'Data shares'!$C:$FB,125)</f>
        <v>1.67</v>
      </c>
      <c r="Q117" s="50">
        <f>VLOOKUP($A117,'Data shares'!$C:$FB,127)*100</f>
        <v>-46.11</v>
      </c>
    </row>
    <row r="118" spans="1:17" x14ac:dyDescent="0.25">
      <c r="A118" s="97" t="str">
        <f>'Data Vlaue (Cr)'!C113</f>
        <v>KFINTECH</v>
      </c>
      <c r="B118" s="140">
        <f>VLOOKUP($A118,'Data shares'!$C:$FB,7)</f>
        <v>1069</v>
      </c>
      <c r="C118" s="140">
        <f>VLOOKUP($A118,'Data shares'!$C:$FB,3)</f>
        <v>1073.0999999999999</v>
      </c>
      <c r="D118" s="140">
        <f>VLOOKUP($A118,'Data shares'!$C:$FB,4)</f>
        <v>1031.4000000000001</v>
      </c>
      <c r="E118" s="50">
        <f t="shared" si="3"/>
        <v>4.0430482838859625</v>
      </c>
      <c r="F118" s="49">
        <f>VLOOKUP($A118,'Data shares'!$C:$FB,98)</f>
        <v>7960000</v>
      </c>
      <c r="G118" s="49">
        <f>VLOOKUP($A118,'Data shares'!$C:$FB,99)</f>
        <v>8595300</v>
      </c>
      <c r="H118" s="50">
        <f t="shared" si="4"/>
        <v>-7.3912487056879916</v>
      </c>
      <c r="I118" s="49">
        <f>VLOOKUP($A118,'Data shares'!$C:$FB,66)</f>
        <v>9537750</v>
      </c>
      <c r="J118" s="49">
        <f>VLOOKUP($A118,'Data shares'!$C:$FB,67)</f>
        <v>2422800</v>
      </c>
      <c r="K118" s="50">
        <f t="shared" si="5"/>
        <v>74.59778249587167</v>
      </c>
      <c r="L118" s="50">
        <f>VLOOKUP($A118,'Data shares'!$C:$FB,118)</f>
        <v>0.77</v>
      </c>
      <c r="M118" s="50">
        <f>VLOOKUP($A118,'Data shares'!$C:$FB,119)</f>
        <v>0.64</v>
      </c>
      <c r="N118" s="50">
        <f>VLOOKUP($A118,'Data shares'!$C:$FB,121)*100</f>
        <v>20.309999999999999</v>
      </c>
      <c r="O118" s="50">
        <f>VLOOKUP($A118,'Data shares'!$C:$FB,124)</f>
        <v>0.37</v>
      </c>
      <c r="P118" s="50">
        <f>VLOOKUP($A118,'Data shares'!$C:$FB,125)</f>
        <v>0.47</v>
      </c>
      <c r="Q118" s="50">
        <f>VLOOKUP($A118,'Data shares'!$C:$FB,127)*100</f>
        <v>-21.279999999999998</v>
      </c>
    </row>
    <row r="119" spans="1:17" x14ac:dyDescent="0.25">
      <c r="A119" s="97" t="str">
        <f>'Data Vlaue (Cr)'!C114</f>
        <v>KOTAKBANK</v>
      </c>
      <c r="B119" s="140">
        <f>VLOOKUP($A119,'Data shares'!$C:$FB,7)</f>
        <v>2164.6</v>
      </c>
      <c r="C119" s="140">
        <f>VLOOKUP($A119,'Data shares'!$C:$FB,3)</f>
        <v>2170.6</v>
      </c>
      <c r="D119" s="140">
        <f>VLOOKUP($A119,'Data shares'!$C:$FB,4)</f>
        <v>2176.6</v>
      </c>
      <c r="E119" s="50">
        <f t="shared" si="3"/>
        <v>-0.27565928512358728</v>
      </c>
      <c r="F119" s="49">
        <f>VLOOKUP($A119,'Data shares'!$C:$FB,98)</f>
        <v>57247600</v>
      </c>
      <c r="G119" s="49">
        <f>VLOOKUP($A119,'Data shares'!$C:$FB,99)</f>
        <v>57025600</v>
      </c>
      <c r="H119" s="50">
        <f t="shared" si="4"/>
        <v>0.38929884122218794</v>
      </c>
      <c r="I119" s="49">
        <f>VLOOKUP($A119,'Data shares'!$C:$FB,66)</f>
        <v>17344000</v>
      </c>
      <c r="J119" s="49">
        <f>VLOOKUP($A119,'Data shares'!$C:$FB,67)</f>
        <v>16645200</v>
      </c>
      <c r="K119" s="50">
        <f t="shared" si="5"/>
        <v>4.0290590405904059</v>
      </c>
      <c r="L119" s="50">
        <f>VLOOKUP($A119,'Data shares'!$C:$FB,118)</f>
        <v>0.84</v>
      </c>
      <c r="M119" s="50">
        <f>VLOOKUP($A119,'Data shares'!$C:$FB,119)</f>
        <v>0.85</v>
      </c>
      <c r="N119" s="50">
        <f>VLOOKUP($A119,'Data shares'!$C:$FB,121)*100</f>
        <v>-1.18</v>
      </c>
      <c r="O119" s="50">
        <f>VLOOKUP($A119,'Data shares'!$C:$FB,124)</f>
        <v>0.5</v>
      </c>
      <c r="P119" s="50">
        <f>VLOOKUP($A119,'Data shares'!$C:$FB,125)</f>
        <v>0.66</v>
      </c>
      <c r="Q119" s="50">
        <f>VLOOKUP($A119,'Data shares'!$C:$FB,127)*100</f>
        <v>-24.240000000000002</v>
      </c>
    </row>
    <row r="120" spans="1:17" x14ac:dyDescent="0.25">
      <c r="A120" s="97" t="str">
        <f>'Data Vlaue (Cr)'!C115</f>
        <v>KPITTECH</v>
      </c>
      <c r="B120" s="140">
        <f>VLOOKUP($A120,'Data shares'!$C:$FB,7)</f>
        <v>1160.8</v>
      </c>
      <c r="C120" s="140">
        <f>VLOOKUP($A120,'Data shares'!$C:$FB,3)</f>
        <v>1164.5999999999999</v>
      </c>
      <c r="D120" s="140">
        <f>VLOOKUP($A120,'Data shares'!$C:$FB,4)</f>
        <v>1173.4000000000001</v>
      </c>
      <c r="E120" s="50">
        <f t="shared" si="3"/>
        <v>-0.74995738878474361</v>
      </c>
      <c r="F120" s="49">
        <f>VLOOKUP($A120,'Data shares'!$C:$FB,98)</f>
        <v>8216050</v>
      </c>
      <c r="G120" s="49">
        <f>VLOOKUP($A120,'Data shares'!$C:$FB,99)</f>
        <v>8094650</v>
      </c>
      <c r="H120" s="50">
        <f t="shared" si="4"/>
        <v>1.4997560116867312</v>
      </c>
      <c r="I120" s="49">
        <f>VLOOKUP($A120,'Data shares'!$C:$FB,66)</f>
        <v>3902800</v>
      </c>
      <c r="J120" s="49">
        <f>VLOOKUP($A120,'Data shares'!$C:$FB,67)</f>
        <v>2969200</v>
      </c>
      <c r="K120" s="50">
        <f t="shared" si="5"/>
        <v>23.921287280926514</v>
      </c>
      <c r="L120" s="50">
        <f>VLOOKUP($A120,'Data shares'!$C:$FB,118)</f>
        <v>0.56999999999999995</v>
      </c>
      <c r="M120" s="50">
        <f>VLOOKUP($A120,'Data shares'!$C:$FB,119)</f>
        <v>0.59</v>
      </c>
      <c r="N120" s="50">
        <f>VLOOKUP($A120,'Data shares'!$C:$FB,121)*100</f>
        <v>-3.39</v>
      </c>
      <c r="O120" s="50">
        <f>VLOOKUP($A120,'Data shares'!$C:$FB,124)</f>
        <v>0.33</v>
      </c>
      <c r="P120" s="50">
        <f>VLOOKUP($A120,'Data shares'!$C:$FB,125)</f>
        <v>0.66</v>
      </c>
      <c r="Q120" s="50">
        <f>VLOOKUP($A120,'Data shares'!$C:$FB,127)*100</f>
        <v>-50</v>
      </c>
    </row>
    <row r="121" spans="1:17" x14ac:dyDescent="0.25">
      <c r="A121" s="97" t="str">
        <f>'Data Vlaue (Cr)'!C116</f>
        <v>LAURUSLABS</v>
      </c>
      <c r="B121" s="140">
        <f>VLOOKUP($A121,'Data shares'!$C:$FB,7)</f>
        <v>1015.5</v>
      </c>
      <c r="C121" s="140">
        <f>VLOOKUP($A121,'Data shares'!$C:$FB,3)</f>
        <v>1018.9</v>
      </c>
      <c r="D121" s="140">
        <f>VLOOKUP($A121,'Data shares'!$C:$FB,4)</f>
        <v>1010.6</v>
      </c>
      <c r="E121" s="50">
        <f t="shared" si="3"/>
        <v>0.82129428062536658</v>
      </c>
      <c r="F121" s="49">
        <f>VLOOKUP($A121,'Data shares'!$C:$FB,98)</f>
        <v>29672650</v>
      </c>
      <c r="G121" s="49">
        <f>VLOOKUP($A121,'Data shares'!$C:$FB,99)</f>
        <v>30004150</v>
      </c>
      <c r="H121" s="50">
        <f t="shared" si="4"/>
        <v>-1.1048471628091447</v>
      </c>
      <c r="I121" s="49">
        <f>VLOOKUP($A121,'Data shares'!$C:$FB,66)</f>
        <v>15785350</v>
      </c>
      <c r="J121" s="49">
        <f>VLOOKUP($A121,'Data shares'!$C:$FB,67)</f>
        <v>13636550</v>
      </c>
      <c r="K121" s="50">
        <f t="shared" si="5"/>
        <v>13.612621829734534</v>
      </c>
      <c r="L121" s="50">
        <f>VLOOKUP($A121,'Data shares'!$C:$FB,118)</f>
        <v>0.56999999999999995</v>
      </c>
      <c r="M121" s="50">
        <f>VLOOKUP($A121,'Data shares'!$C:$FB,119)</f>
        <v>0.55000000000000004</v>
      </c>
      <c r="N121" s="50">
        <f>VLOOKUP($A121,'Data shares'!$C:$FB,121)*100</f>
        <v>3.64</v>
      </c>
      <c r="O121" s="50">
        <f>VLOOKUP($A121,'Data shares'!$C:$FB,124)</f>
        <v>0.47</v>
      </c>
      <c r="P121" s="50">
        <f>VLOOKUP($A121,'Data shares'!$C:$FB,125)</f>
        <v>0.38</v>
      </c>
      <c r="Q121" s="50">
        <f>VLOOKUP($A121,'Data shares'!$C:$FB,127)*100</f>
        <v>23.68</v>
      </c>
    </row>
    <row r="122" spans="1:17" x14ac:dyDescent="0.25">
      <c r="A122" s="97" t="str">
        <f>'Data Vlaue (Cr)'!C117</f>
        <v>LICHSGFIN</v>
      </c>
      <c r="B122" s="140">
        <f>VLOOKUP($A122,'Data shares'!$C:$FB,7)</f>
        <v>528.1</v>
      </c>
      <c r="C122" s="140">
        <f>VLOOKUP($A122,'Data shares'!$C:$FB,3)</f>
        <v>528.35</v>
      </c>
      <c r="D122" s="140">
        <f>VLOOKUP($A122,'Data shares'!$C:$FB,4)</f>
        <v>524.75</v>
      </c>
      <c r="E122" s="50">
        <f t="shared" si="3"/>
        <v>0.68604097189138113</v>
      </c>
      <c r="F122" s="49">
        <f>VLOOKUP($A122,'Data shares'!$C:$FB,98)</f>
        <v>54835000</v>
      </c>
      <c r="G122" s="49">
        <f>VLOOKUP($A122,'Data shares'!$C:$FB,99)</f>
        <v>54515000</v>
      </c>
      <c r="H122" s="50">
        <f t="shared" si="4"/>
        <v>0.58699440520957535</v>
      </c>
      <c r="I122" s="49">
        <f>VLOOKUP($A122,'Data shares'!$C:$FB,66)</f>
        <v>11140000</v>
      </c>
      <c r="J122" s="49">
        <f>VLOOKUP($A122,'Data shares'!$C:$FB,67)</f>
        <v>9153000</v>
      </c>
      <c r="K122" s="50">
        <f t="shared" si="5"/>
        <v>17.836624775583481</v>
      </c>
      <c r="L122" s="50">
        <f>VLOOKUP($A122,'Data shares'!$C:$FB,118)</f>
        <v>0.77</v>
      </c>
      <c r="M122" s="50">
        <f>VLOOKUP($A122,'Data shares'!$C:$FB,119)</f>
        <v>0.75</v>
      </c>
      <c r="N122" s="50">
        <f>VLOOKUP($A122,'Data shares'!$C:$FB,121)*100</f>
        <v>2.67</v>
      </c>
      <c r="O122" s="50">
        <f>VLOOKUP($A122,'Data shares'!$C:$FB,124)</f>
        <v>0.34</v>
      </c>
      <c r="P122" s="50">
        <f>VLOOKUP($A122,'Data shares'!$C:$FB,125)</f>
        <v>0.32</v>
      </c>
      <c r="Q122" s="50">
        <f>VLOOKUP($A122,'Data shares'!$C:$FB,127)*100</f>
        <v>6.25</v>
      </c>
    </row>
    <row r="123" spans="1:17" x14ac:dyDescent="0.25">
      <c r="A123" s="97" t="str">
        <f>'Data Vlaue (Cr)'!C118</f>
        <v>LICI</v>
      </c>
      <c r="B123" s="140">
        <f>VLOOKUP($A123,'Data shares'!$C:$FB,7)</f>
        <v>847.4</v>
      </c>
      <c r="C123" s="140">
        <f>VLOOKUP($A123,'Data shares'!$C:$FB,3)</f>
        <v>848.05</v>
      </c>
      <c r="D123" s="140">
        <f>VLOOKUP($A123,'Data shares'!$C:$FB,4)</f>
        <v>847.1</v>
      </c>
      <c r="E123" s="50">
        <f t="shared" si="3"/>
        <v>0.11214732617163639</v>
      </c>
      <c r="F123" s="49">
        <f>VLOOKUP($A123,'Data shares'!$C:$FB,98)</f>
        <v>26332600</v>
      </c>
      <c r="G123" s="49">
        <f>VLOOKUP($A123,'Data shares'!$C:$FB,99)</f>
        <v>25594100</v>
      </c>
      <c r="H123" s="50">
        <f t="shared" si="4"/>
        <v>2.8854306265897218</v>
      </c>
      <c r="I123" s="49">
        <f>VLOOKUP($A123,'Data shares'!$C:$FB,66)</f>
        <v>18094300</v>
      </c>
      <c r="J123" s="49">
        <f>VLOOKUP($A123,'Data shares'!$C:$FB,67)</f>
        <v>8952300</v>
      </c>
      <c r="K123" s="50">
        <f t="shared" si="5"/>
        <v>50.524198228171301</v>
      </c>
      <c r="L123" s="50">
        <f>VLOOKUP($A123,'Data shares'!$C:$FB,118)</f>
        <v>0.49</v>
      </c>
      <c r="M123" s="50">
        <f>VLOOKUP($A123,'Data shares'!$C:$FB,119)</f>
        <v>0.48</v>
      </c>
      <c r="N123" s="50">
        <f>VLOOKUP($A123,'Data shares'!$C:$FB,121)*100</f>
        <v>2.08</v>
      </c>
      <c r="O123" s="50">
        <f>VLOOKUP($A123,'Data shares'!$C:$FB,124)</f>
        <v>0.56000000000000005</v>
      </c>
      <c r="P123" s="50">
        <f>VLOOKUP($A123,'Data shares'!$C:$FB,125)</f>
        <v>0.47</v>
      </c>
      <c r="Q123" s="50">
        <f>VLOOKUP($A123,'Data shares'!$C:$FB,127)*100</f>
        <v>19.149999999999999</v>
      </c>
    </row>
    <row r="124" spans="1:17" x14ac:dyDescent="0.25">
      <c r="A124" s="97" t="str">
        <f>'Data Vlaue (Cr)'!C119</f>
        <v>LODHA</v>
      </c>
      <c r="B124" s="140">
        <f>VLOOKUP($A124,'Data shares'!$C:$FB,7)</f>
        <v>1069.0999999999999</v>
      </c>
      <c r="C124" s="140">
        <f>VLOOKUP($A124,'Data shares'!$C:$FB,3)</f>
        <v>1071.3</v>
      </c>
      <c r="D124" s="140">
        <f>VLOOKUP($A124,'Data shares'!$C:$FB,4)</f>
        <v>1064.7</v>
      </c>
      <c r="E124" s="50">
        <f t="shared" si="3"/>
        <v>0.61989292758522674</v>
      </c>
      <c r="F124" s="49">
        <f>VLOOKUP($A124,'Data shares'!$C:$FB,98)</f>
        <v>20659950</v>
      </c>
      <c r="G124" s="49">
        <f>VLOOKUP($A124,'Data shares'!$C:$FB,99)</f>
        <v>21223800</v>
      </c>
      <c r="H124" s="50">
        <f t="shared" si="4"/>
        <v>-2.6566873038758376</v>
      </c>
      <c r="I124" s="49">
        <f>VLOOKUP($A124,'Data shares'!$C:$FB,66)</f>
        <v>7312500</v>
      </c>
      <c r="J124" s="49">
        <f>VLOOKUP($A124,'Data shares'!$C:$FB,67)</f>
        <v>11263050</v>
      </c>
      <c r="K124" s="50">
        <f t="shared" si="5"/>
        <v>-54.02461538461538</v>
      </c>
      <c r="L124" s="50">
        <f>VLOOKUP($A124,'Data shares'!$C:$FB,118)</f>
        <v>0.47</v>
      </c>
      <c r="M124" s="50">
        <f>VLOOKUP($A124,'Data shares'!$C:$FB,119)</f>
        <v>0.4</v>
      </c>
      <c r="N124" s="50">
        <f>VLOOKUP($A124,'Data shares'!$C:$FB,121)*100</f>
        <v>17.5</v>
      </c>
      <c r="O124" s="50">
        <f>VLOOKUP($A124,'Data shares'!$C:$FB,124)</f>
        <v>0.35</v>
      </c>
      <c r="P124" s="50">
        <f>VLOOKUP($A124,'Data shares'!$C:$FB,125)</f>
        <v>0.33</v>
      </c>
      <c r="Q124" s="50">
        <f>VLOOKUP($A124,'Data shares'!$C:$FB,127)*100</f>
        <v>6.0600000000000005</v>
      </c>
    </row>
    <row r="125" spans="1:17" x14ac:dyDescent="0.25">
      <c r="A125" s="97" t="str">
        <f>'Data Vlaue (Cr)'!C120</f>
        <v>LT</v>
      </c>
      <c r="B125" s="140">
        <f>VLOOKUP($A125,'Data shares'!$C:$FB,7)</f>
        <v>4031.1</v>
      </c>
      <c r="C125" s="140">
        <f>VLOOKUP($A125,'Data shares'!$C:$FB,3)</f>
        <v>4040.2</v>
      </c>
      <c r="D125" s="140">
        <f>VLOOKUP($A125,'Data shares'!$C:$FB,4)</f>
        <v>4068.7</v>
      </c>
      <c r="E125" s="50">
        <f t="shared" si="3"/>
        <v>-0.70046943741244139</v>
      </c>
      <c r="F125" s="49">
        <f>VLOOKUP($A125,'Data shares'!$C:$FB,98)</f>
        <v>22728300</v>
      </c>
      <c r="G125" s="49">
        <f>VLOOKUP($A125,'Data shares'!$C:$FB,99)</f>
        <v>22598275</v>
      </c>
      <c r="H125" s="50">
        <f t="shared" si="4"/>
        <v>0.57537577536338502</v>
      </c>
      <c r="I125" s="49">
        <f>VLOOKUP($A125,'Data shares'!$C:$FB,66)</f>
        <v>9133600</v>
      </c>
      <c r="J125" s="49">
        <f>VLOOKUP($A125,'Data shares'!$C:$FB,67)</f>
        <v>6798400</v>
      </c>
      <c r="K125" s="50">
        <f t="shared" si="5"/>
        <v>25.567136725935008</v>
      </c>
      <c r="L125" s="50">
        <f>VLOOKUP($A125,'Data shares'!$C:$FB,118)</f>
        <v>0.56000000000000005</v>
      </c>
      <c r="M125" s="50">
        <f>VLOOKUP($A125,'Data shares'!$C:$FB,119)</f>
        <v>0.56999999999999995</v>
      </c>
      <c r="N125" s="50">
        <f>VLOOKUP($A125,'Data shares'!$C:$FB,121)*100</f>
        <v>-1.7500000000000002</v>
      </c>
      <c r="O125" s="50">
        <f>VLOOKUP($A125,'Data shares'!$C:$FB,124)</f>
        <v>0.56000000000000005</v>
      </c>
      <c r="P125" s="50">
        <f>VLOOKUP($A125,'Data shares'!$C:$FB,125)</f>
        <v>0.68</v>
      </c>
      <c r="Q125" s="50">
        <f>VLOOKUP($A125,'Data shares'!$C:$FB,127)*100</f>
        <v>-17.649999999999999</v>
      </c>
    </row>
    <row r="126" spans="1:17" x14ac:dyDescent="0.25">
      <c r="A126" s="97" t="str">
        <f>'Data Vlaue (Cr)'!C121</f>
        <v>LTF</v>
      </c>
      <c r="B126" s="140">
        <f>VLOOKUP($A126,'Data shares'!$C:$FB,7)</f>
        <v>299.85000000000002</v>
      </c>
      <c r="C126" s="140">
        <f>VLOOKUP($A126,'Data shares'!$C:$FB,3)</f>
        <v>300.8</v>
      </c>
      <c r="D126" s="140">
        <f>VLOOKUP($A126,'Data shares'!$C:$FB,4)</f>
        <v>303.05</v>
      </c>
      <c r="E126" s="50">
        <f t="shared" si="3"/>
        <v>-0.74245174063685859</v>
      </c>
      <c r="F126" s="49">
        <f>VLOOKUP($A126,'Data shares'!$C:$FB,98)</f>
        <v>102761676</v>
      </c>
      <c r="G126" s="49">
        <f>VLOOKUP($A126,'Data shares'!$C:$FB,99)</f>
        <v>102118206</v>
      </c>
      <c r="H126" s="50">
        <f t="shared" si="4"/>
        <v>0.63012270309566543</v>
      </c>
      <c r="I126" s="49">
        <f>VLOOKUP($A126,'Data shares'!$C:$FB,66)</f>
        <v>75314098</v>
      </c>
      <c r="J126" s="49">
        <f>VLOOKUP($A126,'Data shares'!$C:$FB,67)</f>
        <v>65127352</v>
      </c>
      <c r="K126" s="50">
        <f t="shared" si="5"/>
        <v>13.525682801113811</v>
      </c>
      <c r="L126" s="50">
        <f>VLOOKUP($A126,'Data shares'!$C:$FB,118)</f>
        <v>0.64</v>
      </c>
      <c r="M126" s="50">
        <f>VLOOKUP($A126,'Data shares'!$C:$FB,119)</f>
        <v>0.64</v>
      </c>
      <c r="N126" s="50">
        <f>VLOOKUP($A126,'Data shares'!$C:$FB,121)*100</f>
        <v>0</v>
      </c>
      <c r="O126" s="50">
        <f>VLOOKUP($A126,'Data shares'!$C:$FB,124)</f>
        <v>0.61</v>
      </c>
      <c r="P126" s="50">
        <f>VLOOKUP($A126,'Data shares'!$C:$FB,125)</f>
        <v>0.47</v>
      </c>
      <c r="Q126" s="50">
        <f>VLOOKUP($A126,'Data shares'!$C:$FB,127)*100</f>
        <v>29.79</v>
      </c>
    </row>
    <row r="127" spans="1:17" x14ac:dyDescent="0.25">
      <c r="A127" s="97" t="str">
        <f>'Data Vlaue (Cr)'!C122</f>
        <v>LTIM</v>
      </c>
      <c r="B127" s="140">
        <f>VLOOKUP($A127,'Data shares'!$C:$FB,7)</f>
        <v>6245</v>
      </c>
      <c r="C127" s="140">
        <f>VLOOKUP($A127,'Data shares'!$C:$FB,3)</f>
        <v>6271.5</v>
      </c>
      <c r="D127" s="140">
        <f>VLOOKUP($A127,'Data shares'!$C:$FB,4)</f>
        <v>6270.5</v>
      </c>
      <c r="E127" s="50">
        <f t="shared" si="3"/>
        <v>1.5947691571645006E-2</v>
      </c>
      <c r="F127" s="49">
        <f>VLOOKUP($A127,'Data shares'!$C:$FB,98)</f>
        <v>4157550</v>
      </c>
      <c r="G127" s="49">
        <f>VLOOKUP($A127,'Data shares'!$C:$FB,99)</f>
        <v>3959850</v>
      </c>
      <c r="H127" s="50">
        <f t="shared" si="4"/>
        <v>4.9926133565665367</v>
      </c>
      <c r="I127" s="49">
        <f>VLOOKUP($A127,'Data shares'!$C:$FB,66)</f>
        <v>3282150</v>
      </c>
      <c r="J127" s="49">
        <f>VLOOKUP($A127,'Data shares'!$C:$FB,67)</f>
        <v>2610600</v>
      </c>
      <c r="K127" s="50">
        <f t="shared" si="5"/>
        <v>20.460673643800558</v>
      </c>
      <c r="L127" s="50">
        <f>VLOOKUP($A127,'Data shares'!$C:$FB,118)</f>
        <v>0.77</v>
      </c>
      <c r="M127" s="50">
        <f>VLOOKUP($A127,'Data shares'!$C:$FB,119)</f>
        <v>0.79</v>
      </c>
      <c r="N127" s="50">
        <f>VLOOKUP($A127,'Data shares'!$C:$FB,121)*100</f>
        <v>-2.5299999999999998</v>
      </c>
      <c r="O127" s="50">
        <f>VLOOKUP($A127,'Data shares'!$C:$FB,124)</f>
        <v>0.28000000000000003</v>
      </c>
      <c r="P127" s="50">
        <f>VLOOKUP($A127,'Data shares'!$C:$FB,125)</f>
        <v>0.31</v>
      </c>
      <c r="Q127" s="50">
        <f>VLOOKUP($A127,'Data shares'!$C:$FB,127)*100</f>
        <v>-9.68</v>
      </c>
    </row>
    <row r="128" spans="1:17" x14ac:dyDescent="0.25">
      <c r="A128" s="97" t="str">
        <f>'Data Vlaue (Cr)'!C123</f>
        <v>LUPIN</v>
      </c>
      <c r="B128" s="140">
        <f>VLOOKUP($A128,'Data shares'!$C:$FB,7)</f>
        <v>2119.1</v>
      </c>
      <c r="C128" s="140">
        <f>VLOOKUP($A128,'Data shares'!$C:$FB,3)</f>
        <v>2119.3000000000002</v>
      </c>
      <c r="D128" s="140">
        <f>VLOOKUP($A128,'Data shares'!$C:$FB,4)</f>
        <v>2114</v>
      </c>
      <c r="E128" s="50">
        <f t="shared" si="3"/>
        <v>0.25070955534532552</v>
      </c>
      <c r="F128" s="49">
        <f>VLOOKUP($A128,'Data shares'!$C:$FB,98)</f>
        <v>12431675</v>
      </c>
      <c r="G128" s="49">
        <f>VLOOKUP($A128,'Data shares'!$C:$FB,99)</f>
        <v>12523475</v>
      </c>
      <c r="H128" s="50">
        <f t="shared" si="4"/>
        <v>-0.73302338208843787</v>
      </c>
      <c r="I128" s="49">
        <f>VLOOKUP($A128,'Data shares'!$C:$FB,66)</f>
        <v>6707350</v>
      </c>
      <c r="J128" s="49">
        <f>VLOOKUP($A128,'Data shares'!$C:$FB,67)</f>
        <v>9213575</v>
      </c>
      <c r="K128" s="50">
        <f t="shared" si="5"/>
        <v>-37.365352933721965</v>
      </c>
      <c r="L128" s="50">
        <f>VLOOKUP($A128,'Data shares'!$C:$FB,118)</f>
        <v>0.8</v>
      </c>
      <c r="M128" s="50">
        <f>VLOOKUP($A128,'Data shares'!$C:$FB,119)</f>
        <v>0.76</v>
      </c>
      <c r="N128" s="50">
        <f>VLOOKUP($A128,'Data shares'!$C:$FB,121)*100</f>
        <v>5.26</v>
      </c>
      <c r="O128" s="50">
        <f>VLOOKUP($A128,'Data shares'!$C:$FB,124)</f>
        <v>0.41</v>
      </c>
      <c r="P128" s="50">
        <f>VLOOKUP($A128,'Data shares'!$C:$FB,125)</f>
        <v>0.3</v>
      </c>
      <c r="Q128" s="50">
        <f>VLOOKUP($A128,'Data shares'!$C:$FB,127)*100</f>
        <v>36.67</v>
      </c>
    </row>
    <row r="129" spans="1:17" x14ac:dyDescent="0.25">
      <c r="A129" s="97" t="str">
        <f>'Data Vlaue (Cr)'!C124</f>
        <v>M&amp;M</v>
      </c>
      <c r="B129" s="140">
        <f>VLOOKUP($A129,'Data shares'!$C:$FB,7)</f>
        <v>3586.6</v>
      </c>
      <c r="C129" s="140">
        <f>VLOOKUP($A129,'Data shares'!$C:$FB,3)</f>
        <v>3593.1</v>
      </c>
      <c r="D129" s="140">
        <f>VLOOKUP($A129,'Data shares'!$C:$FB,4)</f>
        <v>3617.9</v>
      </c>
      <c r="E129" s="50">
        <f t="shared" si="3"/>
        <v>-0.68548052737776566</v>
      </c>
      <c r="F129" s="49">
        <f>VLOOKUP($A129,'Data shares'!$C:$FB,98)</f>
        <v>29124800</v>
      </c>
      <c r="G129" s="49">
        <f>VLOOKUP($A129,'Data shares'!$C:$FB,99)</f>
        <v>28718400</v>
      </c>
      <c r="H129" s="50">
        <f t="shared" si="4"/>
        <v>1.4151206195331216</v>
      </c>
      <c r="I129" s="49">
        <f>VLOOKUP($A129,'Data shares'!$C:$FB,66)</f>
        <v>18092600</v>
      </c>
      <c r="J129" s="49">
        <f>VLOOKUP($A129,'Data shares'!$C:$FB,67)</f>
        <v>8533200</v>
      </c>
      <c r="K129" s="50">
        <f t="shared" si="5"/>
        <v>52.835966085581951</v>
      </c>
      <c r="L129" s="50">
        <f>VLOOKUP($A129,'Data shares'!$C:$FB,118)</f>
        <v>0.54</v>
      </c>
      <c r="M129" s="50">
        <f>VLOOKUP($A129,'Data shares'!$C:$FB,119)</f>
        <v>0.54</v>
      </c>
      <c r="N129" s="50">
        <f>VLOOKUP($A129,'Data shares'!$C:$FB,121)*100</f>
        <v>0</v>
      </c>
      <c r="O129" s="50">
        <f>VLOOKUP($A129,'Data shares'!$C:$FB,124)</f>
        <v>0.7</v>
      </c>
      <c r="P129" s="50">
        <f>VLOOKUP($A129,'Data shares'!$C:$FB,125)</f>
        <v>0.51</v>
      </c>
      <c r="Q129" s="50">
        <f>VLOOKUP($A129,'Data shares'!$C:$FB,127)*100</f>
        <v>37.25</v>
      </c>
    </row>
    <row r="130" spans="1:17" x14ac:dyDescent="0.25">
      <c r="A130" s="97" t="str">
        <f>'Data Vlaue (Cr)'!C125</f>
        <v>MANAPPURAM</v>
      </c>
      <c r="B130" s="140">
        <f>VLOOKUP($A130,'Data shares'!$C:$FB,7)</f>
        <v>287.05</v>
      </c>
      <c r="C130" s="140">
        <f>VLOOKUP($A130,'Data shares'!$C:$FB,3)</f>
        <v>287.39999999999998</v>
      </c>
      <c r="D130" s="140">
        <f>VLOOKUP($A130,'Data shares'!$C:$FB,4)</f>
        <v>286.5</v>
      </c>
      <c r="E130" s="50">
        <f t="shared" si="3"/>
        <v>0.31413612565444232</v>
      </c>
      <c r="F130" s="49">
        <f>VLOOKUP($A130,'Data shares'!$C:$FB,98)</f>
        <v>70836000</v>
      </c>
      <c r="G130" s="49">
        <f>VLOOKUP($A130,'Data shares'!$C:$FB,99)</f>
        <v>69012000</v>
      </c>
      <c r="H130" s="50">
        <f t="shared" si="4"/>
        <v>2.6430186054599201</v>
      </c>
      <c r="I130" s="49">
        <f>VLOOKUP($A130,'Data shares'!$C:$FB,66)</f>
        <v>63138000</v>
      </c>
      <c r="J130" s="49">
        <f>VLOOKUP($A130,'Data shares'!$C:$FB,67)</f>
        <v>26625000</v>
      </c>
      <c r="K130" s="50">
        <f t="shared" si="5"/>
        <v>57.830466596978049</v>
      </c>
      <c r="L130" s="50">
        <f>VLOOKUP($A130,'Data shares'!$C:$FB,118)</f>
        <v>0.59</v>
      </c>
      <c r="M130" s="50">
        <f>VLOOKUP($A130,'Data shares'!$C:$FB,119)</f>
        <v>0.66</v>
      </c>
      <c r="N130" s="50">
        <f>VLOOKUP($A130,'Data shares'!$C:$FB,121)*100</f>
        <v>-10.61</v>
      </c>
      <c r="O130" s="50">
        <f>VLOOKUP($A130,'Data shares'!$C:$FB,124)</f>
        <v>0.35</v>
      </c>
      <c r="P130" s="50">
        <f>VLOOKUP($A130,'Data shares'!$C:$FB,125)</f>
        <v>0.4</v>
      </c>
      <c r="Q130" s="50">
        <f>VLOOKUP($A130,'Data shares'!$C:$FB,127)*100</f>
        <v>-12.5</v>
      </c>
    </row>
    <row r="131" spans="1:17" x14ac:dyDescent="0.25">
      <c r="A131" s="97" t="str">
        <f>'Data Vlaue (Cr)'!C126</f>
        <v>MANKIND</v>
      </c>
      <c r="B131" s="140">
        <f>VLOOKUP($A131,'Data shares'!$C:$FB,7)</f>
        <v>2142</v>
      </c>
      <c r="C131" s="140">
        <f>VLOOKUP($A131,'Data shares'!$C:$FB,3)</f>
        <v>2147.6999999999998</v>
      </c>
      <c r="D131" s="140">
        <f>VLOOKUP($A131,'Data shares'!$C:$FB,4)</f>
        <v>2117.6</v>
      </c>
      <c r="E131" s="50">
        <f t="shared" si="3"/>
        <v>1.4214204760105738</v>
      </c>
      <c r="F131" s="49">
        <f>VLOOKUP($A131,'Data shares'!$C:$FB,98)</f>
        <v>4274550</v>
      </c>
      <c r="G131" s="49">
        <f>VLOOKUP($A131,'Data shares'!$C:$FB,99)</f>
        <v>4409100</v>
      </c>
      <c r="H131" s="50">
        <f t="shared" si="4"/>
        <v>-3.051643192488263</v>
      </c>
      <c r="I131" s="49">
        <f>VLOOKUP($A131,'Data shares'!$C:$FB,66)</f>
        <v>2174625</v>
      </c>
      <c r="J131" s="49">
        <f>VLOOKUP($A131,'Data shares'!$C:$FB,67)</f>
        <v>1764450</v>
      </c>
      <c r="K131" s="50">
        <f t="shared" si="5"/>
        <v>18.861872736678738</v>
      </c>
      <c r="L131" s="50">
        <f>VLOOKUP($A131,'Data shares'!$C:$FB,118)</f>
        <v>0.53</v>
      </c>
      <c r="M131" s="50">
        <f>VLOOKUP($A131,'Data shares'!$C:$FB,119)</f>
        <v>0.48</v>
      </c>
      <c r="N131" s="50">
        <f>VLOOKUP($A131,'Data shares'!$C:$FB,121)*100</f>
        <v>10.42</v>
      </c>
      <c r="O131" s="50">
        <f>VLOOKUP($A131,'Data shares'!$C:$FB,124)</f>
        <v>0.34</v>
      </c>
      <c r="P131" s="50">
        <f>VLOOKUP($A131,'Data shares'!$C:$FB,125)</f>
        <v>0.48</v>
      </c>
      <c r="Q131" s="50">
        <f>VLOOKUP($A131,'Data shares'!$C:$FB,127)*100</f>
        <v>-29.17</v>
      </c>
    </row>
    <row r="132" spans="1:17" x14ac:dyDescent="0.25">
      <c r="A132" s="97" t="str">
        <f>'Data Vlaue (Cr)'!C127</f>
        <v>MARICO</v>
      </c>
      <c r="B132" s="140">
        <f>VLOOKUP($A132,'Data shares'!$C:$FB,7)</f>
        <v>742.45</v>
      </c>
      <c r="C132" s="140">
        <f>VLOOKUP($A132,'Data shares'!$C:$FB,3)</f>
        <v>742.95</v>
      </c>
      <c r="D132" s="140">
        <f>VLOOKUP($A132,'Data shares'!$C:$FB,4)</f>
        <v>739</v>
      </c>
      <c r="E132" s="50">
        <f t="shared" si="3"/>
        <v>0.5345060893098843</v>
      </c>
      <c r="F132" s="49">
        <f>VLOOKUP($A132,'Data shares'!$C:$FB,98)</f>
        <v>43657200</v>
      </c>
      <c r="G132" s="49">
        <f>VLOOKUP($A132,'Data shares'!$C:$FB,99)</f>
        <v>44415600</v>
      </c>
      <c r="H132" s="50">
        <f t="shared" si="4"/>
        <v>-1.7075081728041497</v>
      </c>
      <c r="I132" s="49">
        <f>VLOOKUP($A132,'Data shares'!$C:$FB,66)</f>
        <v>8433600</v>
      </c>
      <c r="J132" s="49">
        <f>VLOOKUP($A132,'Data shares'!$C:$FB,67)</f>
        <v>7419600</v>
      </c>
      <c r="K132" s="50">
        <f t="shared" si="5"/>
        <v>12.023335230506545</v>
      </c>
      <c r="L132" s="50">
        <f>VLOOKUP($A132,'Data shares'!$C:$FB,118)</f>
        <v>0.65</v>
      </c>
      <c r="M132" s="50">
        <f>VLOOKUP($A132,'Data shares'!$C:$FB,119)</f>
        <v>0.61</v>
      </c>
      <c r="N132" s="50">
        <f>VLOOKUP($A132,'Data shares'!$C:$FB,121)*100</f>
        <v>6.5600000000000005</v>
      </c>
      <c r="O132" s="50">
        <f>VLOOKUP($A132,'Data shares'!$C:$FB,124)</f>
        <v>0.41</v>
      </c>
      <c r="P132" s="50">
        <f>VLOOKUP($A132,'Data shares'!$C:$FB,125)</f>
        <v>0.31</v>
      </c>
      <c r="Q132" s="50">
        <f>VLOOKUP($A132,'Data shares'!$C:$FB,127)*100</f>
        <v>32.26</v>
      </c>
    </row>
    <row r="133" spans="1:17" x14ac:dyDescent="0.25">
      <c r="A133" s="97" t="str">
        <f>'Data Vlaue (Cr)'!C128</f>
        <v>MARUTI</v>
      </c>
      <c r="B133" s="140">
        <f>VLOOKUP($A133,'Data shares'!$C:$FB,7)</f>
        <v>16329</v>
      </c>
      <c r="C133" s="140">
        <f>VLOOKUP($A133,'Data shares'!$C:$FB,3)</f>
        <v>16367</v>
      </c>
      <c r="D133" s="140">
        <f>VLOOKUP($A133,'Data shares'!$C:$FB,4)</f>
        <v>16409</v>
      </c>
      <c r="E133" s="50">
        <f t="shared" si="3"/>
        <v>-0.25595709671521727</v>
      </c>
      <c r="F133" s="49">
        <f>VLOOKUP($A133,'Data shares'!$C:$FB,98)</f>
        <v>5947500</v>
      </c>
      <c r="G133" s="49">
        <f>VLOOKUP($A133,'Data shares'!$C:$FB,99)</f>
        <v>6002100</v>
      </c>
      <c r="H133" s="50">
        <f t="shared" si="4"/>
        <v>-0.90968161143599735</v>
      </c>
      <c r="I133" s="49">
        <f>VLOOKUP($A133,'Data shares'!$C:$FB,66)</f>
        <v>5651100</v>
      </c>
      <c r="J133" s="49">
        <f>VLOOKUP($A133,'Data shares'!$C:$FB,67)</f>
        <v>3743800</v>
      </c>
      <c r="K133" s="50">
        <f t="shared" si="5"/>
        <v>33.750951142255495</v>
      </c>
      <c r="L133" s="50">
        <f>VLOOKUP($A133,'Data shares'!$C:$FB,118)</f>
        <v>0.92</v>
      </c>
      <c r="M133" s="50">
        <f>VLOOKUP($A133,'Data shares'!$C:$FB,119)</f>
        <v>0.95</v>
      </c>
      <c r="N133" s="50">
        <f>VLOOKUP($A133,'Data shares'!$C:$FB,121)*100</f>
        <v>-3.16</v>
      </c>
      <c r="O133" s="50">
        <f>VLOOKUP($A133,'Data shares'!$C:$FB,124)</f>
        <v>1.1000000000000001</v>
      </c>
      <c r="P133" s="50">
        <f>VLOOKUP($A133,'Data shares'!$C:$FB,125)</f>
        <v>0.77</v>
      </c>
      <c r="Q133" s="50">
        <f>VLOOKUP($A133,'Data shares'!$C:$FB,127)*100</f>
        <v>42.86</v>
      </c>
    </row>
    <row r="134" spans="1:17" x14ac:dyDescent="0.25">
      <c r="A134" s="97" t="str">
        <f>'Data Vlaue (Cr)'!C129</f>
        <v>MAXHEALTH</v>
      </c>
      <c r="B134" s="140">
        <f>VLOOKUP($A134,'Data shares'!$C:$FB,7)</f>
        <v>1048.5</v>
      </c>
      <c r="C134" s="140">
        <f>VLOOKUP($A134,'Data shares'!$C:$FB,3)</f>
        <v>1052</v>
      </c>
      <c r="D134" s="140">
        <f>VLOOKUP($A134,'Data shares'!$C:$FB,4)</f>
        <v>1033.8</v>
      </c>
      <c r="E134" s="50">
        <f t="shared" si="3"/>
        <v>1.7604952602050732</v>
      </c>
      <c r="F134" s="49">
        <f>VLOOKUP($A134,'Data shares'!$C:$FB,98)</f>
        <v>30499875</v>
      </c>
      <c r="G134" s="49">
        <f>VLOOKUP($A134,'Data shares'!$C:$FB,99)</f>
        <v>30875250</v>
      </c>
      <c r="H134" s="50">
        <f t="shared" si="4"/>
        <v>-1.2157796293147423</v>
      </c>
      <c r="I134" s="49">
        <f>VLOOKUP($A134,'Data shares'!$C:$FB,66)</f>
        <v>24296475</v>
      </c>
      <c r="J134" s="49">
        <f>VLOOKUP($A134,'Data shares'!$C:$FB,67)</f>
        <v>37061325</v>
      </c>
      <c r="K134" s="50">
        <f t="shared" si="5"/>
        <v>-52.537868147539925</v>
      </c>
      <c r="L134" s="50">
        <f>VLOOKUP($A134,'Data shares'!$C:$FB,118)</f>
        <v>0.57999999999999996</v>
      </c>
      <c r="M134" s="50">
        <f>VLOOKUP($A134,'Data shares'!$C:$FB,119)</f>
        <v>0.53</v>
      </c>
      <c r="N134" s="50">
        <f>VLOOKUP($A134,'Data shares'!$C:$FB,121)*100</f>
        <v>9.43</v>
      </c>
      <c r="O134" s="50">
        <f>VLOOKUP($A134,'Data shares'!$C:$FB,124)</f>
        <v>0.39</v>
      </c>
      <c r="P134" s="50">
        <f>VLOOKUP($A134,'Data shares'!$C:$FB,125)</f>
        <v>1.31</v>
      </c>
      <c r="Q134" s="50">
        <f>VLOOKUP($A134,'Data shares'!$C:$FB,127)*100</f>
        <v>-70.23</v>
      </c>
    </row>
    <row r="135" spans="1:17" x14ac:dyDescent="0.25">
      <c r="A135" s="97" t="str">
        <f>'Data Vlaue (Cr)'!C130</f>
        <v>MAZDOCK</v>
      </c>
      <c r="B135" s="140">
        <f>VLOOKUP($A135,'Data shares'!$C:$FB,7)</f>
        <v>2358</v>
      </c>
      <c r="C135" s="140">
        <f>VLOOKUP($A135,'Data shares'!$C:$FB,3)</f>
        <v>2366.4</v>
      </c>
      <c r="D135" s="140">
        <f>VLOOKUP($A135,'Data shares'!$C:$FB,4)</f>
        <v>2362.6</v>
      </c>
      <c r="E135" s="50">
        <f t="shared" si="3"/>
        <v>0.16083975281470339</v>
      </c>
      <c r="F135" s="49">
        <f>VLOOKUP($A135,'Data shares'!$C:$FB,98)</f>
        <v>10519150</v>
      </c>
      <c r="G135" s="49">
        <f>VLOOKUP($A135,'Data shares'!$C:$FB,99)</f>
        <v>10580050</v>
      </c>
      <c r="H135" s="50">
        <f t="shared" si="4"/>
        <v>-0.57561164644779561</v>
      </c>
      <c r="I135" s="49">
        <f>VLOOKUP($A135,'Data shares'!$C:$FB,66)</f>
        <v>5486425</v>
      </c>
      <c r="J135" s="49">
        <f>VLOOKUP($A135,'Data shares'!$C:$FB,67)</f>
        <v>6462575</v>
      </c>
      <c r="K135" s="50">
        <f t="shared" si="5"/>
        <v>-17.79209594590284</v>
      </c>
      <c r="L135" s="50">
        <f>VLOOKUP($A135,'Data shares'!$C:$FB,118)</f>
        <v>0.45</v>
      </c>
      <c r="M135" s="50">
        <f>VLOOKUP($A135,'Data shares'!$C:$FB,119)</f>
        <v>0.43</v>
      </c>
      <c r="N135" s="50">
        <f>VLOOKUP($A135,'Data shares'!$C:$FB,121)*100</f>
        <v>4.6500000000000004</v>
      </c>
      <c r="O135" s="50">
        <f>VLOOKUP($A135,'Data shares'!$C:$FB,124)</f>
        <v>0.47</v>
      </c>
      <c r="P135" s="50">
        <f>VLOOKUP($A135,'Data shares'!$C:$FB,125)</f>
        <v>0.6</v>
      </c>
      <c r="Q135" s="50">
        <f>VLOOKUP($A135,'Data shares'!$C:$FB,127)*100</f>
        <v>-21.67</v>
      </c>
    </row>
    <row r="136" spans="1:17" x14ac:dyDescent="0.25">
      <c r="A136" s="97" t="str">
        <f>'Data Vlaue (Cr)'!C131</f>
        <v>MCX</v>
      </c>
      <c r="B136" s="140">
        <f>VLOOKUP($A136,'Data shares'!$C:$FB,7)</f>
        <v>10172</v>
      </c>
      <c r="C136" s="140">
        <f>VLOOKUP($A136,'Data shares'!$C:$FB,3)</f>
        <v>10194</v>
      </c>
      <c r="D136" s="140">
        <f>VLOOKUP($A136,'Data shares'!$C:$FB,4)</f>
        <v>10066</v>
      </c>
      <c r="E136" s="50">
        <f t="shared" ref="E136:E172" si="6">(C136-D136)/D136*100</f>
        <v>1.2716073912179615</v>
      </c>
      <c r="F136" s="49">
        <f>VLOOKUP($A136,'Data shares'!$C:$FB,98)</f>
        <v>7756500</v>
      </c>
      <c r="G136" s="49">
        <f>VLOOKUP($A136,'Data shares'!$C:$FB,99)</f>
        <v>8026500</v>
      </c>
      <c r="H136" s="50">
        <f t="shared" ref="H136:H172" si="7">(F136-G136)/G136*100</f>
        <v>-3.3638572229489814</v>
      </c>
      <c r="I136" s="49">
        <f>VLOOKUP($A136,'Data shares'!$C:$FB,66)</f>
        <v>10834875</v>
      </c>
      <c r="J136" s="49">
        <f>VLOOKUP($A136,'Data shares'!$C:$FB,67)</f>
        <v>6345000</v>
      </c>
      <c r="K136" s="50">
        <f t="shared" ref="K136:K172" si="8">(I136-J136)/I136*100</f>
        <v>41.439102896895442</v>
      </c>
      <c r="L136" s="50">
        <f>VLOOKUP($A136,'Data shares'!$C:$FB,118)</f>
        <v>0.67</v>
      </c>
      <c r="M136" s="50">
        <f>VLOOKUP($A136,'Data shares'!$C:$FB,119)</f>
        <v>0.64</v>
      </c>
      <c r="N136" s="50">
        <f>VLOOKUP($A136,'Data shares'!$C:$FB,121)*100</f>
        <v>4.6899999999999995</v>
      </c>
      <c r="O136" s="50">
        <f>VLOOKUP($A136,'Data shares'!$C:$FB,124)</f>
        <v>0.67</v>
      </c>
      <c r="P136" s="50">
        <f>VLOOKUP($A136,'Data shares'!$C:$FB,125)</f>
        <v>0.65</v>
      </c>
      <c r="Q136" s="50">
        <f>VLOOKUP($A136,'Data shares'!$C:$FB,127)*100</f>
        <v>3.08</v>
      </c>
    </row>
    <row r="137" spans="1:17" x14ac:dyDescent="0.25">
      <c r="A137" s="97" t="str">
        <f>'Data Vlaue (Cr)'!C132</f>
        <v>MFSL</v>
      </c>
      <c r="B137" s="140">
        <f>VLOOKUP($A137,'Data shares'!$C:$FB,7)</f>
        <v>1686.6</v>
      </c>
      <c r="C137" s="140">
        <f>VLOOKUP($A137,'Data shares'!$C:$FB,3)</f>
        <v>1688.8</v>
      </c>
      <c r="D137" s="140">
        <f>VLOOKUP($A137,'Data shares'!$C:$FB,4)</f>
        <v>1668.5</v>
      </c>
      <c r="E137" s="50">
        <f t="shared" si="6"/>
        <v>1.2166616721606205</v>
      </c>
      <c r="F137" s="49">
        <f>VLOOKUP($A137,'Data shares'!$C:$FB,98)</f>
        <v>10818400</v>
      </c>
      <c r="G137" s="49">
        <f>VLOOKUP($A137,'Data shares'!$C:$FB,99)</f>
        <v>10808800</v>
      </c>
      <c r="H137" s="50">
        <f t="shared" si="7"/>
        <v>8.8816519872696315E-2</v>
      </c>
      <c r="I137" s="49">
        <f>VLOOKUP($A137,'Data shares'!$C:$FB,66)</f>
        <v>2933600</v>
      </c>
      <c r="J137" s="49">
        <f>VLOOKUP($A137,'Data shares'!$C:$FB,67)</f>
        <v>3749600</v>
      </c>
      <c r="K137" s="50">
        <f t="shared" si="8"/>
        <v>-27.815653122443411</v>
      </c>
      <c r="L137" s="50">
        <f>VLOOKUP($A137,'Data shares'!$C:$FB,118)</f>
        <v>0.55000000000000004</v>
      </c>
      <c r="M137" s="50">
        <f>VLOOKUP($A137,'Data shares'!$C:$FB,119)</f>
        <v>0.53</v>
      </c>
      <c r="N137" s="50">
        <f>VLOOKUP($A137,'Data shares'!$C:$FB,121)*100</f>
        <v>3.7699999999999996</v>
      </c>
      <c r="O137" s="50">
        <f>VLOOKUP($A137,'Data shares'!$C:$FB,124)</f>
        <v>0.5</v>
      </c>
      <c r="P137" s="50">
        <f>VLOOKUP($A137,'Data shares'!$C:$FB,125)</f>
        <v>0.61</v>
      </c>
      <c r="Q137" s="50">
        <f>VLOOKUP($A137,'Data shares'!$C:$FB,127)*100</f>
        <v>-18.029999999999998</v>
      </c>
    </row>
    <row r="138" spans="1:17" x14ac:dyDescent="0.25">
      <c r="A138" s="97" t="str">
        <f>'Data Vlaue (Cr)'!C133</f>
        <v>MIDCPNIFTY</v>
      </c>
      <c r="B138" s="140">
        <f>VLOOKUP($A138,'Data shares'!$C:$FB,7)</f>
        <v>13745.15</v>
      </c>
      <c r="C138" s="140">
        <f>VLOOKUP($A138,'Data shares'!$C:$FB,3)</f>
        <v>13777.4</v>
      </c>
      <c r="D138" s="140">
        <f>VLOOKUP($A138,'Data shares'!$C:$FB,4)</f>
        <v>13686.05</v>
      </c>
      <c r="E138" s="50">
        <f t="shared" si="6"/>
        <v>0.66746796920952622</v>
      </c>
      <c r="F138" s="49">
        <f>VLOOKUP($A138,'Data shares'!$C:$FB,98)</f>
        <v>22409540</v>
      </c>
      <c r="G138" s="49">
        <f>VLOOKUP($A138,'Data shares'!$C:$FB,99)</f>
        <v>22432160</v>
      </c>
      <c r="H138" s="50">
        <f t="shared" si="7"/>
        <v>-0.10083736920564047</v>
      </c>
      <c r="I138" s="49">
        <f>VLOOKUP($A138,'Data shares'!$C:$FB,66)</f>
        <v>53968460</v>
      </c>
      <c r="J138" s="49">
        <f>VLOOKUP($A138,'Data shares'!$C:$FB,67)</f>
        <v>43679300</v>
      </c>
      <c r="K138" s="50">
        <f t="shared" si="8"/>
        <v>19.065135451335834</v>
      </c>
      <c r="L138" s="50">
        <f>VLOOKUP($A138,'Data shares'!$C:$FB,118)</f>
        <v>0.93</v>
      </c>
      <c r="M138" s="50">
        <f>VLOOKUP($A138,'Data shares'!$C:$FB,119)</f>
        <v>0.86</v>
      </c>
      <c r="N138" s="50">
        <f>VLOOKUP($A138,'Data shares'!$C:$FB,121)*100</f>
        <v>8.14</v>
      </c>
      <c r="O138" s="50">
        <f>VLOOKUP($A138,'Data shares'!$C:$FB,124)</f>
        <v>0.9</v>
      </c>
      <c r="P138" s="50">
        <f>VLOOKUP($A138,'Data shares'!$C:$FB,125)</f>
        <v>0.75</v>
      </c>
      <c r="Q138" s="50">
        <f>VLOOKUP($A138,'Data shares'!$C:$FB,127)*100</f>
        <v>20</v>
      </c>
    </row>
    <row r="139" spans="1:17" x14ac:dyDescent="0.25">
      <c r="A139" s="97" t="str">
        <f>'Data Vlaue (Cr)'!C134</f>
        <v>MOTHERSON</v>
      </c>
      <c r="B139" s="140">
        <f>VLOOKUP($A139,'Data shares'!$C:$FB,7)</f>
        <v>117.15</v>
      </c>
      <c r="C139" s="140">
        <f>VLOOKUP($A139,'Data shares'!$C:$FB,3)</f>
        <v>117.39</v>
      </c>
      <c r="D139" s="140">
        <f>VLOOKUP($A139,'Data shares'!$C:$FB,4)</f>
        <v>119.73</v>
      </c>
      <c r="E139" s="50">
        <f t="shared" si="6"/>
        <v>-1.9543973941368107</v>
      </c>
      <c r="F139" s="49">
        <f>VLOOKUP($A139,'Data shares'!$C:$FB,98)</f>
        <v>291270150</v>
      </c>
      <c r="G139" s="49">
        <f>VLOOKUP($A139,'Data shares'!$C:$FB,99)</f>
        <v>299191350</v>
      </c>
      <c r="H139" s="50">
        <f t="shared" si="7"/>
        <v>-2.6475364344590844</v>
      </c>
      <c r="I139" s="49">
        <f>VLOOKUP($A139,'Data shares'!$C:$FB,66)</f>
        <v>155238300</v>
      </c>
      <c r="J139" s="49">
        <f>VLOOKUP($A139,'Data shares'!$C:$FB,67)</f>
        <v>71260050</v>
      </c>
      <c r="K139" s="50">
        <f t="shared" si="8"/>
        <v>54.096347357578637</v>
      </c>
      <c r="L139" s="50">
        <f>VLOOKUP($A139,'Data shares'!$C:$FB,118)</f>
        <v>0.68</v>
      </c>
      <c r="M139" s="50">
        <f>VLOOKUP($A139,'Data shares'!$C:$FB,119)</f>
        <v>0.79</v>
      </c>
      <c r="N139" s="50">
        <f>VLOOKUP($A139,'Data shares'!$C:$FB,121)*100</f>
        <v>-13.919999999999998</v>
      </c>
      <c r="O139" s="50">
        <f>VLOOKUP($A139,'Data shares'!$C:$FB,124)</f>
        <v>0.81</v>
      </c>
      <c r="P139" s="50">
        <f>VLOOKUP($A139,'Data shares'!$C:$FB,125)</f>
        <v>0.46</v>
      </c>
      <c r="Q139" s="50">
        <f>VLOOKUP($A139,'Data shares'!$C:$FB,127)*100</f>
        <v>76.09</v>
      </c>
    </row>
    <row r="140" spans="1:17" x14ac:dyDescent="0.25">
      <c r="A140" s="97" t="str">
        <f>'Data Vlaue (Cr)'!C135</f>
        <v>MPHASIS</v>
      </c>
      <c r="B140" s="140">
        <f>VLOOKUP($A140,'Data shares'!$C:$FB,7)</f>
        <v>2887.9</v>
      </c>
      <c r="C140" s="140">
        <f>VLOOKUP($A140,'Data shares'!$C:$FB,3)</f>
        <v>2891.1</v>
      </c>
      <c r="D140" s="140">
        <f>VLOOKUP($A140,'Data shares'!$C:$FB,4)</f>
        <v>2868.4</v>
      </c>
      <c r="E140" s="50">
        <f t="shared" si="6"/>
        <v>0.79138195509691178</v>
      </c>
      <c r="F140" s="49">
        <f>VLOOKUP($A140,'Data shares'!$C:$FB,98)</f>
        <v>9034850</v>
      </c>
      <c r="G140" s="49">
        <f>VLOOKUP($A140,'Data shares'!$C:$FB,99)</f>
        <v>8825300</v>
      </c>
      <c r="H140" s="50">
        <f t="shared" si="7"/>
        <v>2.3744235323445095</v>
      </c>
      <c r="I140" s="49">
        <f>VLOOKUP($A140,'Data shares'!$C:$FB,66)</f>
        <v>5243975</v>
      </c>
      <c r="J140" s="49">
        <f>VLOOKUP($A140,'Data shares'!$C:$FB,67)</f>
        <v>2127125</v>
      </c>
      <c r="K140" s="50">
        <f t="shared" si="8"/>
        <v>59.436782211967063</v>
      </c>
      <c r="L140" s="50">
        <f>VLOOKUP($A140,'Data shares'!$C:$FB,118)</f>
        <v>0.75</v>
      </c>
      <c r="M140" s="50">
        <f>VLOOKUP($A140,'Data shares'!$C:$FB,119)</f>
        <v>0.77</v>
      </c>
      <c r="N140" s="50">
        <f>VLOOKUP($A140,'Data shares'!$C:$FB,121)*100</f>
        <v>-2.6</v>
      </c>
      <c r="O140" s="50">
        <f>VLOOKUP($A140,'Data shares'!$C:$FB,124)</f>
        <v>0.22</v>
      </c>
      <c r="P140" s="50">
        <f>VLOOKUP($A140,'Data shares'!$C:$FB,125)</f>
        <v>0.28000000000000003</v>
      </c>
      <c r="Q140" s="50">
        <f>VLOOKUP($A140,'Data shares'!$C:$FB,127)*100</f>
        <v>-21.43</v>
      </c>
    </row>
    <row r="141" spans="1:17" x14ac:dyDescent="0.25">
      <c r="A141" s="97" t="str">
        <f>'Data Vlaue (Cr)'!C136</f>
        <v>MUTHOOTFIN</v>
      </c>
      <c r="B141" s="140">
        <f>VLOOKUP($A141,'Data shares'!$C:$FB,7)</f>
        <v>3749.9</v>
      </c>
      <c r="C141" s="140">
        <f>VLOOKUP($A141,'Data shares'!$C:$FB,3)</f>
        <v>3750.9</v>
      </c>
      <c r="D141" s="140">
        <f>VLOOKUP($A141,'Data shares'!$C:$FB,4)</f>
        <v>3769.2</v>
      </c>
      <c r="E141" s="50">
        <f t="shared" si="6"/>
        <v>-0.48551416746258436</v>
      </c>
      <c r="F141" s="49">
        <f>VLOOKUP($A141,'Data shares'!$C:$FB,98)</f>
        <v>8539025</v>
      </c>
      <c r="G141" s="49">
        <f>VLOOKUP($A141,'Data shares'!$C:$FB,99)</f>
        <v>8446075</v>
      </c>
      <c r="H141" s="50">
        <f t="shared" si="7"/>
        <v>1.1005111841891058</v>
      </c>
      <c r="I141" s="49">
        <f>VLOOKUP($A141,'Data shares'!$C:$FB,66)</f>
        <v>7396400</v>
      </c>
      <c r="J141" s="49">
        <f>VLOOKUP($A141,'Data shares'!$C:$FB,67)</f>
        <v>11112750</v>
      </c>
      <c r="K141" s="50">
        <f t="shared" si="8"/>
        <v>-50.245389649018449</v>
      </c>
      <c r="L141" s="50">
        <f>VLOOKUP($A141,'Data shares'!$C:$FB,118)</f>
        <v>0.52</v>
      </c>
      <c r="M141" s="50">
        <f>VLOOKUP($A141,'Data shares'!$C:$FB,119)</f>
        <v>0.52</v>
      </c>
      <c r="N141" s="50">
        <f>VLOOKUP($A141,'Data shares'!$C:$FB,121)*100</f>
        <v>0</v>
      </c>
      <c r="O141" s="50">
        <f>VLOOKUP($A141,'Data shares'!$C:$FB,124)</f>
        <v>0.69</v>
      </c>
      <c r="P141" s="50">
        <f>VLOOKUP($A141,'Data shares'!$C:$FB,125)</f>
        <v>0.41</v>
      </c>
      <c r="Q141" s="50">
        <f>VLOOKUP($A141,'Data shares'!$C:$FB,127)*100</f>
        <v>68.289999999999992</v>
      </c>
    </row>
    <row r="142" spans="1:17" x14ac:dyDescent="0.25">
      <c r="A142" s="97" t="str">
        <f>'Data Vlaue (Cr)'!C137</f>
        <v>NATIONALUM</v>
      </c>
      <c r="B142" s="140">
        <f>VLOOKUP($A142,'Data shares'!$C:$FB,7)</f>
        <v>279.25</v>
      </c>
      <c r="C142" s="140">
        <f>VLOOKUP($A142,'Data shares'!$C:$FB,3)</f>
        <v>279.55</v>
      </c>
      <c r="D142" s="140">
        <f>VLOOKUP($A142,'Data shares'!$C:$FB,4)</f>
        <v>279.7</v>
      </c>
      <c r="E142" s="50">
        <f t="shared" si="6"/>
        <v>-5.362888809437872E-2</v>
      </c>
      <c r="F142" s="49">
        <f>VLOOKUP($A142,'Data shares'!$C:$FB,98)</f>
        <v>120483750</v>
      </c>
      <c r="G142" s="49">
        <f>VLOOKUP($A142,'Data shares'!$C:$FB,99)</f>
        <v>121065000</v>
      </c>
      <c r="H142" s="50">
        <f t="shared" si="7"/>
        <v>-0.48011398835336389</v>
      </c>
      <c r="I142" s="49">
        <f>VLOOKUP($A142,'Data shares'!$C:$FB,66)</f>
        <v>98685000</v>
      </c>
      <c r="J142" s="49">
        <f>VLOOKUP($A142,'Data shares'!$C:$FB,67)</f>
        <v>98197500</v>
      </c>
      <c r="K142" s="50">
        <f t="shared" si="8"/>
        <v>0.49399604803161579</v>
      </c>
      <c r="L142" s="50">
        <f>VLOOKUP($A142,'Data shares'!$C:$FB,118)</f>
        <v>0.88</v>
      </c>
      <c r="M142" s="50">
        <f>VLOOKUP($A142,'Data shares'!$C:$FB,119)</f>
        <v>0.85</v>
      </c>
      <c r="N142" s="50">
        <f>VLOOKUP($A142,'Data shares'!$C:$FB,121)*100</f>
        <v>3.53</v>
      </c>
      <c r="O142" s="50">
        <f>VLOOKUP($A142,'Data shares'!$C:$FB,124)</f>
        <v>0.6</v>
      </c>
      <c r="P142" s="50">
        <f>VLOOKUP($A142,'Data shares'!$C:$FB,125)</f>
        <v>0.51</v>
      </c>
      <c r="Q142" s="50">
        <f>VLOOKUP($A142,'Data shares'!$C:$FB,127)*100</f>
        <v>17.649999999999999</v>
      </c>
    </row>
    <row r="143" spans="1:17" x14ac:dyDescent="0.25">
      <c r="A143" s="97" t="str">
        <f>'Data Vlaue (Cr)'!C138</f>
        <v>NAUKRI</v>
      </c>
      <c r="B143" s="140">
        <f>VLOOKUP($A143,'Data shares'!$C:$FB,7)</f>
        <v>1333.7</v>
      </c>
      <c r="C143" s="140">
        <f>VLOOKUP($A143,'Data shares'!$C:$FB,3)</f>
        <v>1336.5</v>
      </c>
      <c r="D143" s="140">
        <f>VLOOKUP($A143,'Data shares'!$C:$FB,4)</f>
        <v>1343.2</v>
      </c>
      <c r="E143" s="50">
        <f t="shared" si="6"/>
        <v>-0.49880881477070022</v>
      </c>
      <c r="F143" s="49">
        <f>VLOOKUP($A143,'Data shares'!$C:$FB,98)</f>
        <v>13563750</v>
      </c>
      <c r="G143" s="49">
        <f>VLOOKUP($A143,'Data shares'!$C:$FB,99)</f>
        <v>13599000</v>
      </c>
      <c r="H143" s="50">
        <f t="shared" si="7"/>
        <v>-0.25921023604676813</v>
      </c>
      <c r="I143" s="49">
        <f>VLOOKUP($A143,'Data shares'!$C:$FB,66)</f>
        <v>3292125</v>
      </c>
      <c r="J143" s="49">
        <f>VLOOKUP($A143,'Data shares'!$C:$FB,67)</f>
        <v>3103125</v>
      </c>
      <c r="K143" s="50">
        <f t="shared" si="8"/>
        <v>5.7409727759425904</v>
      </c>
      <c r="L143" s="50">
        <f>VLOOKUP($A143,'Data shares'!$C:$FB,118)</f>
        <v>0.81</v>
      </c>
      <c r="M143" s="50">
        <f>VLOOKUP($A143,'Data shares'!$C:$FB,119)</f>
        <v>0.84</v>
      </c>
      <c r="N143" s="50">
        <f>VLOOKUP($A143,'Data shares'!$C:$FB,121)*100</f>
        <v>-3.5700000000000003</v>
      </c>
      <c r="O143" s="50">
        <f>VLOOKUP($A143,'Data shares'!$C:$FB,124)</f>
        <v>0.22</v>
      </c>
      <c r="P143" s="50">
        <f>VLOOKUP($A143,'Data shares'!$C:$FB,125)</f>
        <v>0.31</v>
      </c>
      <c r="Q143" s="50">
        <f>VLOOKUP($A143,'Data shares'!$C:$FB,127)*100</f>
        <v>-29.03</v>
      </c>
    </row>
    <row r="144" spans="1:17" x14ac:dyDescent="0.25">
      <c r="A144" s="97" t="str">
        <f>'Data Vlaue (Cr)'!C139</f>
        <v>NBCC</v>
      </c>
      <c r="B144" s="140">
        <f>VLOOKUP($A144,'Data shares'!$C:$FB,7)</f>
        <v>108.26</v>
      </c>
      <c r="C144" s="140">
        <f>VLOOKUP($A144,'Data shares'!$C:$FB,3)</f>
        <v>108.37</v>
      </c>
      <c r="D144" s="140">
        <f>VLOOKUP($A144,'Data shares'!$C:$FB,4)</f>
        <v>109.71</v>
      </c>
      <c r="E144" s="50">
        <f t="shared" si="6"/>
        <v>-1.2214018776775037</v>
      </c>
      <c r="F144" s="49">
        <f>VLOOKUP($A144,'Data shares'!$C:$FB,98)</f>
        <v>176254000</v>
      </c>
      <c r="G144" s="49">
        <f>VLOOKUP($A144,'Data shares'!$C:$FB,99)</f>
        <v>169097500</v>
      </c>
      <c r="H144" s="50">
        <f t="shared" si="7"/>
        <v>4.2321737459158175</v>
      </c>
      <c r="I144" s="49">
        <f>VLOOKUP($A144,'Data shares'!$C:$FB,66)</f>
        <v>79163500</v>
      </c>
      <c r="J144" s="49">
        <f>VLOOKUP($A144,'Data shares'!$C:$FB,67)</f>
        <v>79319500</v>
      </c>
      <c r="K144" s="50">
        <f t="shared" si="8"/>
        <v>-0.19706051399950736</v>
      </c>
      <c r="L144" s="50">
        <f>VLOOKUP($A144,'Data shares'!$C:$FB,118)</f>
        <v>0.39</v>
      </c>
      <c r="M144" s="50">
        <f>VLOOKUP($A144,'Data shares'!$C:$FB,119)</f>
        <v>0.4</v>
      </c>
      <c r="N144" s="50">
        <f>VLOOKUP($A144,'Data shares'!$C:$FB,121)*100</f>
        <v>-2.5</v>
      </c>
      <c r="O144" s="50">
        <f>VLOOKUP($A144,'Data shares'!$C:$FB,124)</f>
        <v>0.35</v>
      </c>
      <c r="P144" s="50">
        <f>VLOOKUP($A144,'Data shares'!$C:$FB,125)</f>
        <v>0.28000000000000003</v>
      </c>
      <c r="Q144" s="50">
        <f>VLOOKUP($A144,'Data shares'!$C:$FB,127)*100</f>
        <v>25</v>
      </c>
    </row>
    <row r="145" spans="1:17" x14ac:dyDescent="0.25">
      <c r="A145" s="97" t="str">
        <f>'Data Vlaue (Cr)'!C140</f>
        <v>NCC</v>
      </c>
      <c r="B145" s="140">
        <f>VLOOKUP($A145,'Data shares'!$C:$FB,7)</f>
        <v>153.07</v>
      </c>
      <c r="C145" s="140">
        <f>VLOOKUP($A145,'Data shares'!$C:$FB,3)</f>
        <v>153.30000000000001</v>
      </c>
      <c r="D145" s="140">
        <f>VLOOKUP($A145,'Data shares'!$C:$FB,4)</f>
        <v>155.97</v>
      </c>
      <c r="E145" s="50">
        <f t="shared" si="6"/>
        <v>-1.7118676668590034</v>
      </c>
      <c r="F145" s="49">
        <f>VLOOKUP($A145,'Data shares'!$C:$FB,98)</f>
        <v>56192400</v>
      </c>
      <c r="G145" s="49">
        <f>VLOOKUP($A145,'Data shares'!$C:$FB,99)</f>
        <v>55995300</v>
      </c>
      <c r="H145" s="50">
        <f t="shared" si="7"/>
        <v>0.35199382805342594</v>
      </c>
      <c r="I145" s="49">
        <f>VLOOKUP($A145,'Data shares'!$C:$FB,66)</f>
        <v>21486600</v>
      </c>
      <c r="J145" s="49">
        <f>VLOOKUP($A145,'Data shares'!$C:$FB,67)</f>
        <v>20160900</v>
      </c>
      <c r="K145" s="50">
        <f t="shared" si="8"/>
        <v>6.1698919326463937</v>
      </c>
      <c r="L145" s="50">
        <f>VLOOKUP($A145,'Data shares'!$C:$FB,118)</f>
        <v>0.42</v>
      </c>
      <c r="M145" s="50">
        <f>VLOOKUP($A145,'Data shares'!$C:$FB,119)</f>
        <v>0.42</v>
      </c>
      <c r="N145" s="50">
        <f>VLOOKUP($A145,'Data shares'!$C:$FB,121)*100</f>
        <v>0</v>
      </c>
      <c r="O145" s="50">
        <f>VLOOKUP($A145,'Data shares'!$C:$FB,124)</f>
        <v>0.55000000000000004</v>
      </c>
      <c r="P145" s="50">
        <f>VLOOKUP($A145,'Data shares'!$C:$FB,125)</f>
        <v>0.45</v>
      </c>
      <c r="Q145" s="50">
        <f>VLOOKUP($A145,'Data shares'!$C:$FB,127)*100</f>
        <v>22.220000000000002</v>
      </c>
    </row>
    <row r="146" spans="1:17" x14ac:dyDescent="0.25">
      <c r="A146" s="97" t="str">
        <f>'Data Vlaue (Cr)'!C141</f>
        <v>NESTLEIND</v>
      </c>
      <c r="B146" s="140">
        <f>VLOOKUP($A146,'Data shares'!$C:$FB,7)</f>
        <v>1233.5</v>
      </c>
      <c r="C146" s="140">
        <f>VLOOKUP($A146,'Data shares'!$C:$FB,3)</f>
        <v>1236.8</v>
      </c>
      <c r="D146" s="140">
        <f>VLOOKUP($A146,'Data shares'!$C:$FB,4)</f>
        <v>1235.9000000000001</v>
      </c>
      <c r="E146" s="50">
        <f t="shared" si="6"/>
        <v>7.2821425681678417E-2</v>
      </c>
      <c r="F146" s="49">
        <f>VLOOKUP($A146,'Data shares'!$C:$FB,98)</f>
        <v>26131500</v>
      </c>
      <c r="G146" s="49">
        <f>VLOOKUP($A146,'Data shares'!$C:$FB,99)</f>
        <v>26070000</v>
      </c>
      <c r="H146" s="50">
        <f t="shared" si="7"/>
        <v>0.23590333716915993</v>
      </c>
      <c r="I146" s="49">
        <f>VLOOKUP($A146,'Data shares'!$C:$FB,66)</f>
        <v>5881500</v>
      </c>
      <c r="J146" s="49">
        <f>VLOOKUP($A146,'Data shares'!$C:$FB,67)</f>
        <v>8468000</v>
      </c>
      <c r="K146" s="50">
        <f t="shared" si="8"/>
        <v>-43.976876647113833</v>
      </c>
      <c r="L146" s="50">
        <f>VLOOKUP($A146,'Data shares'!$C:$FB,118)</f>
        <v>0.31</v>
      </c>
      <c r="M146" s="50">
        <f>VLOOKUP($A146,'Data shares'!$C:$FB,119)</f>
        <v>0.31</v>
      </c>
      <c r="N146" s="50">
        <f>VLOOKUP($A146,'Data shares'!$C:$FB,121)*100</f>
        <v>0</v>
      </c>
      <c r="O146" s="50">
        <f>VLOOKUP($A146,'Data shares'!$C:$FB,124)</f>
        <v>0.26</v>
      </c>
      <c r="P146" s="50">
        <f>VLOOKUP($A146,'Data shares'!$C:$FB,125)</f>
        <v>0.36</v>
      </c>
      <c r="Q146" s="50">
        <f>VLOOKUP($A146,'Data shares'!$C:$FB,127)*100</f>
        <v>-27.779999999999998</v>
      </c>
    </row>
    <row r="147" spans="1:17" x14ac:dyDescent="0.25">
      <c r="A147" s="97" t="str">
        <f>'Data Vlaue (Cr)'!C142</f>
        <v>NHPC</v>
      </c>
      <c r="B147" s="140">
        <f>VLOOKUP($A147,'Data shares'!$C:$FB,7)</f>
        <v>75.040000000000006</v>
      </c>
      <c r="C147" s="140">
        <f>VLOOKUP($A147,'Data shares'!$C:$FB,3)</f>
        <v>75.239999999999995</v>
      </c>
      <c r="D147" s="140">
        <f>VLOOKUP($A147,'Data shares'!$C:$FB,4)</f>
        <v>75.569999999999993</v>
      </c>
      <c r="E147" s="50">
        <f t="shared" si="6"/>
        <v>-0.43668122270742138</v>
      </c>
      <c r="F147" s="49">
        <f>VLOOKUP($A147,'Data shares'!$C:$FB,98)</f>
        <v>143923200</v>
      </c>
      <c r="G147" s="49">
        <f>VLOOKUP($A147,'Data shares'!$C:$FB,99)</f>
        <v>141932800</v>
      </c>
      <c r="H147" s="50">
        <f t="shared" si="7"/>
        <v>1.4023537899625738</v>
      </c>
      <c r="I147" s="49">
        <f>VLOOKUP($A147,'Data shares'!$C:$FB,66)</f>
        <v>42611200</v>
      </c>
      <c r="J147" s="49">
        <f>VLOOKUP($A147,'Data shares'!$C:$FB,67)</f>
        <v>38329600</v>
      </c>
      <c r="K147" s="50">
        <f t="shared" si="8"/>
        <v>10.048062481225593</v>
      </c>
      <c r="L147" s="50">
        <f>VLOOKUP($A147,'Data shares'!$C:$FB,118)</f>
        <v>0.44</v>
      </c>
      <c r="M147" s="50">
        <f>VLOOKUP($A147,'Data shares'!$C:$FB,119)</f>
        <v>0.45</v>
      </c>
      <c r="N147" s="50">
        <f>VLOOKUP($A147,'Data shares'!$C:$FB,121)*100</f>
        <v>-2.2200000000000002</v>
      </c>
      <c r="O147" s="50">
        <f>VLOOKUP($A147,'Data shares'!$C:$FB,124)</f>
        <v>0.27</v>
      </c>
      <c r="P147" s="50">
        <f>VLOOKUP($A147,'Data shares'!$C:$FB,125)</f>
        <v>0.3</v>
      </c>
      <c r="Q147" s="50">
        <f>VLOOKUP($A147,'Data shares'!$C:$FB,127)*100</f>
        <v>-10</v>
      </c>
    </row>
    <row r="148" spans="1:17" x14ac:dyDescent="0.25">
      <c r="A148" s="97" t="str">
        <f>'Data Vlaue (Cr)'!C143</f>
        <v>NIFTY</v>
      </c>
      <c r="B148" s="140">
        <f>VLOOKUP($A148,'Data shares'!$C:$FB,7)</f>
        <v>25815.55</v>
      </c>
      <c r="C148" s="140">
        <f>VLOOKUP($A148,'Data shares'!$C:$FB,3)</f>
        <v>25880.6</v>
      </c>
      <c r="D148" s="140">
        <f>VLOOKUP($A148,'Data shares'!$C:$FB,4)</f>
        <v>25897.8</v>
      </c>
      <c r="E148" s="50">
        <f t="shared" si="6"/>
        <v>-6.6414907830011541E-2</v>
      </c>
      <c r="F148" s="49">
        <f>VLOOKUP($A148,'Data shares'!$C:$FB,98)</f>
        <v>486108005</v>
      </c>
      <c r="G148" s="49">
        <f>VLOOKUP($A148,'Data shares'!$C:$FB,99)</f>
        <v>453053130</v>
      </c>
      <c r="H148" s="50">
        <f t="shared" si="7"/>
        <v>7.2960261857146866</v>
      </c>
      <c r="I148" s="49">
        <f>VLOOKUP($A148,'Data shares'!$C:$FB,66)</f>
        <v>4192861200</v>
      </c>
      <c r="J148" s="49">
        <f>VLOOKUP($A148,'Data shares'!$C:$FB,67)</f>
        <v>3543722625</v>
      </c>
      <c r="K148" s="50">
        <f t="shared" si="8"/>
        <v>15.481995325769429</v>
      </c>
      <c r="L148" s="50">
        <f>VLOOKUP($A148,'Data shares'!$C:$FB,118)</f>
        <v>0.83</v>
      </c>
      <c r="M148" s="50">
        <f>VLOOKUP($A148,'Data shares'!$C:$FB,119)</f>
        <v>0.77</v>
      </c>
      <c r="N148" s="50">
        <f>VLOOKUP($A148,'Data shares'!$C:$FB,121)*100</f>
        <v>7.79</v>
      </c>
      <c r="O148" s="50">
        <f>VLOOKUP($A148,'Data shares'!$C:$FB,124)</f>
        <v>0.91</v>
      </c>
      <c r="P148" s="50">
        <f>VLOOKUP($A148,'Data shares'!$C:$FB,125)</f>
        <v>0.98</v>
      </c>
      <c r="Q148" s="50">
        <f>VLOOKUP($A148,'Data shares'!$C:$FB,127)*100</f>
        <v>-7.1400000000000006</v>
      </c>
    </row>
    <row r="149" spans="1:17" x14ac:dyDescent="0.25">
      <c r="A149" s="97" t="str">
        <f>'Data Vlaue (Cr)'!C144</f>
        <v>NIFTYNXT50</v>
      </c>
      <c r="B149" s="140">
        <f>VLOOKUP($A149,'Data shares'!$C:$FB,7)</f>
        <v>67830.25</v>
      </c>
      <c r="C149" s="140">
        <f>VLOOKUP($A149,'Data shares'!$C:$FB,3)</f>
        <v>67881</v>
      </c>
      <c r="D149" s="140">
        <f>VLOOKUP($A149,'Data shares'!$C:$FB,4)</f>
        <v>68220</v>
      </c>
      <c r="E149" s="50">
        <f t="shared" si="6"/>
        <v>-0.49692172383465261</v>
      </c>
      <c r="F149" s="49">
        <f>VLOOKUP($A149,'Data shares'!$C:$FB,98)</f>
        <v>64875</v>
      </c>
      <c r="G149" s="49">
        <f>VLOOKUP($A149,'Data shares'!$C:$FB,99)</f>
        <v>60700</v>
      </c>
      <c r="H149" s="50">
        <f t="shared" si="7"/>
        <v>6.8780889621087322</v>
      </c>
      <c r="I149" s="49">
        <f>VLOOKUP($A149,'Data shares'!$C:$FB,66)</f>
        <v>39125</v>
      </c>
      <c r="J149" s="49">
        <f>VLOOKUP($A149,'Data shares'!$C:$FB,67)</f>
        <v>26775</v>
      </c>
      <c r="K149" s="50">
        <f t="shared" si="8"/>
        <v>31.56549520766773</v>
      </c>
      <c r="L149" s="50">
        <f>VLOOKUP($A149,'Data shares'!$C:$FB,118)</f>
        <v>0.84</v>
      </c>
      <c r="M149" s="50">
        <f>VLOOKUP($A149,'Data shares'!$C:$FB,119)</f>
        <v>0.93</v>
      </c>
      <c r="N149" s="50">
        <f>VLOOKUP($A149,'Data shares'!$C:$FB,121)*100</f>
        <v>-9.68</v>
      </c>
      <c r="O149" s="50">
        <f>VLOOKUP($A149,'Data shares'!$C:$FB,124)</f>
        <v>0.7</v>
      </c>
      <c r="P149" s="50">
        <f>VLOOKUP($A149,'Data shares'!$C:$FB,125)</f>
        <v>1.36</v>
      </c>
      <c r="Q149" s="50">
        <f>VLOOKUP($A149,'Data shares'!$C:$FB,127)*100</f>
        <v>-48.53</v>
      </c>
    </row>
    <row r="150" spans="1:17" x14ac:dyDescent="0.25">
      <c r="A150" s="97" t="str">
        <f>'Data Vlaue (Cr)'!C145</f>
        <v>NMDC</v>
      </c>
      <c r="B150" s="140">
        <f>VLOOKUP($A150,'Data shares'!$C:$FB,7)</f>
        <v>76.510000000000005</v>
      </c>
      <c r="C150" s="140">
        <f>VLOOKUP($A150,'Data shares'!$C:$FB,3)</f>
        <v>76.72</v>
      </c>
      <c r="D150" s="140">
        <f>VLOOKUP($A150,'Data shares'!$C:$FB,4)</f>
        <v>77.349999999999994</v>
      </c>
      <c r="E150" s="50">
        <f t="shared" si="6"/>
        <v>-0.81447963800904388</v>
      </c>
      <c r="F150" s="49">
        <f>VLOOKUP($A150,'Data shares'!$C:$FB,98)</f>
        <v>519237000</v>
      </c>
      <c r="G150" s="49">
        <f>VLOOKUP($A150,'Data shares'!$C:$FB,99)</f>
        <v>517880250</v>
      </c>
      <c r="H150" s="50">
        <f t="shared" si="7"/>
        <v>0.26198141365692168</v>
      </c>
      <c r="I150" s="49">
        <f>VLOOKUP($A150,'Data shares'!$C:$FB,66)</f>
        <v>101412000</v>
      </c>
      <c r="J150" s="49">
        <f>VLOOKUP($A150,'Data shares'!$C:$FB,67)</f>
        <v>122688000</v>
      </c>
      <c r="K150" s="50">
        <f t="shared" si="8"/>
        <v>-20.979765708200212</v>
      </c>
      <c r="L150" s="50">
        <f>VLOOKUP($A150,'Data shares'!$C:$FB,118)</f>
        <v>0.68</v>
      </c>
      <c r="M150" s="50">
        <f>VLOOKUP($A150,'Data shares'!$C:$FB,119)</f>
        <v>0.68</v>
      </c>
      <c r="N150" s="50">
        <f>VLOOKUP($A150,'Data shares'!$C:$FB,121)*100</f>
        <v>0</v>
      </c>
      <c r="O150" s="50">
        <f>VLOOKUP($A150,'Data shares'!$C:$FB,124)</f>
        <v>0.54</v>
      </c>
      <c r="P150" s="50">
        <f>VLOOKUP($A150,'Data shares'!$C:$FB,125)</f>
        <v>0.32</v>
      </c>
      <c r="Q150" s="50">
        <f>VLOOKUP($A150,'Data shares'!$C:$FB,127)*100</f>
        <v>68.75</v>
      </c>
    </row>
    <row r="151" spans="1:17" x14ac:dyDescent="0.25">
      <c r="A151" s="97" t="str">
        <f>'Data Vlaue (Cr)'!C146</f>
        <v>NTPC</v>
      </c>
      <c r="B151" s="140">
        <f>VLOOKUP($A151,'Data shares'!$C:$FB,7)</f>
        <v>318.5</v>
      </c>
      <c r="C151" s="140">
        <f>VLOOKUP($A151,'Data shares'!$C:$FB,3)</f>
        <v>319.10000000000002</v>
      </c>
      <c r="D151" s="140">
        <f>VLOOKUP($A151,'Data shares'!$C:$FB,4)</f>
        <v>321.5</v>
      </c>
      <c r="E151" s="50">
        <f t="shared" si="6"/>
        <v>-0.74650077760496958</v>
      </c>
      <c r="F151" s="49">
        <f>VLOOKUP($A151,'Data shares'!$C:$FB,98)</f>
        <v>150919500</v>
      </c>
      <c r="G151" s="49">
        <f>VLOOKUP($A151,'Data shares'!$C:$FB,99)</f>
        <v>148477500</v>
      </c>
      <c r="H151" s="50">
        <f t="shared" si="7"/>
        <v>1.6446936404505734</v>
      </c>
      <c r="I151" s="49">
        <f>VLOOKUP($A151,'Data shares'!$C:$FB,66)</f>
        <v>45489000</v>
      </c>
      <c r="J151" s="49">
        <f>VLOOKUP($A151,'Data shares'!$C:$FB,67)</f>
        <v>27538500</v>
      </c>
      <c r="K151" s="50">
        <f t="shared" si="8"/>
        <v>39.461188419178264</v>
      </c>
      <c r="L151" s="50">
        <f>VLOOKUP($A151,'Data shares'!$C:$FB,118)</f>
        <v>0.6</v>
      </c>
      <c r="M151" s="50">
        <f>VLOOKUP($A151,'Data shares'!$C:$FB,119)</f>
        <v>0.62</v>
      </c>
      <c r="N151" s="50">
        <f>VLOOKUP($A151,'Data shares'!$C:$FB,121)*100</f>
        <v>-3.2300000000000004</v>
      </c>
      <c r="O151" s="50">
        <f>VLOOKUP($A151,'Data shares'!$C:$FB,124)</f>
        <v>0.56000000000000005</v>
      </c>
      <c r="P151" s="50">
        <f>VLOOKUP($A151,'Data shares'!$C:$FB,125)</f>
        <v>0.52</v>
      </c>
      <c r="Q151" s="50">
        <f>VLOOKUP($A151,'Data shares'!$C:$FB,127)*100</f>
        <v>7.6899999999999995</v>
      </c>
    </row>
    <row r="152" spans="1:17" x14ac:dyDescent="0.25">
      <c r="A152" s="97" t="str">
        <f>'Data Vlaue (Cr)'!C147</f>
        <v>NUVAMA</v>
      </c>
      <c r="B152" s="140">
        <f>VLOOKUP($A152,'Data shares'!$C:$FB,7)</f>
        <v>7301.5</v>
      </c>
      <c r="C152" s="140">
        <f>VLOOKUP($A152,'Data shares'!$C:$FB,3)</f>
        <v>7331.5</v>
      </c>
      <c r="D152" s="140">
        <f>VLOOKUP($A152,'Data shares'!$C:$FB,4)</f>
        <v>7201.5</v>
      </c>
      <c r="E152" s="50">
        <f t="shared" si="6"/>
        <v>1.8051794764979516</v>
      </c>
      <c r="F152" s="49">
        <f>VLOOKUP($A152,'Data shares'!$C:$FB,98)</f>
        <v>1108075</v>
      </c>
      <c r="G152" s="49">
        <f>VLOOKUP($A152,'Data shares'!$C:$FB,99)</f>
        <v>882575</v>
      </c>
      <c r="H152" s="50">
        <f t="shared" si="7"/>
        <v>25.550236523808174</v>
      </c>
      <c r="I152" s="49">
        <f>VLOOKUP($A152,'Data shares'!$C:$FB,66)</f>
        <v>5335350</v>
      </c>
      <c r="J152" s="49">
        <f>VLOOKUP($A152,'Data shares'!$C:$FB,67)</f>
        <v>553725</v>
      </c>
      <c r="K152" s="50">
        <f t="shared" si="8"/>
        <v>89.621580589839468</v>
      </c>
      <c r="L152" s="50">
        <f>VLOOKUP($A152,'Data shares'!$C:$FB,118)</f>
        <v>0.52</v>
      </c>
      <c r="M152" s="50">
        <f>VLOOKUP($A152,'Data shares'!$C:$FB,119)</f>
        <v>0.62</v>
      </c>
      <c r="N152" s="50">
        <f>VLOOKUP($A152,'Data shares'!$C:$FB,121)*100</f>
        <v>-16.13</v>
      </c>
      <c r="O152" s="50">
        <f>VLOOKUP($A152,'Data shares'!$C:$FB,124)</f>
        <v>0.31</v>
      </c>
      <c r="P152" s="50">
        <f>VLOOKUP($A152,'Data shares'!$C:$FB,125)</f>
        <v>0.93</v>
      </c>
      <c r="Q152" s="50">
        <f>VLOOKUP($A152,'Data shares'!$C:$FB,127)*100</f>
        <v>-66.67</v>
      </c>
    </row>
    <row r="153" spans="1:17" x14ac:dyDescent="0.25">
      <c r="A153" s="97" t="str">
        <f>'Data Vlaue (Cr)'!C148</f>
        <v>NYKAA</v>
      </c>
      <c r="B153" s="140">
        <f>VLOOKUP($A153,'Data shares'!$C:$FB,7)</f>
        <v>244.1</v>
      </c>
      <c r="C153" s="140">
        <f>VLOOKUP($A153,'Data shares'!$C:$FB,3)</f>
        <v>245.05</v>
      </c>
      <c r="D153" s="140">
        <f>VLOOKUP($A153,'Data shares'!$C:$FB,4)</f>
        <v>246.05</v>
      </c>
      <c r="E153" s="50">
        <f t="shared" si="6"/>
        <v>-0.406421459053038</v>
      </c>
      <c r="F153" s="49">
        <f>VLOOKUP($A153,'Data shares'!$C:$FB,98)</f>
        <v>89521875</v>
      </c>
      <c r="G153" s="49">
        <f>VLOOKUP($A153,'Data shares'!$C:$FB,99)</f>
        <v>88103125</v>
      </c>
      <c r="H153" s="50">
        <f t="shared" si="7"/>
        <v>1.6103288050225233</v>
      </c>
      <c r="I153" s="49">
        <f>VLOOKUP($A153,'Data shares'!$C:$FB,66)</f>
        <v>34593750</v>
      </c>
      <c r="J153" s="49">
        <f>VLOOKUP($A153,'Data shares'!$C:$FB,67)</f>
        <v>21200000</v>
      </c>
      <c r="K153" s="50">
        <f t="shared" si="8"/>
        <v>38.717253839205057</v>
      </c>
      <c r="L153" s="50">
        <f>VLOOKUP($A153,'Data shares'!$C:$FB,118)</f>
        <v>0.41</v>
      </c>
      <c r="M153" s="50">
        <f>VLOOKUP($A153,'Data shares'!$C:$FB,119)</f>
        <v>0.41</v>
      </c>
      <c r="N153" s="50">
        <f>VLOOKUP($A153,'Data shares'!$C:$FB,121)*100</f>
        <v>0</v>
      </c>
      <c r="O153" s="50">
        <f>VLOOKUP($A153,'Data shares'!$C:$FB,124)</f>
        <v>0.45</v>
      </c>
      <c r="P153" s="50">
        <f>VLOOKUP($A153,'Data shares'!$C:$FB,125)</f>
        <v>0.47</v>
      </c>
      <c r="Q153" s="50">
        <f>VLOOKUP($A153,'Data shares'!$C:$FB,127)*100</f>
        <v>-4.26</v>
      </c>
    </row>
    <row r="154" spans="1:17" x14ac:dyDescent="0.25">
      <c r="A154" s="97" t="str">
        <f>'Data Vlaue (Cr)'!C149</f>
        <v>OBEROIRLTY</v>
      </c>
      <c r="B154" s="140">
        <f>VLOOKUP($A154,'Data shares'!$C:$FB,7)</f>
        <v>1658.2</v>
      </c>
      <c r="C154" s="140">
        <f>VLOOKUP($A154,'Data shares'!$C:$FB,3)</f>
        <v>1653.8</v>
      </c>
      <c r="D154" s="140">
        <f>VLOOKUP($A154,'Data shares'!$C:$FB,4)</f>
        <v>1609.6</v>
      </c>
      <c r="E154" s="50">
        <f t="shared" si="6"/>
        <v>2.7460238568588502</v>
      </c>
      <c r="F154" s="49">
        <f>VLOOKUP($A154,'Data shares'!$C:$FB,98)</f>
        <v>8097250</v>
      </c>
      <c r="G154" s="49">
        <f>VLOOKUP($A154,'Data shares'!$C:$FB,99)</f>
        <v>8207150</v>
      </c>
      <c r="H154" s="50">
        <f t="shared" si="7"/>
        <v>-1.339076293232121</v>
      </c>
      <c r="I154" s="49">
        <f>VLOOKUP($A154,'Data shares'!$C:$FB,66)</f>
        <v>6038900</v>
      </c>
      <c r="J154" s="49">
        <f>VLOOKUP($A154,'Data shares'!$C:$FB,67)</f>
        <v>2490600</v>
      </c>
      <c r="K154" s="50">
        <f t="shared" si="8"/>
        <v>58.757389590819521</v>
      </c>
      <c r="L154" s="50">
        <f>VLOOKUP($A154,'Data shares'!$C:$FB,118)</f>
        <v>0.72</v>
      </c>
      <c r="M154" s="50">
        <f>VLOOKUP($A154,'Data shares'!$C:$FB,119)</f>
        <v>0.62</v>
      </c>
      <c r="N154" s="50">
        <f>VLOOKUP($A154,'Data shares'!$C:$FB,121)*100</f>
        <v>16.13</v>
      </c>
      <c r="O154" s="50">
        <f>VLOOKUP($A154,'Data shares'!$C:$FB,124)</f>
        <v>0.57999999999999996</v>
      </c>
      <c r="P154" s="50">
        <f>VLOOKUP($A154,'Data shares'!$C:$FB,125)</f>
        <v>0.71</v>
      </c>
      <c r="Q154" s="50">
        <f>VLOOKUP($A154,'Data shares'!$C:$FB,127)*100</f>
        <v>-18.310000000000002</v>
      </c>
    </row>
    <row r="155" spans="1:17" x14ac:dyDescent="0.25">
      <c r="A155" s="97" t="str">
        <f>'Data Vlaue (Cr)'!C150</f>
        <v>OFSS</v>
      </c>
      <c r="B155" s="140">
        <f>VLOOKUP($A155,'Data shares'!$C:$FB,7)</f>
        <v>7662.5</v>
      </c>
      <c r="C155" s="140">
        <f>VLOOKUP($A155,'Data shares'!$C:$FB,3)</f>
        <v>7684.5</v>
      </c>
      <c r="D155" s="140">
        <f>VLOOKUP($A155,'Data shares'!$C:$FB,4)</f>
        <v>7727.5</v>
      </c>
      <c r="E155" s="50">
        <f t="shared" si="6"/>
        <v>-0.556454221934649</v>
      </c>
      <c r="F155" s="49">
        <f>VLOOKUP($A155,'Data shares'!$C:$FB,98)</f>
        <v>2834475</v>
      </c>
      <c r="G155" s="49">
        <f>VLOOKUP($A155,'Data shares'!$C:$FB,99)</f>
        <v>2753925</v>
      </c>
      <c r="H155" s="50">
        <f t="shared" si="7"/>
        <v>2.9249162558893214</v>
      </c>
      <c r="I155" s="49">
        <f>VLOOKUP($A155,'Data shares'!$C:$FB,66)</f>
        <v>2095575</v>
      </c>
      <c r="J155" s="49">
        <f>VLOOKUP($A155,'Data shares'!$C:$FB,67)</f>
        <v>1397925</v>
      </c>
      <c r="K155" s="50">
        <f t="shared" si="8"/>
        <v>33.291578683654841</v>
      </c>
      <c r="L155" s="50">
        <f>VLOOKUP($A155,'Data shares'!$C:$FB,118)</f>
        <v>0.56000000000000005</v>
      </c>
      <c r="M155" s="50">
        <f>VLOOKUP($A155,'Data shares'!$C:$FB,119)</f>
        <v>0.64</v>
      </c>
      <c r="N155" s="50">
        <f>VLOOKUP($A155,'Data shares'!$C:$FB,121)*100</f>
        <v>-12.5</v>
      </c>
      <c r="O155" s="50">
        <f>VLOOKUP($A155,'Data shares'!$C:$FB,124)</f>
        <v>0.77</v>
      </c>
      <c r="P155" s="50">
        <f>VLOOKUP($A155,'Data shares'!$C:$FB,125)</f>
        <v>0.56000000000000005</v>
      </c>
      <c r="Q155" s="50">
        <f>VLOOKUP($A155,'Data shares'!$C:$FB,127)*100</f>
        <v>37.5</v>
      </c>
    </row>
    <row r="156" spans="1:17" x14ac:dyDescent="0.25">
      <c r="A156" s="97" t="str">
        <f>'Data Vlaue (Cr)'!C151</f>
        <v>OIL</v>
      </c>
      <c r="B156" s="140">
        <f>VLOOKUP($A156,'Data shares'!$C:$FB,7)</f>
        <v>399.85</v>
      </c>
      <c r="C156" s="140">
        <f>VLOOKUP($A156,'Data shares'!$C:$FB,3)</f>
        <v>401.4</v>
      </c>
      <c r="D156" s="140">
        <f>VLOOKUP($A156,'Data shares'!$C:$FB,4)</f>
        <v>398.25</v>
      </c>
      <c r="E156" s="50">
        <f t="shared" si="6"/>
        <v>0.7909604519773954</v>
      </c>
      <c r="F156" s="49">
        <f>VLOOKUP($A156,'Data shares'!$C:$FB,98)</f>
        <v>22040200</v>
      </c>
      <c r="G156" s="49">
        <f>VLOOKUP($A156,'Data shares'!$C:$FB,99)</f>
        <v>22303400</v>
      </c>
      <c r="H156" s="50">
        <f t="shared" si="7"/>
        <v>-1.1800891343920659</v>
      </c>
      <c r="I156" s="49">
        <f>VLOOKUP($A156,'Data shares'!$C:$FB,66)</f>
        <v>5482400</v>
      </c>
      <c r="J156" s="49">
        <f>VLOOKUP($A156,'Data shares'!$C:$FB,67)</f>
        <v>6237000</v>
      </c>
      <c r="K156" s="50">
        <f t="shared" si="8"/>
        <v>-13.764044943820226</v>
      </c>
      <c r="L156" s="50">
        <f>VLOOKUP($A156,'Data shares'!$C:$FB,118)</f>
        <v>0.55000000000000004</v>
      </c>
      <c r="M156" s="50">
        <f>VLOOKUP($A156,'Data shares'!$C:$FB,119)</f>
        <v>0.53</v>
      </c>
      <c r="N156" s="50">
        <f>VLOOKUP($A156,'Data shares'!$C:$FB,121)*100</f>
        <v>3.7699999999999996</v>
      </c>
      <c r="O156" s="50">
        <f>VLOOKUP($A156,'Data shares'!$C:$FB,124)</f>
        <v>0.31</v>
      </c>
      <c r="P156" s="50">
        <f>VLOOKUP($A156,'Data shares'!$C:$FB,125)</f>
        <v>0.34</v>
      </c>
      <c r="Q156" s="50">
        <f>VLOOKUP($A156,'Data shares'!$C:$FB,127)*100</f>
        <v>-8.82</v>
      </c>
    </row>
    <row r="157" spans="1:17" x14ac:dyDescent="0.25">
      <c r="A157" s="97" t="str">
        <f>'Data Vlaue (Cr)'!C152</f>
        <v>ONGC</v>
      </c>
      <c r="B157" s="140">
        <f>VLOOKUP($A157,'Data shares'!$C:$FB,7)</f>
        <v>232</v>
      </c>
      <c r="C157" s="140">
        <f>VLOOKUP($A157,'Data shares'!$C:$FB,3)</f>
        <v>232.2</v>
      </c>
      <c r="D157" s="140">
        <f>VLOOKUP($A157,'Data shares'!$C:$FB,4)</f>
        <v>233.14</v>
      </c>
      <c r="E157" s="50">
        <f t="shared" si="6"/>
        <v>-0.40319121557862131</v>
      </c>
      <c r="F157" s="49">
        <f>VLOOKUP($A157,'Data shares'!$C:$FB,98)</f>
        <v>191391750</v>
      </c>
      <c r="G157" s="49">
        <f>VLOOKUP($A157,'Data shares'!$C:$FB,99)</f>
        <v>191153250</v>
      </c>
      <c r="H157" s="50">
        <f t="shared" si="7"/>
        <v>0.12476900078863425</v>
      </c>
      <c r="I157" s="49">
        <f>VLOOKUP($A157,'Data shares'!$C:$FB,66)</f>
        <v>54828000</v>
      </c>
      <c r="J157" s="49">
        <f>VLOOKUP($A157,'Data shares'!$C:$FB,67)</f>
        <v>68886000</v>
      </c>
      <c r="K157" s="50">
        <f t="shared" si="8"/>
        <v>-25.640183847669075</v>
      </c>
      <c r="L157" s="50">
        <f>VLOOKUP($A157,'Data shares'!$C:$FB,118)</f>
        <v>0.41</v>
      </c>
      <c r="M157" s="50">
        <f>VLOOKUP($A157,'Data shares'!$C:$FB,119)</f>
        <v>0.41</v>
      </c>
      <c r="N157" s="50">
        <f>VLOOKUP($A157,'Data shares'!$C:$FB,121)*100</f>
        <v>0</v>
      </c>
      <c r="O157" s="50">
        <f>VLOOKUP($A157,'Data shares'!$C:$FB,124)</f>
        <v>0.49</v>
      </c>
      <c r="P157" s="50">
        <f>VLOOKUP($A157,'Data shares'!$C:$FB,125)</f>
        <v>0.67</v>
      </c>
      <c r="Q157" s="50">
        <f>VLOOKUP($A157,'Data shares'!$C:$FB,127)*100</f>
        <v>-26.87</v>
      </c>
    </row>
    <row r="158" spans="1:17" x14ac:dyDescent="0.25">
      <c r="A158" s="97" t="str">
        <f>'Data Vlaue (Cr)'!C153</f>
        <v>PAGEIND</v>
      </c>
      <c r="B158" s="140">
        <f>VLOOKUP($A158,'Data shares'!$C:$FB,7)</f>
        <v>35695</v>
      </c>
      <c r="C158" s="140">
        <f>VLOOKUP($A158,'Data shares'!$C:$FB,3)</f>
        <v>35840</v>
      </c>
      <c r="D158" s="140">
        <f>VLOOKUP($A158,'Data shares'!$C:$FB,4)</f>
        <v>36085</v>
      </c>
      <c r="E158" s="50">
        <f t="shared" si="6"/>
        <v>-0.67895247332686715</v>
      </c>
      <c r="F158" s="49">
        <f>VLOOKUP($A158,'Data shares'!$C:$FB,98)</f>
        <v>460755</v>
      </c>
      <c r="G158" s="49">
        <f>VLOOKUP($A158,'Data shares'!$C:$FB,99)</f>
        <v>455415</v>
      </c>
      <c r="H158" s="50">
        <f t="shared" si="7"/>
        <v>1.1725568986528772</v>
      </c>
      <c r="I158" s="49">
        <f>VLOOKUP($A158,'Data shares'!$C:$FB,66)</f>
        <v>300825</v>
      </c>
      <c r="J158" s="49">
        <f>VLOOKUP($A158,'Data shares'!$C:$FB,67)</f>
        <v>216180</v>
      </c>
      <c r="K158" s="50">
        <f t="shared" si="8"/>
        <v>28.137621540762904</v>
      </c>
      <c r="L158" s="50">
        <f>VLOOKUP($A158,'Data shares'!$C:$FB,118)</f>
        <v>0.42</v>
      </c>
      <c r="M158" s="50">
        <f>VLOOKUP($A158,'Data shares'!$C:$FB,119)</f>
        <v>0.41</v>
      </c>
      <c r="N158" s="50">
        <f>VLOOKUP($A158,'Data shares'!$C:$FB,121)*100</f>
        <v>2.44</v>
      </c>
      <c r="O158" s="50">
        <f>VLOOKUP($A158,'Data shares'!$C:$FB,124)</f>
        <v>0.97</v>
      </c>
      <c r="P158" s="50">
        <f>VLOOKUP($A158,'Data shares'!$C:$FB,125)</f>
        <v>0.24</v>
      </c>
      <c r="Q158" s="50">
        <f>VLOOKUP($A158,'Data shares'!$C:$FB,127)*100</f>
        <v>304.17</v>
      </c>
    </row>
    <row r="159" spans="1:17" x14ac:dyDescent="0.25">
      <c r="A159" s="97" t="str">
        <f>'Data Vlaue (Cr)'!C154</f>
        <v>PATANJALI</v>
      </c>
      <c r="B159" s="140">
        <f>VLOOKUP($A159,'Data shares'!$C:$FB,7)</f>
        <v>550.29999999999995</v>
      </c>
      <c r="C159" s="140">
        <f>VLOOKUP($A159,'Data shares'!$C:$FB,3)</f>
        <v>552.15</v>
      </c>
      <c r="D159" s="140">
        <f>VLOOKUP($A159,'Data shares'!$C:$FB,4)</f>
        <v>544.6</v>
      </c>
      <c r="E159" s="50">
        <f t="shared" si="6"/>
        <v>1.3863385971355038</v>
      </c>
      <c r="F159" s="49">
        <f>VLOOKUP($A159,'Data shares'!$C:$FB,98)</f>
        <v>49893300</v>
      </c>
      <c r="G159" s="49">
        <f>VLOOKUP($A159,'Data shares'!$C:$FB,99)</f>
        <v>49038300</v>
      </c>
      <c r="H159" s="50">
        <f t="shared" si="7"/>
        <v>1.743535155174629</v>
      </c>
      <c r="I159" s="49">
        <f>VLOOKUP($A159,'Data shares'!$C:$FB,66)</f>
        <v>39901500</v>
      </c>
      <c r="J159" s="49">
        <f>VLOOKUP($A159,'Data shares'!$C:$FB,67)</f>
        <v>24479100</v>
      </c>
      <c r="K159" s="50">
        <f t="shared" si="8"/>
        <v>38.651178527123044</v>
      </c>
      <c r="L159" s="50">
        <f>VLOOKUP($A159,'Data shares'!$C:$FB,118)</f>
        <v>0.56000000000000005</v>
      </c>
      <c r="M159" s="50">
        <f>VLOOKUP($A159,'Data shares'!$C:$FB,119)</f>
        <v>0.48</v>
      </c>
      <c r="N159" s="50">
        <f>VLOOKUP($A159,'Data shares'!$C:$FB,121)*100</f>
        <v>16.669999999999998</v>
      </c>
      <c r="O159" s="50">
        <f>VLOOKUP($A159,'Data shares'!$C:$FB,124)</f>
        <v>0.46</v>
      </c>
      <c r="P159" s="50">
        <f>VLOOKUP($A159,'Data shares'!$C:$FB,125)</f>
        <v>0.32</v>
      </c>
      <c r="Q159" s="50">
        <f>VLOOKUP($A159,'Data shares'!$C:$FB,127)*100</f>
        <v>43.75</v>
      </c>
    </row>
    <row r="160" spans="1:17" x14ac:dyDescent="0.25">
      <c r="A160" s="97" t="str">
        <f>'Data Vlaue (Cr)'!C155</f>
        <v>PAYTM</v>
      </c>
      <c r="B160" s="140">
        <f>VLOOKUP($A160,'Data shares'!$C:$FB,7)</f>
        <v>1286.0999999999999</v>
      </c>
      <c r="C160" s="140">
        <f>VLOOKUP($A160,'Data shares'!$C:$FB,3)</f>
        <v>1290.5</v>
      </c>
      <c r="D160" s="140">
        <f>VLOOKUP($A160,'Data shares'!$C:$FB,4)</f>
        <v>1272.7</v>
      </c>
      <c r="E160" s="50">
        <f t="shared" si="6"/>
        <v>1.398601398601395</v>
      </c>
      <c r="F160" s="49">
        <f>VLOOKUP($A160,'Data shares'!$C:$FB,98)</f>
        <v>35764975</v>
      </c>
      <c r="G160" s="49">
        <f>VLOOKUP($A160,'Data shares'!$C:$FB,99)</f>
        <v>35577200</v>
      </c>
      <c r="H160" s="50">
        <f t="shared" si="7"/>
        <v>0.5277958917508967</v>
      </c>
      <c r="I160" s="49">
        <f>VLOOKUP($A160,'Data shares'!$C:$FB,66)</f>
        <v>27848700</v>
      </c>
      <c r="J160" s="49">
        <f>VLOOKUP($A160,'Data shares'!$C:$FB,67)</f>
        <v>15566475</v>
      </c>
      <c r="K160" s="50">
        <f t="shared" si="8"/>
        <v>44.10340518587941</v>
      </c>
      <c r="L160" s="50">
        <f>VLOOKUP($A160,'Data shares'!$C:$FB,118)</f>
        <v>0.56999999999999995</v>
      </c>
      <c r="M160" s="50">
        <f>VLOOKUP($A160,'Data shares'!$C:$FB,119)</f>
        <v>0.54</v>
      </c>
      <c r="N160" s="50">
        <f>VLOOKUP($A160,'Data shares'!$C:$FB,121)*100</f>
        <v>5.56</v>
      </c>
      <c r="O160" s="50">
        <f>VLOOKUP($A160,'Data shares'!$C:$FB,124)</f>
        <v>0.45</v>
      </c>
      <c r="P160" s="50">
        <f>VLOOKUP($A160,'Data shares'!$C:$FB,125)</f>
        <v>0.44</v>
      </c>
      <c r="Q160" s="50">
        <f>VLOOKUP($A160,'Data shares'!$C:$FB,127)*100</f>
        <v>2.27</v>
      </c>
    </row>
    <row r="161" spans="1:17" x14ac:dyDescent="0.25">
      <c r="A161" s="97" t="str">
        <f>'Data Vlaue (Cr)'!C156</f>
        <v>PERSISTENT</v>
      </c>
      <c r="B161" s="140">
        <f>VLOOKUP($A161,'Data shares'!$C:$FB,7)</f>
        <v>6318.5</v>
      </c>
      <c r="C161" s="140">
        <f>VLOOKUP($A161,'Data shares'!$C:$FB,3)</f>
        <v>6338</v>
      </c>
      <c r="D161" s="140">
        <f>VLOOKUP($A161,'Data shares'!$C:$FB,4)</f>
        <v>6289</v>
      </c>
      <c r="E161" s="50">
        <f t="shared" si="6"/>
        <v>0.77913817777071082</v>
      </c>
      <c r="F161" s="49">
        <f>VLOOKUP($A161,'Data shares'!$C:$FB,98)</f>
        <v>4073600</v>
      </c>
      <c r="G161" s="49">
        <f>VLOOKUP($A161,'Data shares'!$C:$FB,99)</f>
        <v>4053400</v>
      </c>
      <c r="H161" s="50">
        <f t="shared" si="7"/>
        <v>0.49834706666008782</v>
      </c>
      <c r="I161" s="49">
        <f>VLOOKUP($A161,'Data shares'!$C:$FB,66)</f>
        <v>2845900</v>
      </c>
      <c r="J161" s="49">
        <f>VLOOKUP($A161,'Data shares'!$C:$FB,67)</f>
        <v>2317100</v>
      </c>
      <c r="K161" s="50">
        <f t="shared" si="8"/>
        <v>18.581116694191643</v>
      </c>
      <c r="L161" s="50">
        <f>VLOOKUP($A161,'Data shares'!$C:$FB,118)</f>
        <v>0.62</v>
      </c>
      <c r="M161" s="50">
        <f>VLOOKUP($A161,'Data shares'!$C:$FB,119)</f>
        <v>0.57999999999999996</v>
      </c>
      <c r="N161" s="50">
        <f>VLOOKUP($A161,'Data shares'!$C:$FB,121)*100</f>
        <v>6.9</v>
      </c>
      <c r="O161" s="50">
        <f>VLOOKUP($A161,'Data shares'!$C:$FB,124)</f>
        <v>0.47</v>
      </c>
      <c r="P161" s="50">
        <f>VLOOKUP($A161,'Data shares'!$C:$FB,125)</f>
        <v>0.47</v>
      </c>
      <c r="Q161" s="50">
        <f>VLOOKUP($A161,'Data shares'!$C:$FB,127)*100</f>
        <v>0</v>
      </c>
    </row>
    <row r="162" spans="1:17" x14ac:dyDescent="0.25">
      <c r="A162" s="97" t="str">
        <f>'Data Vlaue (Cr)'!C157</f>
        <v>PETRONET</v>
      </c>
      <c r="B162" s="140">
        <f>VLOOKUP($A162,'Data shares'!$C:$FB,7)</f>
        <v>268.8</v>
      </c>
      <c r="C162" s="140">
        <f>VLOOKUP($A162,'Data shares'!$C:$FB,3)</f>
        <v>269.60000000000002</v>
      </c>
      <c r="D162" s="140">
        <f>VLOOKUP($A162,'Data shares'!$C:$FB,4)</f>
        <v>269.45</v>
      </c>
      <c r="E162" s="50">
        <f t="shared" si="6"/>
        <v>5.5668955279285247E-2</v>
      </c>
      <c r="F162" s="49">
        <f>VLOOKUP($A162,'Data shares'!$C:$FB,98)</f>
        <v>82166300</v>
      </c>
      <c r="G162" s="49">
        <f>VLOOKUP($A162,'Data shares'!$C:$FB,99)</f>
        <v>81948200</v>
      </c>
      <c r="H162" s="50">
        <f t="shared" si="7"/>
        <v>0.26614373470070118</v>
      </c>
      <c r="I162" s="49">
        <f>VLOOKUP($A162,'Data shares'!$C:$FB,66)</f>
        <v>11691000</v>
      </c>
      <c r="J162" s="49">
        <f>VLOOKUP($A162,'Data shares'!$C:$FB,67)</f>
        <v>13039200</v>
      </c>
      <c r="K162" s="50">
        <f t="shared" si="8"/>
        <v>-11.531947652040031</v>
      </c>
      <c r="L162" s="50">
        <f>VLOOKUP($A162,'Data shares'!$C:$FB,118)</f>
        <v>1.02</v>
      </c>
      <c r="M162" s="50">
        <f>VLOOKUP($A162,'Data shares'!$C:$FB,119)</f>
        <v>1.01</v>
      </c>
      <c r="N162" s="50">
        <f>VLOOKUP($A162,'Data shares'!$C:$FB,121)*100</f>
        <v>0.9900000000000001</v>
      </c>
      <c r="O162" s="50">
        <f>VLOOKUP($A162,'Data shares'!$C:$FB,124)</f>
        <v>0.52</v>
      </c>
      <c r="P162" s="50">
        <f>VLOOKUP($A162,'Data shares'!$C:$FB,125)</f>
        <v>0.7</v>
      </c>
      <c r="Q162" s="50">
        <f>VLOOKUP($A162,'Data shares'!$C:$FB,127)*100</f>
        <v>-25.71</v>
      </c>
    </row>
    <row r="163" spans="1:17" x14ac:dyDescent="0.25">
      <c r="A163" s="97" t="str">
        <f>'Data Vlaue (Cr)'!C158</f>
        <v>PFC</v>
      </c>
      <c r="B163" s="140">
        <f>VLOOKUP($A163,'Data shares'!$C:$FB,7)</f>
        <v>335.05</v>
      </c>
      <c r="C163" s="140">
        <f>VLOOKUP($A163,'Data shares'!$C:$FB,3)</f>
        <v>336.1</v>
      </c>
      <c r="D163" s="140">
        <f>VLOOKUP($A163,'Data shares'!$C:$FB,4)</f>
        <v>336.75</v>
      </c>
      <c r="E163" s="50">
        <f t="shared" si="6"/>
        <v>-0.19302152932441791</v>
      </c>
      <c r="F163" s="49">
        <f>VLOOKUP($A163,'Data shares'!$C:$FB,98)</f>
        <v>168389000</v>
      </c>
      <c r="G163" s="49">
        <f>VLOOKUP($A163,'Data shares'!$C:$FB,99)</f>
        <v>165958000</v>
      </c>
      <c r="H163" s="50">
        <f t="shared" si="7"/>
        <v>1.4648284505718314</v>
      </c>
      <c r="I163" s="49">
        <f>VLOOKUP($A163,'Data shares'!$C:$FB,66)</f>
        <v>69291300</v>
      </c>
      <c r="J163" s="49">
        <f>VLOOKUP($A163,'Data shares'!$C:$FB,67)</f>
        <v>41528500</v>
      </c>
      <c r="K163" s="50">
        <f t="shared" si="8"/>
        <v>40.066790491735617</v>
      </c>
      <c r="L163" s="50">
        <f>VLOOKUP($A163,'Data shares'!$C:$FB,118)</f>
        <v>0.61</v>
      </c>
      <c r="M163" s="50">
        <f>VLOOKUP($A163,'Data shares'!$C:$FB,119)</f>
        <v>0.59</v>
      </c>
      <c r="N163" s="50">
        <f>VLOOKUP($A163,'Data shares'!$C:$FB,121)*100</f>
        <v>3.39</v>
      </c>
      <c r="O163" s="50">
        <f>VLOOKUP($A163,'Data shares'!$C:$FB,124)</f>
        <v>0.41</v>
      </c>
      <c r="P163" s="50">
        <f>VLOOKUP($A163,'Data shares'!$C:$FB,125)</f>
        <v>0.38</v>
      </c>
      <c r="Q163" s="50">
        <f>VLOOKUP($A163,'Data shares'!$C:$FB,127)*100</f>
        <v>7.89</v>
      </c>
    </row>
    <row r="164" spans="1:17" x14ac:dyDescent="0.25">
      <c r="A164" s="97" t="str">
        <f>'Data Vlaue (Cr)'!C159</f>
        <v>PGEL</v>
      </c>
      <c r="B164" s="140">
        <f>VLOOKUP($A164,'Data shares'!$C:$FB,7)</f>
        <v>566.35</v>
      </c>
      <c r="C164" s="140">
        <f>VLOOKUP($A164,'Data shares'!$C:$FB,3)</f>
        <v>566.29999999999995</v>
      </c>
      <c r="D164" s="140">
        <f>VLOOKUP($A164,'Data shares'!$C:$FB,4)</f>
        <v>563.65</v>
      </c>
      <c r="E164" s="50">
        <f t="shared" si="6"/>
        <v>0.47014991572784132</v>
      </c>
      <c r="F164" s="49">
        <f>VLOOKUP($A164,'Data shares'!$C:$FB,98)</f>
        <v>24250200</v>
      </c>
      <c r="G164" s="49">
        <f>VLOOKUP($A164,'Data shares'!$C:$FB,99)</f>
        <v>24563650</v>
      </c>
      <c r="H164" s="50">
        <f t="shared" si="7"/>
        <v>-1.2760725706480918</v>
      </c>
      <c r="I164" s="49">
        <f>VLOOKUP($A164,'Data shares'!$C:$FB,66)</f>
        <v>10602900</v>
      </c>
      <c r="J164" s="49">
        <f>VLOOKUP($A164,'Data shares'!$C:$FB,67)</f>
        <v>11981200</v>
      </c>
      <c r="K164" s="50">
        <f t="shared" si="8"/>
        <v>-12.999273783587508</v>
      </c>
      <c r="L164" s="50">
        <f>VLOOKUP($A164,'Data shares'!$C:$FB,118)</f>
        <v>0.66</v>
      </c>
      <c r="M164" s="50">
        <f>VLOOKUP($A164,'Data shares'!$C:$FB,119)</f>
        <v>0.63</v>
      </c>
      <c r="N164" s="50">
        <f>VLOOKUP($A164,'Data shares'!$C:$FB,121)*100</f>
        <v>4.7600000000000007</v>
      </c>
      <c r="O164" s="50">
        <f>VLOOKUP($A164,'Data shares'!$C:$FB,124)</f>
        <v>0.36</v>
      </c>
      <c r="P164" s="50">
        <f>VLOOKUP($A164,'Data shares'!$C:$FB,125)</f>
        <v>0.41</v>
      </c>
      <c r="Q164" s="50">
        <f>VLOOKUP($A164,'Data shares'!$C:$FB,127)*100</f>
        <v>-12.2</v>
      </c>
    </row>
    <row r="165" spans="1:17" x14ac:dyDescent="0.25">
      <c r="A165" s="97" t="str">
        <f>'Data Vlaue (Cr)'!C160</f>
        <v>PHOENIXLTD</v>
      </c>
      <c r="B165" s="140">
        <f>VLOOKUP($A165,'Data shares'!$C:$FB,7)</f>
        <v>1798</v>
      </c>
      <c r="C165" s="140">
        <f>VLOOKUP($A165,'Data shares'!$C:$FB,3)</f>
        <v>1802.6</v>
      </c>
      <c r="D165" s="140">
        <f>VLOOKUP($A165,'Data shares'!$C:$FB,4)</f>
        <v>1782.5</v>
      </c>
      <c r="E165" s="50">
        <f t="shared" si="6"/>
        <v>1.1276297335203316</v>
      </c>
      <c r="F165" s="49">
        <f>VLOOKUP($A165,'Data shares'!$C:$FB,98)</f>
        <v>5345900</v>
      </c>
      <c r="G165" s="49">
        <f>VLOOKUP($A165,'Data shares'!$C:$FB,99)</f>
        <v>5355000</v>
      </c>
      <c r="H165" s="50">
        <f t="shared" si="7"/>
        <v>-0.16993464052287582</v>
      </c>
      <c r="I165" s="49">
        <f>VLOOKUP($A165,'Data shares'!$C:$FB,66)</f>
        <v>1620150</v>
      </c>
      <c r="J165" s="49">
        <f>VLOOKUP($A165,'Data shares'!$C:$FB,67)</f>
        <v>1239350</v>
      </c>
      <c r="K165" s="50">
        <f t="shared" si="8"/>
        <v>23.503996543529919</v>
      </c>
      <c r="L165" s="50">
        <f>VLOOKUP($A165,'Data shares'!$C:$FB,118)</f>
        <v>0.53</v>
      </c>
      <c r="M165" s="50">
        <f>VLOOKUP($A165,'Data shares'!$C:$FB,119)</f>
        <v>0.51</v>
      </c>
      <c r="N165" s="50">
        <f>VLOOKUP($A165,'Data shares'!$C:$FB,121)*100</f>
        <v>3.92</v>
      </c>
      <c r="O165" s="50">
        <f>VLOOKUP($A165,'Data shares'!$C:$FB,124)</f>
        <v>0.37</v>
      </c>
      <c r="P165" s="50">
        <f>VLOOKUP($A165,'Data shares'!$C:$FB,125)</f>
        <v>0.42</v>
      </c>
      <c r="Q165" s="50">
        <f>VLOOKUP($A165,'Data shares'!$C:$FB,127)*100</f>
        <v>-11.899999999999999</v>
      </c>
    </row>
    <row r="166" spans="1:17" x14ac:dyDescent="0.25">
      <c r="A166" s="97" t="str">
        <f>'Data Vlaue (Cr)'!C161</f>
        <v>PIDILITIND</v>
      </c>
      <c r="B166" s="140">
        <f>VLOOKUP($A166,'Data shares'!$C:$FB,7)</f>
        <v>1451.6</v>
      </c>
      <c r="C166" s="140">
        <f>VLOOKUP($A166,'Data shares'!$C:$FB,3)</f>
        <v>1455</v>
      </c>
      <c r="D166" s="140">
        <f>VLOOKUP($A166,'Data shares'!$C:$FB,4)</f>
        <v>1452.6</v>
      </c>
      <c r="E166" s="50">
        <f t="shared" si="6"/>
        <v>0.1652209830648555</v>
      </c>
      <c r="F166" s="49">
        <f>VLOOKUP($A166,'Data shares'!$C:$FB,98)</f>
        <v>9879500</v>
      </c>
      <c r="G166" s="49">
        <f>VLOOKUP($A166,'Data shares'!$C:$FB,99)</f>
        <v>9684000</v>
      </c>
      <c r="H166" s="50">
        <f t="shared" si="7"/>
        <v>2.0187938868236266</v>
      </c>
      <c r="I166" s="49">
        <f>VLOOKUP($A166,'Data shares'!$C:$FB,66)</f>
        <v>2115500</v>
      </c>
      <c r="J166" s="49">
        <f>VLOOKUP($A166,'Data shares'!$C:$FB,67)</f>
        <v>3561500</v>
      </c>
      <c r="K166" s="50">
        <f t="shared" si="8"/>
        <v>-68.352635310801219</v>
      </c>
      <c r="L166" s="50">
        <f>VLOOKUP($A166,'Data shares'!$C:$FB,118)</f>
        <v>0.72</v>
      </c>
      <c r="M166" s="50">
        <f>VLOOKUP($A166,'Data shares'!$C:$FB,119)</f>
        <v>0.74</v>
      </c>
      <c r="N166" s="50">
        <f>VLOOKUP($A166,'Data shares'!$C:$FB,121)*100</f>
        <v>-2.7</v>
      </c>
      <c r="O166" s="50">
        <f>VLOOKUP($A166,'Data shares'!$C:$FB,124)</f>
        <v>0.5</v>
      </c>
      <c r="P166" s="50">
        <f>VLOOKUP($A166,'Data shares'!$C:$FB,125)</f>
        <v>0.75</v>
      </c>
      <c r="Q166" s="50">
        <f>VLOOKUP($A166,'Data shares'!$C:$FB,127)*100</f>
        <v>-33.33</v>
      </c>
    </row>
    <row r="167" spans="1:17" x14ac:dyDescent="0.25">
      <c r="A167" s="97" t="str">
        <f>'Data Vlaue (Cr)'!C162</f>
        <v>PIIND</v>
      </c>
      <c r="B167" s="140">
        <f>VLOOKUP($A167,'Data shares'!$C:$FB,7)</f>
        <v>3213.8</v>
      </c>
      <c r="C167" s="140">
        <f>VLOOKUP($A167,'Data shares'!$C:$FB,3)</f>
        <v>3225.3</v>
      </c>
      <c r="D167" s="140">
        <f>VLOOKUP($A167,'Data shares'!$C:$FB,4)</f>
        <v>3216.6</v>
      </c>
      <c r="E167" s="50">
        <f t="shared" si="6"/>
        <v>0.27047192687932209</v>
      </c>
      <c r="F167" s="49">
        <f>VLOOKUP($A167,'Data shares'!$C:$FB,98)</f>
        <v>4452000</v>
      </c>
      <c r="G167" s="49">
        <f>VLOOKUP($A167,'Data shares'!$C:$FB,99)</f>
        <v>4482800</v>
      </c>
      <c r="H167" s="50">
        <f t="shared" si="7"/>
        <v>-0.68707058088694561</v>
      </c>
      <c r="I167" s="49">
        <f>VLOOKUP($A167,'Data shares'!$C:$FB,66)</f>
        <v>1379700</v>
      </c>
      <c r="J167" s="49">
        <f>VLOOKUP($A167,'Data shares'!$C:$FB,67)</f>
        <v>1778350</v>
      </c>
      <c r="K167" s="50">
        <f t="shared" si="8"/>
        <v>-28.893962455606292</v>
      </c>
      <c r="L167" s="50">
        <f>VLOOKUP($A167,'Data shares'!$C:$FB,118)</f>
        <v>0.69</v>
      </c>
      <c r="M167" s="50">
        <f>VLOOKUP($A167,'Data shares'!$C:$FB,119)</f>
        <v>0.63</v>
      </c>
      <c r="N167" s="50">
        <f>VLOOKUP($A167,'Data shares'!$C:$FB,121)*100</f>
        <v>9.5200000000000014</v>
      </c>
      <c r="O167" s="50">
        <f>VLOOKUP($A167,'Data shares'!$C:$FB,124)</f>
        <v>0.78</v>
      </c>
      <c r="P167" s="50">
        <f>VLOOKUP($A167,'Data shares'!$C:$FB,125)</f>
        <v>0.66</v>
      </c>
      <c r="Q167" s="50">
        <f>VLOOKUP($A167,'Data shares'!$C:$FB,127)*100</f>
        <v>18.18</v>
      </c>
    </row>
    <row r="168" spans="1:17" x14ac:dyDescent="0.25">
      <c r="A168" s="97" t="str">
        <f>'Data Vlaue (Cr)'!C163</f>
        <v>PNB</v>
      </c>
      <c r="B168" s="140">
        <f>VLOOKUP($A168,'Data shares'!$C:$FB,7)</f>
        <v>118.9</v>
      </c>
      <c r="C168" s="140">
        <f>VLOOKUP($A168,'Data shares'!$C:$FB,3)</f>
        <v>119.06</v>
      </c>
      <c r="D168" s="140">
        <f>VLOOKUP($A168,'Data shares'!$C:$FB,4)</f>
        <v>119.75</v>
      </c>
      <c r="E168" s="50">
        <f t="shared" si="6"/>
        <v>-0.57620041753653262</v>
      </c>
      <c r="F168" s="49">
        <f>VLOOKUP($A168,'Data shares'!$C:$FB,98)</f>
        <v>533504000</v>
      </c>
      <c r="G168" s="49">
        <f>VLOOKUP($A168,'Data shares'!$C:$FB,99)</f>
        <v>529536000</v>
      </c>
      <c r="H168" s="50">
        <f t="shared" si="7"/>
        <v>0.74933526710176457</v>
      </c>
      <c r="I168" s="49">
        <f>VLOOKUP($A168,'Data shares'!$C:$FB,66)</f>
        <v>232232000</v>
      </c>
      <c r="J168" s="49">
        <f>VLOOKUP($A168,'Data shares'!$C:$FB,67)</f>
        <v>337376000</v>
      </c>
      <c r="K168" s="50">
        <f t="shared" si="8"/>
        <v>-45.275414240931482</v>
      </c>
      <c r="L168" s="50">
        <f>VLOOKUP($A168,'Data shares'!$C:$FB,118)</f>
        <v>0.55000000000000004</v>
      </c>
      <c r="M168" s="50">
        <f>VLOOKUP($A168,'Data shares'!$C:$FB,119)</f>
        <v>0.55000000000000004</v>
      </c>
      <c r="N168" s="50">
        <f>VLOOKUP($A168,'Data shares'!$C:$FB,121)*100</f>
        <v>0</v>
      </c>
      <c r="O168" s="50">
        <f>VLOOKUP($A168,'Data shares'!$C:$FB,124)</f>
        <v>0.5</v>
      </c>
      <c r="P168" s="50">
        <f>VLOOKUP($A168,'Data shares'!$C:$FB,125)</f>
        <v>0.42</v>
      </c>
      <c r="Q168" s="50">
        <f>VLOOKUP($A168,'Data shares'!$C:$FB,127)*100</f>
        <v>19.05</v>
      </c>
    </row>
    <row r="169" spans="1:17" x14ac:dyDescent="0.25">
      <c r="A169" s="97" t="str">
        <f>'Data Vlaue (Cr)'!C164</f>
        <v>PNBHOUSING</v>
      </c>
      <c r="B169" s="140">
        <f>VLOOKUP($A169,'Data shares'!$C:$FB,7)</f>
        <v>896.15</v>
      </c>
      <c r="C169" s="140">
        <f>VLOOKUP($A169,'Data shares'!$C:$FB,3)</f>
        <v>898.8</v>
      </c>
      <c r="D169" s="140">
        <f>VLOOKUP($A169,'Data shares'!$C:$FB,4)</f>
        <v>897.8</v>
      </c>
      <c r="E169" s="50">
        <f t="shared" si="6"/>
        <v>0.11138338159946537</v>
      </c>
      <c r="F169" s="49">
        <f>VLOOKUP($A169,'Data shares'!$C:$FB,98)</f>
        <v>28880800</v>
      </c>
      <c r="G169" s="49">
        <f>VLOOKUP($A169,'Data shares'!$C:$FB,99)</f>
        <v>28679950</v>
      </c>
      <c r="H169" s="50">
        <f t="shared" si="7"/>
        <v>0.70031502844321558</v>
      </c>
      <c r="I169" s="49">
        <f>VLOOKUP($A169,'Data shares'!$C:$FB,66)</f>
        <v>13419900</v>
      </c>
      <c r="J169" s="49">
        <f>VLOOKUP($A169,'Data shares'!$C:$FB,67)</f>
        <v>10686650</v>
      </c>
      <c r="K169" s="50">
        <f t="shared" si="8"/>
        <v>20.367141334883271</v>
      </c>
      <c r="L169" s="50">
        <f>VLOOKUP($A169,'Data shares'!$C:$FB,118)</f>
        <v>0.57999999999999996</v>
      </c>
      <c r="M169" s="50">
        <f>VLOOKUP($A169,'Data shares'!$C:$FB,119)</f>
        <v>0.62</v>
      </c>
      <c r="N169" s="50">
        <f>VLOOKUP($A169,'Data shares'!$C:$FB,121)*100</f>
        <v>-6.45</v>
      </c>
      <c r="O169" s="50">
        <f>VLOOKUP($A169,'Data shares'!$C:$FB,124)</f>
        <v>0.53</v>
      </c>
      <c r="P169" s="50">
        <f>VLOOKUP($A169,'Data shares'!$C:$FB,125)</f>
        <v>0.49</v>
      </c>
      <c r="Q169" s="50">
        <f>VLOOKUP($A169,'Data shares'!$C:$FB,127)*100</f>
        <v>8.16</v>
      </c>
    </row>
    <row r="170" spans="1:17" x14ac:dyDescent="0.25">
      <c r="A170" s="97" t="str">
        <f>'Data Vlaue (Cr)'!C165</f>
        <v>POLICYBZR</v>
      </c>
      <c r="B170" s="140">
        <f>VLOOKUP($A170,'Data shares'!$C:$FB,7)</f>
        <v>1834.4</v>
      </c>
      <c r="C170" s="140">
        <f>VLOOKUP($A170,'Data shares'!$C:$FB,3)</f>
        <v>1839.4</v>
      </c>
      <c r="D170" s="140">
        <f>VLOOKUP($A170,'Data shares'!$C:$FB,4)</f>
        <v>1770.4</v>
      </c>
      <c r="E170" s="50">
        <f t="shared" si="6"/>
        <v>3.897424310890194</v>
      </c>
      <c r="F170" s="49">
        <f>VLOOKUP($A170,'Data shares'!$C:$FB,98)</f>
        <v>11936750</v>
      </c>
      <c r="G170" s="49">
        <f>VLOOKUP($A170,'Data shares'!$C:$FB,99)</f>
        <v>12266800</v>
      </c>
      <c r="H170" s="50">
        <f t="shared" si="7"/>
        <v>-2.690595754393974</v>
      </c>
      <c r="I170" s="49">
        <f>VLOOKUP($A170,'Data shares'!$C:$FB,66)</f>
        <v>14463750</v>
      </c>
      <c r="J170" s="49">
        <f>VLOOKUP($A170,'Data shares'!$C:$FB,67)</f>
        <v>24197250</v>
      </c>
      <c r="K170" s="50">
        <f t="shared" si="8"/>
        <v>-67.295825771324871</v>
      </c>
      <c r="L170" s="50">
        <f>VLOOKUP($A170,'Data shares'!$C:$FB,118)</f>
        <v>0.7</v>
      </c>
      <c r="M170" s="50">
        <f>VLOOKUP($A170,'Data shares'!$C:$FB,119)</f>
        <v>0.62</v>
      </c>
      <c r="N170" s="50">
        <f>VLOOKUP($A170,'Data shares'!$C:$FB,121)*100</f>
        <v>12.9</v>
      </c>
      <c r="O170" s="50">
        <f>VLOOKUP($A170,'Data shares'!$C:$FB,124)</f>
        <v>0.6</v>
      </c>
      <c r="P170" s="50">
        <f>VLOOKUP($A170,'Data shares'!$C:$FB,125)</f>
        <v>1.1100000000000001</v>
      </c>
      <c r="Q170" s="50">
        <f>VLOOKUP($A170,'Data shares'!$C:$FB,127)*100</f>
        <v>-45.95</v>
      </c>
    </row>
    <row r="171" spans="1:17" x14ac:dyDescent="0.25">
      <c r="A171" s="97" t="str">
        <f>'Data Vlaue (Cr)'!C166</f>
        <v>POLYCAB</v>
      </c>
      <c r="B171" s="140">
        <f>VLOOKUP($A171,'Data shares'!$C:$FB,7)</f>
        <v>7099</v>
      </c>
      <c r="C171" s="140">
        <f>VLOOKUP($A171,'Data shares'!$C:$FB,3)</f>
        <v>7122</v>
      </c>
      <c r="D171" s="140">
        <f>VLOOKUP($A171,'Data shares'!$C:$FB,4)</f>
        <v>7103</v>
      </c>
      <c r="E171" s="50">
        <f t="shared" si="6"/>
        <v>0.26749260875686331</v>
      </c>
      <c r="F171" s="49">
        <f>VLOOKUP($A171,'Data shares'!$C:$FB,98)</f>
        <v>3858375</v>
      </c>
      <c r="G171" s="49">
        <f>VLOOKUP($A171,'Data shares'!$C:$FB,99)</f>
        <v>4015750</v>
      </c>
      <c r="H171" s="50">
        <f t="shared" si="7"/>
        <v>-3.9189441573803148</v>
      </c>
      <c r="I171" s="49">
        <f>VLOOKUP($A171,'Data shares'!$C:$FB,66)</f>
        <v>3566500</v>
      </c>
      <c r="J171" s="49">
        <f>VLOOKUP($A171,'Data shares'!$C:$FB,67)</f>
        <v>11192750</v>
      </c>
      <c r="K171" s="50">
        <f t="shared" si="8"/>
        <v>-213.83008551801487</v>
      </c>
      <c r="L171" s="50">
        <f>VLOOKUP($A171,'Data shares'!$C:$FB,118)</f>
        <v>0.61</v>
      </c>
      <c r="M171" s="50">
        <f>VLOOKUP($A171,'Data shares'!$C:$FB,119)</f>
        <v>0.66</v>
      </c>
      <c r="N171" s="50">
        <f>VLOOKUP($A171,'Data shares'!$C:$FB,121)*100</f>
        <v>-7.580000000000001</v>
      </c>
      <c r="O171" s="50">
        <f>VLOOKUP($A171,'Data shares'!$C:$FB,124)</f>
        <v>0.8</v>
      </c>
      <c r="P171" s="50">
        <f>VLOOKUP($A171,'Data shares'!$C:$FB,125)</f>
        <v>1.21</v>
      </c>
      <c r="Q171" s="50">
        <f>VLOOKUP($A171,'Data shares'!$C:$FB,127)*100</f>
        <v>-33.879999999999995</v>
      </c>
    </row>
    <row r="172" spans="1:17" x14ac:dyDescent="0.25">
      <c r="A172" s="97" t="str">
        <f>'Data Vlaue (Cr)'!C167</f>
        <v>POWERGRID</v>
      </c>
      <c r="B172" s="140">
        <f>VLOOKUP($A172,'Data shares'!$C:$FB,7)</f>
        <v>257.95</v>
      </c>
      <c r="C172" s="140">
        <f>VLOOKUP($A172,'Data shares'!$C:$FB,3)</f>
        <v>258.75</v>
      </c>
      <c r="D172" s="140">
        <f>VLOOKUP($A172,'Data shares'!$C:$FB,4)</f>
        <v>261.89999999999998</v>
      </c>
      <c r="E172" s="50">
        <f t="shared" si="6"/>
        <v>-1.2027491408934621</v>
      </c>
      <c r="F172" s="49">
        <f>VLOOKUP($A172,'Data shares'!$C:$FB,98)</f>
        <v>145864900</v>
      </c>
      <c r="G172" s="49">
        <f>VLOOKUP($A172,'Data shares'!$C:$FB,99)</f>
        <v>138684800</v>
      </c>
      <c r="H172" s="50">
        <f t="shared" si="7"/>
        <v>5.177279701885138</v>
      </c>
      <c r="I172" s="49">
        <f>VLOOKUP($A172,'Data shares'!$C:$FB,66)</f>
        <v>65705800</v>
      </c>
      <c r="J172" s="49">
        <f>VLOOKUP($A172,'Data shares'!$C:$FB,67)</f>
        <v>28842000</v>
      </c>
      <c r="K172" s="50">
        <f t="shared" si="8"/>
        <v>56.104331733271643</v>
      </c>
      <c r="L172" s="50">
        <f>VLOOKUP($A172,'Data shares'!$C:$FB,118)</f>
        <v>0.59</v>
      </c>
      <c r="M172" s="50">
        <f>VLOOKUP($A172,'Data shares'!$C:$FB,119)</f>
        <v>0.61</v>
      </c>
      <c r="N172" s="50">
        <f>VLOOKUP($A172,'Data shares'!$C:$FB,121)*100</f>
        <v>-3.2800000000000002</v>
      </c>
      <c r="O172" s="50">
        <f>VLOOKUP($A172,'Data shares'!$C:$FB,124)</f>
        <v>0.5</v>
      </c>
      <c r="P172" s="50">
        <f>VLOOKUP($A172,'Data shares'!$C:$FB,125)</f>
        <v>0.35</v>
      </c>
      <c r="Q172" s="50">
        <f>VLOOKUP($A172,'Data shares'!$C:$FB,127)*100</f>
        <v>42.86</v>
      </c>
    </row>
    <row r="173" spans="1:17" x14ac:dyDescent="0.25">
      <c r="A173" s="97" t="str">
        <f>'Data Vlaue (Cr)'!C168</f>
        <v>POWERINDIA</v>
      </c>
      <c r="B173" s="140">
        <f>VLOOKUP($A173,'Data shares'!$C:$FB,7)</f>
        <v>18160</v>
      </c>
      <c r="C173" s="140">
        <f>VLOOKUP($A173,'Data shares'!$C:$FB,3)</f>
        <v>18210</v>
      </c>
      <c r="D173" s="140">
        <f>VLOOKUP($A173,'Data shares'!$C:$FB,4)</f>
        <v>19215</v>
      </c>
      <c r="E173" s="50">
        <f t="shared" ref="E173:E182" si="9">(C173-D173)/D173*100</f>
        <v>-5.2302888368462144</v>
      </c>
      <c r="F173" s="49">
        <f>VLOOKUP($A173,'Data shares'!$C:$FB,98)</f>
        <v>1157050</v>
      </c>
      <c r="G173" s="49">
        <f>VLOOKUP($A173,'Data shares'!$C:$FB,99)</f>
        <v>988750</v>
      </c>
      <c r="H173" s="50">
        <f t="shared" ref="H173:H182" si="10">(F173-G173)/G173*100</f>
        <v>17.021491782553731</v>
      </c>
      <c r="I173" s="49">
        <f>VLOOKUP($A173,'Data shares'!$C:$FB,66)</f>
        <v>3037600</v>
      </c>
      <c r="J173" s="49">
        <f>VLOOKUP($A173,'Data shares'!$C:$FB,67)</f>
        <v>613200</v>
      </c>
      <c r="K173" s="50">
        <f t="shared" ref="K173:K182" si="11">(I173-J173)/I173*100</f>
        <v>79.813010271266791</v>
      </c>
      <c r="L173" s="50">
        <f>VLOOKUP($A173,'Data shares'!$C:$FB,118)</f>
        <v>0.32</v>
      </c>
      <c r="M173" s="50">
        <f>VLOOKUP($A173,'Data shares'!$C:$FB,119)</f>
        <v>0.38</v>
      </c>
      <c r="N173" s="50">
        <f>VLOOKUP($A173,'Data shares'!$C:$FB,121)*100</f>
        <v>-15.790000000000001</v>
      </c>
      <c r="O173" s="50">
        <f>VLOOKUP($A173,'Data shares'!$C:$FB,124)</f>
        <v>0.79</v>
      </c>
      <c r="P173" s="50">
        <f>VLOOKUP($A173,'Data shares'!$C:$FB,125)</f>
        <v>0.28000000000000003</v>
      </c>
      <c r="Q173" s="50">
        <f>VLOOKUP($A173,'Data shares'!$C:$FB,127)*100</f>
        <v>182.14</v>
      </c>
    </row>
    <row r="174" spans="1:17" x14ac:dyDescent="0.25">
      <c r="A174" s="97" t="str">
        <f>'Data Vlaue (Cr)'!C169</f>
        <v>PPLPHARMA</v>
      </c>
      <c r="B174" s="140">
        <f>VLOOKUP($A174,'Data shares'!$C:$FB,7)</f>
        <v>166.52</v>
      </c>
      <c r="C174" s="140">
        <f>VLOOKUP($A174,'Data shares'!$C:$FB,3)</f>
        <v>167.19</v>
      </c>
      <c r="D174" s="140">
        <f>VLOOKUP($A174,'Data shares'!$C:$FB,4)</f>
        <v>168.2</v>
      </c>
      <c r="E174" s="50">
        <f t="shared" si="9"/>
        <v>-0.60047562425683165</v>
      </c>
      <c r="F174" s="49">
        <f>VLOOKUP($A174,'Data shares'!$C:$FB,98)</f>
        <v>54531875</v>
      </c>
      <c r="G174" s="49">
        <f>VLOOKUP($A174,'Data shares'!$C:$FB,99)</f>
        <v>54202875</v>
      </c>
      <c r="H174" s="50">
        <f t="shared" si="10"/>
        <v>0.60697887335312017</v>
      </c>
      <c r="I174" s="49">
        <f>VLOOKUP($A174,'Data shares'!$C:$FB,66)</f>
        <v>16690000</v>
      </c>
      <c r="J174" s="49">
        <f>VLOOKUP($A174,'Data shares'!$C:$FB,67)</f>
        <v>15385000</v>
      </c>
      <c r="K174" s="50">
        <f t="shared" si="11"/>
        <v>7.8190533253445178</v>
      </c>
      <c r="L174" s="50">
        <f>VLOOKUP($A174,'Data shares'!$C:$FB,118)</f>
        <v>0.42</v>
      </c>
      <c r="M174" s="50">
        <f>VLOOKUP($A174,'Data shares'!$C:$FB,119)</f>
        <v>0.43</v>
      </c>
      <c r="N174" s="50">
        <f>VLOOKUP($A174,'Data shares'!$C:$FB,121)*100</f>
        <v>-2.33</v>
      </c>
      <c r="O174" s="50">
        <f>VLOOKUP($A174,'Data shares'!$C:$FB,124)</f>
        <v>0.27</v>
      </c>
      <c r="P174" s="50">
        <f>VLOOKUP($A174,'Data shares'!$C:$FB,125)</f>
        <v>0.4</v>
      </c>
      <c r="Q174" s="50">
        <f>VLOOKUP($A174,'Data shares'!$C:$FB,127)*100</f>
        <v>-32.5</v>
      </c>
    </row>
    <row r="175" spans="1:17" x14ac:dyDescent="0.25">
      <c r="A175" s="97" t="str">
        <f>'Data Vlaue (Cr)'!C170</f>
        <v>PRESTIGE</v>
      </c>
      <c r="B175" s="140">
        <f>VLOOKUP($A175,'Data shares'!$C:$FB,7)</f>
        <v>1600.2</v>
      </c>
      <c r="C175" s="140">
        <f>VLOOKUP($A175,'Data shares'!$C:$FB,3)</f>
        <v>1605.1</v>
      </c>
      <c r="D175" s="140">
        <f>VLOOKUP($A175,'Data shares'!$C:$FB,4)</f>
        <v>1613.2</v>
      </c>
      <c r="E175" s="50">
        <f t="shared" si="9"/>
        <v>-0.50210761219936373</v>
      </c>
      <c r="F175" s="49">
        <f>VLOOKUP($A175,'Data shares'!$C:$FB,98)</f>
        <v>7489800</v>
      </c>
      <c r="G175" s="49">
        <f>VLOOKUP($A175,'Data shares'!$C:$FB,99)</f>
        <v>7461000</v>
      </c>
      <c r="H175" s="50">
        <f t="shared" si="10"/>
        <v>0.38600723763570566</v>
      </c>
      <c r="I175" s="49">
        <f>VLOOKUP($A175,'Data shares'!$C:$FB,66)</f>
        <v>2597850</v>
      </c>
      <c r="J175" s="49">
        <f>VLOOKUP($A175,'Data shares'!$C:$FB,67)</f>
        <v>1768050</v>
      </c>
      <c r="K175" s="50">
        <f t="shared" si="11"/>
        <v>31.94179802529014</v>
      </c>
      <c r="L175" s="50">
        <f>VLOOKUP($A175,'Data shares'!$C:$FB,118)</f>
        <v>0.65</v>
      </c>
      <c r="M175" s="50">
        <f>VLOOKUP($A175,'Data shares'!$C:$FB,119)</f>
        <v>0.65</v>
      </c>
      <c r="N175" s="50">
        <f>VLOOKUP($A175,'Data shares'!$C:$FB,121)*100</f>
        <v>0</v>
      </c>
      <c r="O175" s="50">
        <f>VLOOKUP($A175,'Data shares'!$C:$FB,124)</f>
        <v>0.41</v>
      </c>
      <c r="P175" s="50">
        <f>VLOOKUP($A175,'Data shares'!$C:$FB,125)</f>
        <v>0.51</v>
      </c>
      <c r="Q175" s="50">
        <f>VLOOKUP($A175,'Data shares'!$C:$FB,127)*100</f>
        <v>-19.61</v>
      </c>
    </row>
    <row r="176" spans="1:17" x14ac:dyDescent="0.25">
      <c r="A176" s="97" t="str">
        <f>'Data Vlaue (Cr)'!C171</f>
        <v>RBLBANK</v>
      </c>
      <c r="B176" s="140">
        <f>VLOOKUP($A176,'Data shares'!$C:$FB,7)</f>
        <v>298.75</v>
      </c>
      <c r="C176" s="140">
        <f>VLOOKUP($A176,'Data shares'!$C:$FB,3)</f>
        <v>299.05</v>
      </c>
      <c r="D176" s="140">
        <f>VLOOKUP($A176,'Data shares'!$C:$FB,4)</f>
        <v>298</v>
      </c>
      <c r="E176" s="50">
        <f t="shared" si="9"/>
        <v>0.35234899328859443</v>
      </c>
      <c r="F176" s="49">
        <f>VLOOKUP($A176,'Data shares'!$C:$FB,98)</f>
        <v>121729500</v>
      </c>
      <c r="G176" s="49">
        <f>VLOOKUP($A176,'Data shares'!$C:$FB,99)</f>
        <v>122097800</v>
      </c>
      <c r="H176" s="50">
        <f t="shared" si="10"/>
        <v>-0.30164343665487831</v>
      </c>
      <c r="I176" s="49">
        <f>VLOOKUP($A176,'Data shares'!$C:$FB,66)</f>
        <v>22701250</v>
      </c>
      <c r="J176" s="49">
        <f>VLOOKUP($A176,'Data shares'!$C:$FB,67)</f>
        <v>45519975</v>
      </c>
      <c r="K176" s="50">
        <f t="shared" si="11"/>
        <v>-100.51748251748252</v>
      </c>
      <c r="L176" s="50">
        <f>VLOOKUP($A176,'Data shares'!$C:$FB,118)</f>
        <v>0.64</v>
      </c>
      <c r="M176" s="50">
        <f>VLOOKUP($A176,'Data shares'!$C:$FB,119)</f>
        <v>0.63</v>
      </c>
      <c r="N176" s="50">
        <f>VLOOKUP($A176,'Data shares'!$C:$FB,121)*100</f>
        <v>1.59</v>
      </c>
      <c r="O176" s="50">
        <f>VLOOKUP($A176,'Data shares'!$C:$FB,124)</f>
        <v>0.49</v>
      </c>
      <c r="P176" s="50">
        <f>VLOOKUP($A176,'Data shares'!$C:$FB,125)</f>
        <v>0.97</v>
      </c>
      <c r="Q176" s="50">
        <f>VLOOKUP($A176,'Data shares'!$C:$FB,127)*100</f>
        <v>-49.480000000000004</v>
      </c>
    </row>
    <row r="177" spans="1:17" x14ac:dyDescent="0.25">
      <c r="A177" s="97" t="str">
        <f>'Data Vlaue (Cr)'!C172</f>
        <v>RECLTD</v>
      </c>
      <c r="B177" s="140">
        <f>VLOOKUP($A177,'Data shares'!$C:$FB,7)</f>
        <v>337</v>
      </c>
      <c r="C177" s="140">
        <f>VLOOKUP($A177,'Data shares'!$C:$FB,3)</f>
        <v>337.8</v>
      </c>
      <c r="D177" s="140">
        <f>VLOOKUP($A177,'Data shares'!$C:$FB,4)</f>
        <v>334.5</v>
      </c>
      <c r="E177" s="50">
        <f t="shared" si="9"/>
        <v>0.98654708520179712</v>
      </c>
      <c r="F177" s="49">
        <f>VLOOKUP($A177,'Data shares'!$C:$FB,98)</f>
        <v>183250700</v>
      </c>
      <c r="G177" s="49">
        <f>VLOOKUP($A177,'Data shares'!$C:$FB,99)</f>
        <v>185029475</v>
      </c>
      <c r="H177" s="50">
        <f t="shared" si="10"/>
        <v>-0.96134683406522126</v>
      </c>
      <c r="I177" s="49">
        <f>VLOOKUP($A177,'Data shares'!$C:$FB,66)</f>
        <v>52908675</v>
      </c>
      <c r="J177" s="49">
        <f>VLOOKUP($A177,'Data shares'!$C:$FB,67)</f>
        <v>52401225</v>
      </c>
      <c r="K177" s="50">
        <f t="shared" si="11"/>
        <v>0.9591054775043979</v>
      </c>
      <c r="L177" s="50">
        <f>VLOOKUP($A177,'Data shares'!$C:$FB,118)</f>
        <v>0.63</v>
      </c>
      <c r="M177" s="50">
        <f>VLOOKUP($A177,'Data shares'!$C:$FB,119)</f>
        <v>0.61</v>
      </c>
      <c r="N177" s="50">
        <f>VLOOKUP($A177,'Data shares'!$C:$FB,121)*100</f>
        <v>3.2800000000000002</v>
      </c>
      <c r="O177" s="50">
        <f>VLOOKUP($A177,'Data shares'!$C:$FB,124)</f>
        <v>0.42</v>
      </c>
      <c r="P177" s="50">
        <f>VLOOKUP($A177,'Data shares'!$C:$FB,125)</f>
        <v>0.45</v>
      </c>
      <c r="Q177" s="50">
        <f>VLOOKUP($A177,'Data shares'!$C:$FB,127)*100</f>
        <v>-6.67</v>
      </c>
    </row>
    <row r="178" spans="1:17" x14ac:dyDescent="0.25">
      <c r="A178" s="97" t="str">
        <f>'Data Vlaue (Cr)'!C173</f>
        <v>RELIANCE</v>
      </c>
      <c r="B178" s="140">
        <f>VLOOKUP($A178,'Data shares'!$C:$FB,7)</f>
        <v>1544.4</v>
      </c>
      <c r="C178" s="140">
        <f>VLOOKUP($A178,'Data shares'!$C:$FB,3)</f>
        <v>1548.1</v>
      </c>
      <c r="D178" s="140">
        <f>VLOOKUP($A178,'Data shares'!$C:$FB,4)</f>
        <v>1548.8</v>
      </c>
      <c r="E178" s="50">
        <f t="shared" si="9"/>
        <v>-4.5196280991738474E-2</v>
      </c>
      <c r="F178" s="49">
        <f>VLOOKUP($A178,'Data shares'!$C:$FB,98)</f>
        <v>178264500</v>
      </c>
      <c r="G178" s="49">
        <f>VLOOKUP($A178,'Data shares'!$C:$FB,99)</f>
        <v>178590500</v>
      </c>
      <c r="H178" s="50">
        <f t="shared" si="10"/>
        <v>-0.1825405046741008</v>
      </c>
      <c r="I178" s="49">
        <f>VLOOKUP($A178,'Data shares'!$C:$FB,66)</f>
        <v>80779000</v>
      </c>
      <c r="J178" s="49">
        <f>VLOOKUP($A178,'Data shares'!$C:$FB,67)</f>
        <v>61101500</v>
      </c>
      <c r="K178" s="50">
        <f t="shared" si="11"/>
        <v>24.35967268720831</v>
      </c>
      <c r="L178" s="50">
        <f>VLOOKUP($A178,'Data shares'!$C:$FB,118)</f>
        <v>0.53</v>
      </c>
      <c r="M178" s="50">
        <f>VLOOKUP($A178,'Data shares'!$C:$FB,119)</f>
        <v>0.53</v>
      </c>
      <c r="N178" s="50">
        <f>VLOOKUP($A178,'Data shares'!$C:$FB,121)*100</f>
        <v>0</v>
      </c>
      <c r="O178" s="50">
        <f>VLOOKUP($A178,'Data shares'!$C:$FB,124)</f>
        <v>0.57999999999999996</v>
      </c>
      <c r="P178" s="50">
        <f>VLOOKUP($A178,'Data shares'!$C:$FB,125)</f>
        <v>0.61</v>
      </c>
      <c r="Q178" s="50">
        <f>VLOOKUP($A178,'Data shares'!$C:$FB,127)*100</f>
        <v>-4.92</v>
      </c>
    </row>
    <row r="179" spans="1:17" x14ac:dyDescent="0.25">
      <c r="A179" s="97" t="str">
        <f>'Data Vlaue (Cr)'!C174</f>
        <v>RVNL</v>
      </c>
      <c r="B179" s="140">
        <f>VLOOKUP($A179,'Data shares'!$C:$FB,7)</f>
        <v>305.95</v>
      </c>
      <c r="C179" s="140">
        <f>VLOOKUP($A179,'Data shares'!$C:$FB,3)</f>
        <v>304.60000000000002</v>
      </c>
      <c r="D179" s="140">
        <f>VLOOKUP($A179,'Data shares'!$C:$FB,4)</f>
        <v>305.39999999999998</v>
      </c>
      <c r="E179" s="50">
        <f t="shared" si="9"/>
        <v>-0.26195153896527656</v>
      </c>
      <c r="F179" s="49">
        <f>VLOOKUP($A179,'Data shares'!$C:$FB,98)</f>
        <v>80274850</v>
      </c>
      <c r="G179" s="49">
        <f>VLOOKUP($A179,'Data shares'!$C:$FB,99)</f>
        <v>79450200</v>
      </c>
      <c r="H179" s="50">
        <f t="shared" si="10"/>
        <v>1.0379457823894715</v>
      </c>
      <c r="I179" s="49">
        <f>VLOOKUP($A179,'Data shares'!$C:$FB,66)</f>
        <v>16230500</v>
      </c>
      <c r="J179" s="49">
        <f>VLOOKUP($A179,'Data shares'!$C:$FB,67)</f>
        <v>15522375</v>
      </c>
      <c r="K179" s="50">
        <f t="shared" si="11"/>
        <v>4.3629278210776006</v>
      </c>
      <c r="L179" s="50">
        <f>VLOOKUP($A179,'Data shares'!$C:$FB,118)</f>
        <v>0.46</v>
      </c>
      <c r="M179" s="50">
        <f>VLOOKUP($A179,'Data shares'!$C:$FB,119)</f>
        <v>0.46</v>
      </c>
      <c r="N179" s="50">
        <f>VLOOKUP($A179,'Data shares'!$C:$FB,121)*100</f>
        <v>0</v>
      </c>
      <c r="O179" s="50">
        <f>VLOOKUP($A179,'Data shares'!$C:$FB,124)</f>
        <v>0.27</v>
      </c>
      <c r="P179" s="50">
        <f>VLOOKUP($A179,'Data shares'!$C:$FB,125)</f>
        <v>0.22</v>
      </c>
      <c r="Q179" s="50">
        <f>VLOOKUP($A179,'Data shares'!$C:$FB,127)*100</f>
        <v>22.73</v>
      </c>
    </row>
    <row r="180" spans="1:17" x14ac:dyDescent="0.25">
      <c r="A180" s="97" t="str">
        <f>'Data Vlaue (Cr)'!C175</f>
        <v>SAIL</v>
      </c>
      <c r="B180" s="140">
        <f>VLOOKUP($A180,'Data shares'!$C:$FB,7)</f>
        <v>127.27</v>
      </c>
      <c r="C180" s="140">
        <f>VLOOKUP($A180,'Data shares'!$C:$FB,3)</f>
        <v>127.26</v>
      </c>
      <c r="D180" s="140">
        <f>VLOOKUP($A180,'Data shares'!$C:$FB,4)</f>
        <v>130.31</v>
      </c>
      <c r="E180" s="50">
        <f t="shared" si="9"/>
        <v>-2.3405724810068276</v>
      </c>
      <c r="F180" s="49">
        <f>VLOOKUP($A180,'Data shares'!$C:$FB,98)</f>
        <v>264624100</v>
      </c>
      <c r="G180" s="49">
        <f>VLOOKUP($A180,'Data shares'!$C:$FB,99)</f>
        <v>258481200</v>
      </c>
      <c r="H180" s="50">
        <f t="shared" si="10"/>
        <v>2.3765364753800275</v>
      </c>
      <c r="I180" s="49">
        <f>VLOOKUP($A180,'Data shares'!$C:$FB,66)</f>
        <v>89290600</v>
      </c>
      <c r="J180" s="49">
        <f>VLOOKUP($A180,'Data shares'!$C:$FB,67)</f>
        <v>42629000</v>
      </c>
      <c r="K180" s="50">
        <f t="shared" si="11"/>
        <v>52.258132434993158</v>
      </c>
      <c r="L180" s="50">
        <f>VLOOKUP($A180,'Data shares'!$C:$FB,118)</f>
        <v>0.55000000000000004</v>
      </c>
      <c r="M180" s="50">
        <f>VLOOKUP($A180,'Data shares'!$C:$FB,119)</f>
        <v>0.56000000000000005</v>
      </c>
      <c r="N180" s="50">
        <f>VLOOKUP($A180,'Data shares'!$C:$FB,121)*100</f>
        <v>-1.79</v>
      </c>
      <c r="O180" s="50">
        <f>VLOOKUP($A180,'Data shares'!$C:$FB,124)</f>
        <v>0.47</v>
      </c>
      <c r="P180" s="50">
        <f>VLOOKUP($A180,'Data shares'!$C:$FB,125)</f>
        <v>0.31</v>
      </c>
      <c r="Q180" s="50">
        <f>VLOOKUP($A180,'Data shares'!$C:$FB,127)*100</f>
        <v>51.61</v>
      </c>
    </row>
    <row r="181" spans="1:17" x14ac:dyDescent="0.25">
      <c r="A181" s="97" t="str">
        <f>'Data Vlaue (Cr)'!C176</f>
        <v>SAMMAANCAP</v>
      </c>
      <c r="B181" s="140">
        <f>VLOOKUP($A181,'Data shares'!$C:$FB,7)</f>
        <v>143.47999999999999</v>
      </c>
      <c r="C181" s="140">
        <f>VLOOKUP($A181,'Data shares'!$C:$FB,3)</f>
        <v>144.03</v>
      </c>
      <c r="D181" s="140">
        <f>VLOOKUP($A181,'Data shares'!$C:$FB,4)</f>
        <v>146.19</v>
      </c>
      <c r="E181" s="50">
        <f t="shared" si="9"/>
        <v>-1.4775292427662607</v>
      </c>
      <c r="F181" s="49">
        <f>VLOOKUP($A181,'Data shares'!$C:$FB,98)</f>
        <v>229585600</v>
      </c>
      <c r="G181" s="49">
        <f>VLOOKUP($A181,'Data shares'!$C:$FB,99)</f>
        <v>220564200</v>
      </c>
      <c r="H181" s="50">
        <f t="shared" si="10"/>
        <v>4.0901469957499899</v>
      </c>
      <c r="I181" s="49">
        <f>VLOOKUP($A181,'Data shares'!$C:$FB,66)</f>
        <v>287674300</v>
      </c>
      <c r="J181" s="49">
        <f>VLOOKUP($A181,'Data shares'!$C:$FB,67)</f>
        <v>419095200</v>
      </c>
      <c r="K181" s="50">
        <f t="shared" si="11"/>
        <v>-45.683921017623049</v>
      </c>
      <c r="L181" s="50">
        <f>VLOOKUP($A181,'Data shares'!$C:$FB,118)</f>
        <v>0.71</v>
      </c>
      <c r="M181" s="50">
        <f>VLOOKUP($A181,'Data shares'!$C:$FB,119)</f>
        <v>0.63</v>
      </c>
      <c r="N181" s="50">
        <f>VLOOKUP($A181,'Data shares'!$C:$FB,121)*100</f>
        <v>12.7</v>
      </c>
      <c r="O181" s="50">
        <f>VLOOKUP($A181,'Data shares'!$C:$FB,124)</f>
        <v>0.99</v>
      </c>
      <c r="P181" s="50">
        <f>VLOOKUP($A181,'Data shares'!$C:$FB,125)</f>
        <v>0.56999999999999995</v>
      </c>
      <c r="Q181" s="50">
        <f>VLOOKUP($A181,'Data shares'!$C:$FB,127)*100</f>
        <v>73.680000000000007</v>
      </c>
    </row>
    <row r="182" spans="1:17" x14ac:dyDescent="0.25">
      <c r="A182" s="97" t="str">
        <f>'Data Vlaue (Cr)'!C177</f>
        <v>SBICARD</v>
      </c>
      <c r="B182" s="140">
        <f>VLOOKUP($A182,'Data shares'!$C:$FB,7)</f>
        <v>848.15</v>
      </c>
      <c r="C182" s="140">
        <f>VLOOKUP($A182,'Data shares'!$C:$FB,3)</f>
        <v>851.15</v>
      </c>
      <c r="D182" s="140">
        <f>VLOOKUP($A182,'Data shares'!$C:$FB,4)</f>
        <v>836.55</v>
      </c>
      <c r="E182" s="50">
        <f t="shared" si="9"/>
        <v>1.745263283724825</v>
      </c>
      <c r="F182" s="49">
        <f>VLOOKUP($A182,'Data shares'!$C:$FB,98)</f>
        <v>26717600</v>
      </c>
      <c r="G182" s="49">
        <f>VLOOKUP($A182,'Data shares'!$C:$FB,99)</f>
        <v>27844000</v>
      </c>
      <c r="H182" s="50">
        <f t="shared" si="10"/>
        <v>-4.0453957764688981</v>
      </c>
      <c r="I182" s="49">
        <f>VLOOKUP($A182,'Data shares'!$C:$FB,66)</f>
        <v>17860000</v>
      </c>
      <c r="J182" s="49">
        <f>VLOOKUP($A182,'Data shares'!$C:$FB,67)</f>
        <v>16168000</v>
      </c>
      <c r="K182" s="50">
        <f t="shared" si="11"/>
        <v>9.4736842105263168</v>
      </c>
      <c r="L182" s="50">
        <f>VLOOKUP($A182,'Data shares'!$C:$FB,118)</f>
        <v>0.72</v>
      </c>
      <c r="M182" s="50">
        <f>VLOOKUP($A182,'Data shares'!$C:$FB,119)</f>
        <v>0.66</v>
      </c>
      <c r="N182" s="50">
        <f>VLOOKUP($A182,'Data shares'!$C:$FB,121)*100</f>
        <v>9.09</v>
      </c>
      <c r="O182" s="50">
        <f>VLOOKUP($A182,'Data shares'!$C:$FB,124)</f>
        <v>0.52</v>
      </c>
      <c r="P182" s="50">
        <f>VLOOKUP($A182,'Data shares'!$C:$FB,125)</f>
        <v>0.89</v>
      </c>
      <c r="Q182" s="50">
        <f>VLOOKUP($A182,'Data shares'!$C:$FB,127)*100</f>
        <v>-41.57</v>
      </c>
    </row>
    <row r="183" spans="1:17" x14ac:dyDescent="0.25">
      <c r="A183" s="97" t="str">
        <f>'Data Vlaue (Cr)'!C178</f>
        <v>SBILIFE</v>
      </c>
      <c r="B183" s="140">
        <f>VLOOKUP($A183,'Data shares'!$C:$FB,7)</f>
        <v>2014.4</v>
      </c>
      <c r="C183" s="140">
        <f>VLOOKUP($A183,'Data shares'!$C:$FB,3)</f>
        <v>2018.5</v>
      </c>
      <c r="D183" s="140">
        <f>VLOOKUP($A183,'Data shares'!$C:$FB,4)</f>
        <v>2016.3</v>
      </c>
      <c r="E183" s="50">
        <f>(C183-D183)/D183*100</f>
        <v>0.10911074740862202</v>
      </c>
      <c r="F183" s="49">
        <f>VLOOKUP($A183,'Data shares'!$C:$FB,98)</f>
        <v>14508375</v>
      </c>
      <c r="G183" s="49">
        <f>VLOOKUP($A183,'Data shares'!$C:$FB,99)</f>
        <v>14445375</v>
      </c>
      <c r="H183" s="50">
        <f>(F183-G183)/G183*100</f>
        <v>0.43612574959113209</v>
      </c>
      <c r="I183" s="49">
        <f>VLOOKUP($A183,'Data shares'!$C:$FB,66)</f>
        <v>4478625</v>
      </c>
      <c r="J183" s="49">
        <f>VLOOKUP($A183,'Data shares'!$C:$FB,67)</f>
        <v>13345125</v>
      </c>
      <c r="K183" s="50">
        <f>(I183-J183)/I183*100</f>
        <v>-197.97370844846353</v>
      </c>
      <c r="L183" s="50">
        <f>VLOOKUP($A183,'Data shares'!$C:$FB,118)</f>
        <v>0.49</v>
      </c>
      <c r="M183" s="50">
        <f>VLOOKUP($A183,'Data shares'!$C:$FB,119)</f>
        <v>0.48</v>
      </c>
      <c r="N183" s="50">
        <f>VLOOKUP($A183,'Data shares'!$C:$FB,121)*100</f>
        <v>2.08</v>
      </c>
      <c r="O183" s="50">
        <f>VLOOKUP($A183,'Data shares'!$C:$FB,124)</f>
        <v>0.46</v>
      </c>
      <c r="P183" s="50">
        <f>VLOOKUP($A183,'Data shares'!$C:$FB,125)</f>
        <v>1.02</v>
      </c>
      <c r="Q183" s="50">
        <f>VLOOKUP($A183,'Data shares'!$C:$FB,127)*100</f>
        <v>-54.900000000000006</v>
      </c>
    </row>
    <row r="184" spans="1:17" x14ac:dyDescent="0.25">
      <c r="A184" s="97" t="str">
        <f>'Data Vlaue (Cr)'!C179</f>
        <v>SBIN</v>
      </c>
      <c r="B184" s="140">
        <f>VLOOKUP($A184,'Data shares'!$C:$FB,7)</f>
        <v>977.55</v>
      </c>
      <c r="C184" s="140">
        <f>VLOOKUP($A184,'Data shares'!$C:$FB,3)</f>
        <v>977.85</v>
      </c>
      <c r="D184" s="140">
        <f>VLOOKUP($A184,'Data shares'!$C:$FB,4)</f>
        <v>977.5</v>
      </c>
      <c r="E184" s="50">
        <f t="shared" ref="E184:E189" si="12">(C184-D184)/D184*100</f>
        <v>3.5805626598467803E-2</v>
      </c>
      <c r="F184" s="49">
        <f>VLOOKUP($A184,'Data shares'!$C:$FB,98)</f>
        <v>155183250</v>
      </c>
      <c r="G184" s="49">
        <f>VLOOKUP($A184,'Data shares'!$C:$FB,99)</f>
        <v>156260250</v>
      </c>
      <c r="H184" s="50">
        <f t="shared" ref="H184:H189" si="13">(F184-G184)/G184*100</f>
        <v>-0.68923478619802536</v>
      </c>
      <c r="I184" s="49">
        <f>VLOOKUP($A184,'Data shares'!$C:$FB,66)</f>
        <v>109761000</v>
      </c>
      <c r="J184" s="49">
        <f>VLOOKUP($A184,'Data shares'!$C:$FB,67)</f>
        <v>183738750</v>
      </c>
      <c r="K184" s="50">
        <f t="shared" ref="K184:K189" si="14">(I184-J184)/I184*100</f>
        <v>-67.398939514035035</v>
      </c>
      <c r="L184" s="50">
        <f>VLOOKUP($A184,'Data shares'!$C:$FB,118)</f>
        <v>0.72</v>
      </c>
      <c r="M184" s="50">
        <f>VLOOKUP($A184,'Data shares'!$C:$FB,119)</f>
        <v>0.71</v>
      </c>
      <c r="N184" s="50">
        <f>VLOOKUP($A184,'Data shares'!$C:$FB,121)*100</f>
        <v>1.41</v>
      </c>
      <c r="O184" s="50">
        <f>VLOOKUP($A184,'Data shares'!$C:$FB,124)</f>
        <v>0.64</v>
      </c>
      <c r="P184" s="50">
        <f>VLOOKUP($A184,'Data shares'!$C:$FB,125)</f>
        <v>0.59</v>
      </c>
      <c r="Q184" s="50">
        <f>VLOOKUP($A184,'Data shares'!$C:$FB,127)*100</f>
        <v>8.4699999999999989</v>
      </c>
    </row>
    <row r="185" spans="1:17" x14ac:dyDescent="0.25">
      <c r="A185" s="97" t="str">
        <f>'Data Vlaue (Cr)'!C180</f>
        <v>SHREECEM</v>
      </c>
      <c r="B185" s="140">
        <f>VLOOKUP($A185,'Data shares'!$C:$FB,7)</f>
        <v>25645</v>
      </c>
      <c r="C185" s="140">
        <f>VLOOKUP($A185,'Data shares'!$C:$FB,3)</f>
        <v>25755</v>
      </c>
      <c r="D185" s="140">
        <f>VLOOKUP($A185,'Data shares'!$C:$FB,4)</f>
        <v>26080</v>
      </c>
      <c r="E185" s="50">
        <f t="shared" si="12"/>
        <v>-1.246165644171779</v>
      </c>
      <c r="F185" s="49">
        <f>VLOOKUP($A185,'Data shares'!$C:$FB,98)</f>
        <v>548225</v>
      </c>
      <c r="G185" s="49">
        <f>VLOOKUP($A185,'Data shares'!$C:$FB,99)</f>
        <v>525200</v>
      </c>
      <c r="H185" s="50">
        <f t="shared" si="13"/>
        <v>4.3840441736481344</v>
      </c>
      <c r="I185" s="49">
        <f>VLOOKUP($A185,'Data shares'!$C:$FB,66)</f>
        <v>228125</v>
      </c>
      <c r="J185" s="49">
        <f>VLOOKUP($A185,'Data shares'!$C:$FB,67)</f>
        <v>168800</v>
      </c>
      <c r="K185" s="50">
        <f t="shared" si="14"/>
        <v>26.005479452054796</v>
      </c>
      <c r="L185" s="50">
        <f>VLOOKUP($A185,'Data shares'!$C:$FB,118)</f>
        <v>0.4</v>
      </c>
      <c r="M185" s="50">
        <f>VLOOKUP($A185,'Data shares'!$C:$FB,119)</f>
        <v>0.44</v>
      </c>
      <c r="N185" s="50">
        <f>VLOOKUP($A185,'Data shares'!$C:$FB,121)*100</f>
        <v>-9.09</v>
      </c>
      <c r="O185" s="50">
        <f>VLOOKUP($A185,'Data shares'!$C:$FB,124)</f>
        <v>0.26</v>
      </c>
      <c r="P185" s="50">
        <f>VLOOKUP($A185,'Data shares'!$C:$FB,125)</f>
        <v>0.18</v>
      </c>
      <c r="Q185" s="50">
        <f>VLOOKUP($A185,'Data shares'!$C:$FB,127)*100</f>
        <v>44.440000000000005</v>
      </c>
    </row>
    <row r="186" spans="1:17" x14ac:dyDescent="0.25">
      <c r="A186" s="97" t="str">
        <f>'Data Vlaue (Cr)'!C181</f>
        <v>SHRIRAMFIN</v>
      </c>
      <c r="B186" s="140">
        <f>VLOOKUP($A186,'Data shares'!$C:$FB,7)</f>
        <v>869.45</v>
      </c>
      <c r="C186" s="140">
        <f>VLOOKUP($A186,'Data shares'!$C:$FB,3)</f>
        <v>869.55</v>
      </c>
      <c r="D186" s="140">
        <f>VLOOKUP($A186,'Data shares'!$C:$FB,4)</f>
        <v>867.95</v>
      </c>
      <c r="E186" s="50">
        <f t="shared" si="12"/>
        <v>0.1843424160377797</v>
      </c>
      <c r="F186" s="49">
        <f>VLOOKUP($A186,'Data shares'!$C:$FB,98)</f>
        <v>99533775</v>
      </c>
      <c r="G186" s="49">
        <f>VLOOKUP($A186,'Data shares'!$C:$FB,99)</f>
        <v>102953400</v>
      </c>
      <c r="H186" s="50">
        <f t="shared" si="13"/>
        <v>-3.3215270209628818</v>
      </c>
      <c r="I186" s="49">
        <f>VLOOKUP($A186,'Data shares'!$C:$FB,66)</f>
        <v>76484925</v>
      </c>
      <c r="J186" s="49">
        <f>VLOOKUP($A186,'Data shares'!$C:$FB,67)</f>
        <v>120237150</v>
      </c>
      <c r="K186" s="50">
        <f t="shared" si="14"/>
        <v>-57.203723478842392</v>
      </c>
      <c r="L186" s="50">
        <f>VLOOKUP($A186,'Data shares'!$C:$FB,118)</f>
        <v>0.67</v>
      </c>
      <c r="M186" s="50">
        <f>VLOOKUP($A186,'Data shares'!$C:$FB,119)</f>
        <v>0.56999999999999995</v>
      </c>
      <c r="N186" s="50">
        <f>VLOOKUP($A186,'Data shares'!$C:$FB,121)*100</f>
        <v>17.54</v>
      </c>
      <c r="O186" s="50">
        <f>VLOOKUP($A186,'Data shares'!$C:$FB,124)</f>
        <v>0.56000000000000005</v>
      </c>
      <c r="P186" s="50">
        <f>VLOOKUP($A186,'Data shares'!$C:$FB,125)</f>
        <v>0.35</v>
      </c>
      <c r="Q186" s="50">
        <f>VLOOKUP($A186,'Data shares'!$C:$FB,127)*100</f>
        <v>60</v>
      </c>
    </row>
    <row r="187" spans="1:17" x14ac:dyDescent="0.25">
      <c r="A187" s="97" t="str">
        <f>'Data Vlaue (Cr)'!C182</f>
        <v>SIEMENS</v>
      </c>
      <c r="B187" s="140">
        <f>VLOOKUP($A187,'Data shares'!$C:$FB,7)</f>
        <v>3074</v>
      </c>
      <c r="C187" s="140">
        <f>VLOOKUP($A187,'Data shares'!$C:$FB,3)</f>
        <v>3080.4</v>
      </c>
      <c r="D187" s="140">
        <f>VLOOKUP($A187,'Data shares'!$C:$FB,4)</f>
        <v>3152.3</v>
      </c>
      <c r="E187" s="50">
        <f t="shared" si="12"/>
        <v>-2.2808742822700916</v>
      </c>
      <c r="F187" s="49">
        <f>VLOOKUP($A187,'Data shares'!$C:$FB,98)</f>
        <v>6773625</v>
      </c>
      <c r="G187" s="49">
        <f>VLOOKUP($A187,'Data shares'!$C:$FB,99)</f>
        <v>6562800</v>
      </c>
      <c r="H187" s="50">
        <f t="shared" si="13"/>
        <v>3.212424574876577</v>
      </c>
      <c r="I187" s="49">
        <f>VLOOKUP($A187,'Data shares'!$C:$FB,66)</f>
        <v>7201000</v>
      </c>
      <c r="J187" s="49">
        <f>VLOOKUP($A187,'Data shares'!$C:$FB,67)</f>
        <v>2350250</v>
      </c>
      <c r="K187" s="50">
        <f t="shared" si="14"/>
        <v>67.362171920566581</v>
      </c>
      <c r="L187" s="50">
        <f>VLOOKUP($A187,'Data shares'!$C:$FB,118)</f>
        <v>0.46</v>
      </c>
      <c r="M187" s="50">
        <f>VLOOKUP($A187,'Data shares'!$C:$FB,119)</f>
        <v>0.52</v>
      </c>
      <c r="N187" s="50">
        <f>VLOOKUP($A187,'Data shares'!$C:$FB,121)*100</f>
        <v>-11.540000000000001</v>
      </c>
      <c r="O187" s="50">
        <f>VLOOKUP($A187,'Data shares'!$C:$FB,124)</f>
        <v>0.59</v>
      </c>
      <c r="P187" s="50">
        <f>VLOOKUP($A187,'Data shares'!$C:$FB,125)</f>
        <v>0.4</v>
      </c>
      <c r="Q187" s="50">
        <f>VLOOKUP($A187,'Data shares'!$C:$FB,127)*100</f>
        <v>47.5</v>
      </c>
    </row>
    <row r="188" spans="1:17" x14ac:dyDescent="0.25">
      <c r="A188" s="97" t="str">
        <f>'Data Vlaue (Cr)'!C183</f>
        <v>SOLARINDS</v>
      </c>
      <c r="B188" s="140">
        <f>VLOOKUP($A188,'Data shares'!$C:$FB,7)</f>
        <v>11772</v>
      </c>
      <c r="C188" s="140">
        <f>VLOOKUP($A188,'Data shares'!$C:$FB,3)</f>
        <v>11802</v>
      </c>
      <c r="D188" s="140">
        <f>VLOOKUP($A188,'Data shares'!$C:$FB,4)</f>
        <v>11824</v>
      </c>
      <c r="E188" s="50">
        <f t="shared" si="12"/>
        <v>-0.18606224627875509</v>
      </c>
      <c r="F188" s="49">
        <f>VLOOKUP($A188,'Data shares'!$C:$FB,98)</f>
        <v>2151350</v>
      </c>
      <c r="G188" s="49">
        <f>VLOOKUP($A188,'Data shares'!$C:$FB,99)</f>
        <v>2167500</v>
      </c>
      <c r="H188" s="50">
        <f t="shared" si="13"/>
        <v>-0.74509803921568629</v>
      </c>
      <c r="I188" s="49">
        <f>VLOOKUP($A188,'Data shares'!$C:$FB,66)</f>
        <v>1276875</v>
      </c>
      <c r="J188" s="49">
        <f>VLOOKUP($A188,'Data shares'!$C:$FB,67)</f>
        <v>1171275</v>
      </c>
      <c r="K188" s="50">
        <f t="shared" si="14"/>
        <v>8.2701908957415569</v>
      </c>
      <c r="L188" s="50">
        <f>VLOOKUP($A188,'Data shares'!$C:$FB,118)</f>
        <v>0.4</v>
      </c>
      <c r="M188" s="50">
        <f>VLOOKUP($A188,'Data shares'!$C:$FB,119)</f>
        <v>0.38</v>
      </c>
      <c r="N188" s="50">
        <f>VLOOKUP($A188,'Data shares'!$C:$FB,121)*100</f>
        <v>5.26</v>
      </c>
      <c r="O188" s="50">
        <f>VLOOKUP($A188,'Data shares'!$C:$FB,124)</f>
        <v>0.57999999999999996</v>
      </c>
      <c r="P188" s="50">
        <f>VLOOKUP($A188,'Data shares'!$C:$FB,125)</f>
        <v>0.63</v>
      </c>
      <c r="Q188" s="50">
        <f>VLOOKUP($A188,'Data shares'!$C:$FB,127)*100</f>
        <v>-7.9399999999999995</v>
      </c>
    </row>
    <row r="189" spans="1:17" x14ac:dyDescent="0.25">
      <c r="A189" s="97" t="str">
        <f>'Data Vlaue (Cr)'!C215</f>
        <v>ZYDUSLIFE</v>
      </c>
      <c r="B189" s="140">
        <f>VLOOKUP($A189,'Data shares'!$C:$FB,7)</f>
        <v>913.65</v>
      </c>
      <c r="C189" s="140">
        <f>VLOOKUP($A189,'Data shares'!$C:$FB,3)</f>
        <v>916.35</v>
      </c>
      <c r="D189" s="140">
        <f>VLOOKUP($A189,'Data shares'!$C:$FB,4)</f>
        <v>919.1</v>
      </c>
      <c r="E189" s="50">
        <f t="shared" si="12"/>
        <v>-0.29920574475029921</v>
      </c>
      <c r="F189" s="49">
        <f>VLOOKUP($A189,'Data shares'!$C:$FB,98)</f>
        <v>19059300</v>
      </c>
      <c r="G189" s="49">
        <f>VLOOKUP($A189,'Data shares'!$C:$FB,99)</f>
        <v>18909900</v>
      </c>
      <c r="H189" s="50">
        <f t="shared" si="13"/>
        <v>0.79006234829375088</v>
      </c>
      <c r="I189" s="49">
        <f>VLOOKUP($A189,'Data shares'!$C:$FB,66)</f>
        <v>3979800</v>
      </c>
      <c r="J189" s="49">
        <f>VLOOKUP($A189,'Data shares'!$C:$FB,67)</f>
        <v>3155400</v>
      </c>
      <c r="K189" s="50">
        <f t="shared" si="14"/>
        <v>20.714608774310268</v>
      </c>
      <c r="L189" s="50">
        <f>VLOOKUP($A189,'Data shares'!$C:$FB,118)</f>
        <v>0.74</v>
      </c>
      <c r="M189" s="50">
        <f>VLOOKUP($A189,'Data shares'!$C:$FB,119)</f>
        <v>0.74</v>
      </c>
      <c r="N189" s="50">
        <f>VLOOKUP($A189,'Data shares'!$C:$FB,121)*100</f>
        <v>0</v>
      </c>
      <c r="O189" s="50">
        <f>VLOOKUP($A189,'Data shares'!$C:$FB,124)</f>
        <v>0.4</v>
      </c>
      <c r="P189" s="50">
        <f>VLOOKUP($A189,'Data shares'!$C:$FB,125)</f>
        <v>0.3</v>
      </c>
      <c r="Q189" s="50">
        <f>VLOOKUP($A189,'Data shares'!$C:$FB,127)*100</f>
        <v>33.33</v>
      </c>
    </row>
    <row r="190" spans="1:17" x14ac:dyDescent="0.25">
      <c r="A190" s="97"/>
      <c r="B190" s="140"/>
      <c r="C190" s="140"/>
      <c r="D190" s="140"/>
      <c r="E190" s="50"/>
      <c r="F190" s="49"/>
      <c r="G190" s="49"/>
      <c r="H190" s="50"/>
      <c r="I190" s="49"/>
      <c r="J190" s="49"/>
      <c r="K190" s="50"/>
      <c r="L190" s="50"/>
      <c r="M190" s="50"/>
      <c r="N190" s="50"/>
      <c r="O190" s="50"/>
      <c r="P190" s="50"/>
      <c r="Q190" s="50"/>
    </row>
    <row r="191" spans="1:17" x14ac:dyDescent="0.25">
      <c r="A191" s="97"/>
      <c r="B191" s="140"/>
      <c r="C191" s="140"/>
      <c r="D191" s="140"/>
      <c r="E191" s="50"/>
      <c r="F191" s="49"/>
      <c r="G191" s="49"/>
      <c r="H191" s="50"/>
      <c r="I191" s="49"/>
      <c r="J191" s="49"/>
      <c r="K191" s="50"/>
      <c r="L191" s="50"/>
      <c r="M191" s="50"/>
      <c r="N191" s="50"/>
      <c r="O191" s="50"/>
      <c r="P191" s="50"/>
      <c r="Q191" s="50"/>
    </row>
    <row r="192" spans="1:17" x14ac:dyDescent="0.25">
      <c r="A192" s="97"/>
      <c r="B192" s="140"/>
      <c r="C192" s="140"/>
      <c r="D192" s="140"/>
      <c r="E192" s="50"/>
      <c r="F192" s="49"/>
      <c r="G192" s="49"/>
      <c r="H192" s="50"/>
      <c r="I192" s="49"/>
      <c r="J192" s="49"/>
      <c r="K192" s="50"/>
      <c r="L192" s="50"/>
      <c r="M192" s="50"/>
      <c r="N192" s="50"/>
      <c r="O192" s="50"/>
      <c r="P192" s="50"/>
      <c r="Q192" s="50"/>
    </row>
    <row r="193" spans="1:17" x14ac:dyDescent="0.25">
      <c r="A193" s="97"/>
      <c r="B193" s="140"/>
      <c r="C193" s="140"/>
      <c r="D193" s="140"/>
      <c r="E193" s="50"/>
      <c r="F193" s="49"/>
      <c r="G193" s="49"/>
      <c r="H193" s="50"/>
      <c r="I193" s="49"/>
      <c r="J193" s="49"/>
      <c r="K193" s="50"/>
      <c r="L193" s="50"/>
      <c r="M193" s="50"/>
      <c r="N193" s="50"/>
      <c r="O193" s="50"/>
      <c r="P193" s="50"/>
      <c r="Q193" s="50"/>
    </row>
    <row r="194" spans="1:17" x14ac:dyDescent="0.25">
      <c r="A194" s="97"/>
      <c r="B194" s="140"/>
      <c r="C194" s="140"/>
      <c r="D194" s="140"/>
      <c r="E194" s="50"/>
      <c r="F194" s="49"/>
      <c r="G194" s="49"/>
      <c r="H194" s="50"/>
      <c r="I194" s="49"/>
      <c r="J194" s="49"/>
      <c r="K194" s="50"/>
      <c r="L194" s="50"/>
      <c r="M194" s="50"/>
      <c r="N194" s="50"/>
      <c r="O194" s="50"/>
      <c r="P194" s="50"/>
      <c r="Q194" s="50"/>
    </row>
    <row r="195" spans="1:17" x14ac:dyDescent="0.25">
      <c r="A195" s="97"/>
      <c r="B195" s="140"/>
      <c r="C195" s="140"/>
      <c r="D195" s="140"/>
      <c r="E195" s="50"/>
      <c r="F195" s="49"/>
      <c r="G195" s="49"/>
      <c r="H195" s="50"/>
      <c r="I195" s="49"/>
      <c r="J195" s="49"/>
      <c r="K195" s="50"/>
      <c r="L195" s="50"/>
      <c r="M195" s="50"/>
      <c r="N195" s="50"/>
      <c r="O195" s="50"/>
      <c r="P195" s="50"/>
      <c r="Q195" s="50"/>
    </row>
    <row r="196" spans="1:17" x14ac:dyDescent="0.25">
      <c r="A196" s="97"/>
      <c r="B196" s="140"/>
      <c r="C196" s="140"/>
      <c r="D196" s="140"/>
      <c r="E196" s="50"/>
      <c r="F196" s="49"/>
      <c r="G196" s="49"/>
      <c r="H196" s="50"/>
      <c r="I196" s="49"/>
      <c r="J196" s="49"/>
      <c r="K196" s="50"/>
      <c r="L196" s="50"/>
      <c r="M196" s="50"/>
      <c r="N196" s="50"/>
      <c r="O196" s="50"/>
      <c r="P196" s="50"/>
      <c r="Q196" s="50"/>
    </row>
    <row r="197" spans="1:17" x14ac:dyDescent="0.25">
      <c r="A197" s="97"/>
      <c r="B197" s="140"/>
      <c r="C197" s="140"/>
      <c r="D197" s="140"/>
      <c r="E197" s="50"/>
      <c r="F197" s="49"/>
      <c r="G197" s="49"/>
      <c r="H197" s="50"/>
      <c r="I197" s="49"/>
      <c r="J197" s="49"/>
      <c r="K197" s="50"/>
      <c r="L197" s="50"/>
      <c r="M197" s="50"/>
      <c r="N197" s="50"/>
      <c r="O197" s="50"/>
      <c r="P197" s="50"/>
      <c r="Q197" s="50"/>
    </row>
    <row r="198" spans="1:17" x14ac:dyDescent="0.25">
      <c r="A198" s="97"/>
      <c r="B198" s="140"/>
      <c r="C198" s="140"/>
      <c r="D198" s="140"/>
      <c r="E198" s="50"/>
      <c r="F198" s="49"/>
      <c r="G198" s="49"/>
      <c r="H198" s="50"/>
      <c r="I198" s="49"/>
      <c r="J198" s="49"/>
      <c r="K198" s="50"/>
      <c r="L198" s="50"/>
      <c r="M198" s="50"/>
      <c r="N198" s="50"/>
      <c r="O198" s="50"/>
      <c r="P198" s="50"/>
      <c r="Q198" s="50"/>
    </row>
    <row r="199" spans="1:17" x14ac:dyDescent="0.25">
      <c r="A199" s="97"/>
      <c r="B199" s="140"/>
      <c r="C199" s="140"/>
      <c r="D199" s="140"/>
      <c r="E199" s="50"/>
      <c r="F199" s="49"/>
      <c r="G199" s="49"/>
      <c r="H199" s="50"/>
      <c r="I199" s="49"/>
      <c r="J199" s="49"/>
      <c r="K199" s="50"/>
      <c r="L199" s="50"/>
      <c r="M199" s="50"/>
      <c r="N199" s="50"/>
      <c r="O199" s="50"/>
      <c r="P199" s="50"/>
      <c r="Q199" s="50"/>
    </row>
    <row r="200" spans="1:17" x14ac:dyDescent="0.25">
      <c r="A200" s="97"/>
      <c r="B200" s="140"/>
      <c r="C200" s="140"/>
      <c r="D200" s="140"/>
      <c r="E200" s="50"/>
      <c r="F200" s="49"/>
      <c r="G200" s="49"/>
      <c r="H200" s="50"/>
      <c r="I200" s="49"/>
      <c r="J200" s="49"/>
      <c r="K200" s="50"/>
      <c r="L200" s="50"/>
      <c r="M200" s="50"/>
      <c r="N200" s="50"/>
      <c r="O200" s="50"/>
      <c r="P200" s="50"/>
      <c r="Q200" s="50"/>
    </row>
    <row r="201" spans="1:17" x14ac:dyDescent="0.25">
      <c r="A201" s="97"/>
      <c r="B201" s="140"/>
      <c r="C201" s="140"/>
      <c r="D201" s="140"/>
      <c r="E201" s="50"/>
      <c r="F201" s="49"/>
      <c r="G201" s="49"/>
      <c r="H201" s="50"/>
      <c r="I201" s="49"/>
      <c r="J201" s="49"/>
      <c r="K201" s="50"/>
      <c r="L201" s="50"/>
      <c r="M201" s="50"/>
      <c r="N201" s="50"/>
      <c r="O201" s="50"/>
      <c r="P201" s="50"/>
      <c r="Q201" s="50"/>
    </row>
    <row r="202" spans="1:17" x14ac:dyDescent="0.25">
      <c r="A202" s="97"/>
      <c r="B202" s="140"/>
      <c r="C202" s="140"/>
      <c r="D202" s="140"/>
      <c r="E202" s="50"/>
      <c r="F202" s="49"/>
      <c r="G202" s="49"/>
      <c r="H202" s="50"/>
      <c r="I202" s="49"/>
      <c r="J202" s="49"/>
      <c r="K202" s="50"/>
      <c r="L202" s="50"/>
      <c r="M202" s="50"/>
      <c r="N202" s="50"/>
      <c r="O202" s="50"/>
      <c r="P202" s="50"/>
      <c r="Q202" s="50"/>
    </row>
    <row r="203" spans="1:17" x14ac:dyDescent="0.25">
      <c r="A203" s="97"/>
      <c r="B203" s="140"/>
      <c r="C203" s="140"/>
      <c r="D203" s="140"/>
      <c r="E203" s="50"/>
      <c r="F203" s="49"/>
      <c r="G203" s="49"/>
      <c r="H203" s="50"/>
      <c r="I203" s="49"/>
      <c r="J203" s="49"/>
      <c r="K203" s="50"/>
      <c r="L203" s="50"/>
      <c r="M203" s="50"/>
      <c r="N203" s="50"/>
      <c r="O203" s="50"/>
      <c r="P203" s="50"/>
      <c r="Q203" s="50"/>
    </row>
    <row r="204" spans="1:17" x14ac:dyDescent="0.25">
      <c r="A204" s="97"/>
      <c r="B204" s="140"/>
      <c r="C204" s="140"/>
      <c r="D204" s="140"/>
      <c r="E204" s="50"/>
      <c r="F204" s="49"/>
      <c r="G204" s="49"/>
      <c r="H204" s="50"/>
      <c r="I204" s="49"/>
      <c r="J204" s="49"/>
      <c r="K204" s="50"/>
      <c r="L204" s="50"/>
      <c r="M204" s="50"/>
      <c r="N204" s="50"/>
      <c r="O204" s="50"/>
      <c r="P204" s="50"/>
      <c r="Q204" s="50"/>
    </row>
    <row r="205" spans="1:17" x14ac:dyDescent="0.25">
      <c r="A205" s="97"/>
      <c r="B205" s="140"/>
      <c r="C205" s="140"/>
      <c r="D205" s="140"/>
      <c r="E205" s="50"/>
      <c r="F205" s="49"/>
      <c r="G205" s="49"/>
      <c r="H205" s="50"/>
      <c r="I205" s="49"/>
      <c r="J205" s="49"/>
      <c r="K205" s="50"/>
      <c r="L205" s="50"/>
      <c r="M205" s="50"/>
      <c r="N205" s="50"/>
      <c r="O205" s="50"/>
      <c r="P205" s="50"/>
      <c r="Q205" s="50"/>
    </row>
    <row r="206" spans="1:17" x14ac:dyDescent="0.25">
      <c r="A206" s="97"/>
      <c r="B206" s="140"/>
      <c r="C206" s="140"/>
      <c r="D206" s="140"/>
      <c r="E206" s="50"/>
      <c r="F206" s="49"/>
      <c r="G206" s="49"/>
      <c r="H206" s="50"/>
      <c r="I206" s="49"/>
      <c r="J206" s="49"/>
      <c r="K206" s="50"/>
      <c r="L206" s="50"/>
      <c r="M206" s="50"/>
      <c r="N206" s="50"/>
      <c r="O206" s="50"/>
      <c r="P206" s="50"/>
      <c r="Q206" s="50"/>
    </row>
    <row r="207" spans="1:17" x14ac:dyDescent="0.25">
      <c r="A207" s="97"/>
      <c r="B207" s="140"/>
      <c r="C207" s="140"/>
      <c r="D207" s="140"/>
      <c r="E207" s="50"/>
      <c r="F207" s="49"/>
      <c r="G207" s="49"/>
      <c r="H207" s="50"/>
      <c r="I207" s="49"/>
      <c r="J207" s="49"/>
      <c r="K207" s="50"/>
      <c r="L207" s="50"/>
      <c r="M207" s="50"/>
      <c r="N207" s="50"/>
      <c r="O207" s="50"/>
      <c r="P207" s="50"/>
      <c r="Q207" s="50"/>
    </row>
    <row r="208" spans="1:17" x14ac:dyDescent="0.25">
      <c r="A208" s="97"/>
      <c r="B208" s="140"/>
      <c r="C208" s="140"/>
      <c r="D208" s="140"/>
      <c r="E208" s="50"/>
      <c r="F208" s="49"/>
      <c r="G208" s="49"/>
      <c r="H208" s="50"/>
      <c r="I208" s="49"/>
      <c r="J208" s="49"/>
      <c r="K208" s="50"/>
      <c r="L208" s="50"/>
      <c r="M208" s="50"/>
      <c r="N208" s="50"/>
      <c r="O208" s="50"/>
      <c r="P208" s="50"/>
      <c r="Q208" s="50"/>
    </row>
    <row r="209" spans="1:17" x14ac:dyDescent="0.25">
      <c r="A209" s="97"/>
      <c r="B209" s="140"/>
      <c r="C209" s="140"/>
      <c r="D209" s="140"/>
      <c r="E209" s="50"/>
      <c r="F209" s="49"/>
      <c r="G209" s="49"/>
      <c r="H209" s="50"/>
      <c r="I209" s="49"/>
      <c r="J209" s="49"/>
      <c r="K209" s="50"/>
      <c r="L209" s="50"/>
      <c r="M209" s="50"/>
      <c r="N209" s="50"/>
      <c r="O209" s="50"/>
      <c r="P209" s="50"/>
      <c r="Q209" s="50"/>
    </row>
    <row r="210" spans="1:17" x14ac:dyDescent="0.25">
      <c r="A210" s="97"/>
      <c r="B210" s="140"/>
      <c r="C210" s="140"/>
      <c r="D210" s="140"/>
      <c r="E210" s="50"/>
      <c r="F210" s="49"/>
      <c r="G210" s="49"/>
      <c r="H210" s="50"/>
      <c r="I210" s="49"/>
      <c r="J210" s="49"/>
      <c r="K210" s="50"/>
      <c r="L210" s="50"/>
      <c r="M210" s="50"/>
      <c r="N210" s="50"/>
      <c r="O210" s="50"/>
      <c r="P210" s="50"/>
      <c r="Q210" s="50"/>
    </row>
    <row r="211" spans="1:17" x14ac:dyDescent="0.25">
      <c r="A211" s="97"/>
      <c r="B211" s="140"/>
      <c r="C211" s="140"/>
      <c r="D211" s="140"/>
      <c r="E211" s="50"/>
      <c r="F211" s="49"/>
      <c r="G211" s="49"/>
      <c r="H211" s="50"/>
      <c r="I211" s="49"/>
      <c r="J211" s="49"/>
      <c r="K211" s="50"/>
      <c r="L211" s="50"/>
      <c r="M211" s="50"/>
      <c r="N211" s="50"/>
      <c r="O211" s="50"/>
      <c r="P211" s="50"/>
      <c r="Q211" s="50"/>
    </row>
    <row r="212" spans="1:17" x14ac:dyDescent="0.25">
      <c r="A212" s="97"/>
      <c r="B212" s="140"/>
      <c r="C212" s="140"/>
      <c r="D212" s="140"/>
      <c r="E212" s="50"/>
      <c r="F212" s="49"/>
      <c r="G212" s="49"/>
      <c r="H212" s="50"/>
      <c r="I212" s="49"/>
      <c r="J212" s="49"/>
      <c r="K212" s="50"/>
      <c r="L212" s="50"/>
      <c r="M212" s="50"/>
      <c r="N212" s="50"/>
      <c r="O212" s="50"/>
      <c r="P212" s="50"/>
      <c r="Q212" s="50"/>
    </row>
    <row r="213" spans="1:17" x14ac:dyDescent="0.25">
      <c r="A213" s="97"/>
      <c r="B213" s="140"/>
      <c r="C213" s="140"/>
      <c r="D213" s="140"/>
      <c r="E213" s="50"/>
      <c r="F213" s="49"/>
      <c r="G213" s="49"/>
      <c r="H213" s="50"/>
      <c r="I213" s="49"/>
      <c r="J213" s="49"/>
      <c r="K213" s="50"/>
      <c r="L213" s="50"/>
      <c r="M213" s="50"/>
      <c r="N213" s="50"/>
      <c r="O213" s="50"/>
      <c r="P213" s="50"/>
      <c r="Q213" s="50"/>
    </row>
    <row r="214" spans="1:17" x14ac:dyDescent="0.25">
      <c r="A214" s="97"/>
      <c r="B214" s="140"/>
      <c r="C214" s="140"/>
      <c r="D214" s="140"/>
      <c r="E214" s="50"/>
      <c r="F214" s="49"/>
      <c r="G214" s="49"/>
      <c r="H214" s="50"/>
      <c r="I214" s="49"/>
      <c r="J214" s="49"/>
      <c r="K214" s="50"/>
      <c r="L214" s="50"/>
      <c r="M214" s="50"/>
      <c r="N214" s="50"/>
      <c r="O214" s="50"/>
      <c r="P214" s="50"/>
      <c r="Q214" s="50"/>
    </row>
    <row r="215" spans="1:17" x14ac:dyDescent="0.25">
      <c r="A215" s="97"/>
      <c r="B215" s="140"/>
      <c r="C215" s="140"/>
      <c r="D215" s="140"/>
      <c r="E215" s="50"/>
      <c r="F215" s="49"/>
      <c r="G215" s="49"/>
      <c r="H215" s="50"/>
      <c r="I215" s="49"/>
      <c r="J215" s="49"/>
      <c r="K215" s="50"/>
      <c r="L215" s="50"/>
      <c r="M215" s="50"/>
      <c r="N215" s="50"/>
      <c r="O215" s="50"/>
      <c r="P215" s="50"/>
      <c r="Q215" s="50"/>
    </row>
    <row r="216" spans="1:17" x14ac:dyDescent="0.25">
      <c r="A216" s="97"/>
      <c r="B216" s="140"/>
      <c r="C216" s="140"/>
      <c r="D216" s="140"/>
      <c r="E216" s="50"/>
      <c r="F216" s="49"/>
      <c r="G216" s="49"/>
      <c r="H216" s="50"/>
      <c r="I216" s="49"/>
      <c r="J216" s="49"/>
      <c r="K216" s="50"/>
      <c r="L216" s="50"/>
      <c r="M216" s="50"/>
      <c r="N216" s="50"/>
      <c r="O216" s="50"/>
      <c r="P216" s="50"/>
      <c r="Q216" s="50"/>
    </row>
    <row r="217" spans="1:17" x14ac:dyDescent="0.25">
      <c r="A217" s="97"/>
      <c r="B217" s="140"/>
      <c r="C217" s="140"/>
      <c r="D217" s="140"/>
      <c r="E217" s="50"/>
      <c r="F217" s="49"/>
      <c r="G217" s="49"/>
      <c r="H217" s="50"/>
      <c r="I217" s="49"/>
      <c r="J217" s="49"/>
      <c r="K217" s="50"/>
      <c r="L217" s="50"/>
      <c r="M217" s="50"/>
      <c r="N217" s="50"/>
      <c r="O217" s="50"/>
      <c r="P217" s="50"/>
      <c r="Q217" s="50"/>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57" t="s">
        <v>391</v>
      </c>
      <c r="B231" s="257"/>
      <c r="C231" s="257"/>
      <c r="D231" s="257"/>
      <c r="E231" s="257"/>
      <c r="F231" s="113">
        <f>SUM(F7:F172)</f>
        <v>23227366682</v>
      </c>
      <c r="G231" s="113">
        <f>SUM(G7:G172)</f>
        <v>23163404833</v>
      </c>
      <c r="H231" s="114">
        <f>(F231-G231)/G231*100</f>
        <v>0.27613319139022274</v>
      </c>
      <c r="I231" s="113">
        <f>SUM(I7:I172)</f>
        <v>16087839465</v>
      </c>
      <c r="J231" s="113">
        <f>SUM(J7:J172)</f>
        <v>12234983215</v>
      </c>
      <c r="K231" s="114">
        <f>(I231-J231)/J231*100</f>
        <v>31.490490688016852</v>
      </c>
      <c r="L231" s="113"/>
      <c r="M231" s="113"/>
      <c r="N231" s="113"/>
      <c r="O231" s="113"/>
      <c r="P231" s="257"/>
      <c r="Q231" s="257"/>
    </row>
    <row r="232" spans="1:17" s="64" customFormat="1" x14ac:dyDescent="0.25">
      <c r="A232" s="257" t="s">
        <v>398</v>
      </c>
      <c r="B232" s="257"/>
      <c r="C232" s="257"/>
      <c r="D232" s="257"/>
      <c r="E232" s="257"/>
      <c r="F232" s="113">
        <f>F231/10000000</f>
        <v>2322.7366682000002</v>
      </c>
      <c r="G232" s="113">
        <f>G231/10000000</f>
        <v>2316.3404833</v>
      </c>
      <c r="H232" s="114">
        <f>(F232-G232)/G232*100</f>
        <v>0.27613319139023174</v>
      </c>
      <c r="I232" s="113">
        <f>I231/10000000</f>
        <v>1608.7839465</v>
      </c>
      <c r="J232" s="113">
        <f>J231/10000000</f>
        <v>1223.4983215</v>
      </c>
      <c r="K232" s="114">
        <f>(I232-J232)/J232*100</f>
        <v>31.490490688016852</v>
      </c>
      <c r="L232" s="113"/>
      <c r="M232" s="113"/>
      <c r="N232" s="113"/>
      <c r="O232" s="113"/>
      <c r="P232" s="257"/>
      <c r="Q232" s="257"/>
    </row>
  </sheetData>
  <mergeCells count="15">
    <mergeCell ref="A3:Q3"/>
    <mergeCell ref="A4:A5"/>
    <mergeCell ref="B4:E4"/>
    <mergeCell ref="F4:H4"/>
    <mergeCell ref="I4:K4"/>
    <mergeCell ref="L4:Q4"/>
    <mergeCell ref="A232:E232"/>
    <mergeCell ref="P231:Q231"/>
    <mergeCell ref="P232:Q232"/>
    <mergeCell ref="A231:E231"/>
    <mergeCell ref="O5:Q5"/>
    <mergeCell ref="C5:E5"/>
    <mergeCell ref="F5:H5"/>
    <mergeCell ref="I5:K5"/>
    <mergeCell ref="L5:N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R17" sqref="R17"/>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(Value)'!H152</f>
        <v>1258077</v>
      </c>
      <c r="C3" s="159">
        <f>'OI(Volume)'!G148</f>
        <v>-1.4500000000000001E-2</v>
      </c>
      <c r="D3" s="153">
        <f>'Snapshot (Value)'!P148</f>
        <v>0.39</v>
      </c>
      <c r="E3" s="153">
        <f>'Snapshot (Value)'!R148</f>
        <v>0.35</v>
      </c>
      <c r="F3" s="153">
        <f>IV!E148</f>
        <v>14.1</v>
      </c>
      <c r="G3" s="153">
        <f>IV!B148</f>
        <v>9.4</v>
      </c>
      <c r="H3" s="153">
        <f>'Snapshot (Value)'!C152</f>
        <v>25815.55</v>
      </c>
      <c r="I3" s="153">
        <f>'Snapshot (Value)'!D152</f>
        <v>25880.6</v>
      </c>
      <c r="J3" s="153">
        <f>'Snapshot (Value)'!E152</f>
        <v>25897.8</v>
      </c>
      <c r="K3" s="153">
        <f>(I3-H3)</f>
        <v>65.049999999999272</v>
      </c>
      <c r="L3" s="232">
        <f>'Data Vlaue (Cr)'!V143</f>
        <v>26196.2</v>
      </c>
    </row>
    <row r="4" spans="1:12" x14ac:dyDescent="0.25">
      <c r="A4" t="s">
        <v>464</v>
      </c>
      <c r="B4" s="154">
        <f>'Snapshot (Value)'!H36</f>
        <v>254310</v>
      </c>
      <c r="C4" s="159">
        <f>'OI(Volume)'!G32</f>
        <v>-2.5499999999999998E-2</v>
      </c>
      <c r="D4" s="153">
        <f>'Snapshot (Value)'!P36</f>
        <v>0.75</v>
      </c>
      <c r="E4" s="153">
        <f>'Snapshot (Value)'!R36</f>
        <v>0.92</v>
      </c>
      <c r="F4" s="153">
        <f>IV!E32</f>
        <v>15.98</v>
      </c>
      <c r="G4" s="153">
        <f>IV!B32</f>
        <v>10.9</v>
      </c>
      <c r="H4" s="153">
        <f>'Snapshot (Value)'!C36</f>
        <v>58912.85</v>
      </c>
      <c r="I4" s="153">
        <f>'Snapshot (Value)'!D36</f>
        <v>59074.2</v>
      </c>
      <c r="J4" s="153">
        <f>'Snapshot (Value)'!E36</f>
        <v>59146.8</v>
      </c>
      <c r="K4" s="153">
        <f>(I4-H4)</f>
        <v>161.34999999999854</v>
      </c>
      <c r="L4" s="232">
        <f>'Data Vlaue (Cr)'!V27</f>
        <v>59824.800000000003</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U8" sqref="U8"/>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39" t="s">
        <v>393</v>
      </c>
      <c r="B1" s="336" t="s">
        <v>632</v>
      </c>
      <c r="C1" s="337"/>
      <c r="D1" s="338"/>
      <c r="E1" s="333" t="s">
        <v>633</v>
      </c>
      <c r="F1" s="334"/>
      <c r="G1" s="335"/>
      <c r="H1" s="330" t="s">
        <v>634</v>
      </c>
      <c r="I1" s="331"/>
      <c r="J1" s="332"/>
      <c r="K1" s="327" t="s">
        <v>635</v>
      </c>
      <c r="L1" s="328"/>
      <c r="M1" s="329"/>
    </row>
    <row r="2" spans="1:13" ht="26.25" thickBot="1" x14ac:dyDescent="0.25">
      <c r="A2" s="340"/>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39" t="s">
        <v>641</v>
      </c>
      <c r="B6" s="336" t="s">
        <v>632</v>
      </c>
      <c r="C6" s="337"/>
      <c r="D6" s="338"/>
      <c r="E6" s="333" t="s">
        <v>633</v>
      </c>
      <c r="F6" s="334"/>
      <c r="G6" s="335"/>
      <c r="H6" s="330" t="s">
        <v>634</v>
      </c>
      <c r="I6" s="331"/>
      <c r="J6" s="332"/>
      <c r="K6" s="327" t="s">
        <v>635</v>
      </c>
      <c r="L6" s="328"/>
      <c r="M6" s="329"/>
    </row>
    <row r="7" spans="1:13" ht="26.25" thickBot="1" x14ac:dyDescent="0.25">
      <c r="A7" s="340"/>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39" t="s">
        <v>642</v>
      </c>
      <c r="B11" s="336" t="s">
        <v>632</v>
      </c>
      <c r="C11" s="337"/>
      <c r="D11" s="338"/>
      <c r="E11" s="333" t="s">
        <v>633</v>
      </c>
      <c r="F11" s="334"/>
      <c r="G11" s="335"/>
      <c r="H11" s="330" t="s">
        <v>634</v>
      </c>
      <c r="I11" s="331"/>
      <c r="J11" s="332"/>
      <c r="K11" s="327" t="s">
        <v>635</v>
      </c>
      <c r="L11" s="328"/>
      <c r="M11" s="329"/>
    </row>
    <row r="12" spans="1:13" ht="26.25" thickBot="1" x14ac:dyDescent="0.25">
      <c r="A12" s="340"/>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39" t="s">
        <v>395</v>
      </c>
      <c r="B16" s="336" t="s">
        <v>632</v>
      </c>
      <c r="C16" s="337"/>
      <c r="D16" s="338"/>
      <c r="E16" s="333" t="s">
        <v>633</v>
      </c>
      <c r="F16" s="334"/>
      <c r="G16" s="335"/>
      <c r="H16" s="330" t="s">
        <v>634</v>
      </c>
      <c r="I16" s="331"/>
      <c r="J16" s="332"/>
      <c r="K16" s="327" t="s">
        <v>635</v>
      </c>
      <c r="L16" s="328"/>
      <c r="M16" s="329"/>
    </row>
    <row r="17" spans="1:13" ht="26.25" thickBot="1" x14ac:dyDescent="0.25">
      <c r="A17" s="340"/>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39" t="s">
        <v>643</v>
      </c>
      <c r="B21" s="336" t="s">
        <v>632</v>
      </c>
      <c r="C21" s="337"/>
      <c r="D21" s="338"/>
      <c r="E21" s="333" t="s">
        <v>633</v>
      </c>
      <c r="F21" s="334"/>
      <c r="G21" s="335"/>
      <c r="H21" s="330" t="s">
        <v>634</v>
      </c>
      <c r="I21" s="331"/>
      <c r="J21" s="332"/>
      <c r="K21" s="327" t="s">
        <v>635</v>
      </c>
      <c r="L21" s="328"/>
      <c r="M21" s="329"/>
    </row>
    <row r="22" spans="1:13" ht="26.25" thickBot="1" x14ac:dyDescent="0.25">
      <c r="A22" s="340"/>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39" t="s">
        <v>644</v>
      </c>
      <c r="B26" s="336" t="s">
        <v>632</v>
      </c>
      <c r="C26" s="337"/>
      <c r="D26" s="338"/>
      <c r="E26" s="333" t="s">
        <v>633</v>
      </c>
      <c r="F26" s="334"/>
      <c r="G26" s="335"/>
      <c r="H26" s="330" t="s">
        <v>634</v>
      </c>
      <c r="I26" s="331"/>
      <c r="J26" s="332"/>
      <c r="K26" s="327" t="s">
        <v>635</v>
      </c>
      <c r="L26" s="328"/>
      <c r="M26" s="329"/>
    </row>
    <row r="27" spans="1:13" ht="26.25" thickBot="1" x14ac:dyDescent="0.25">
      <c r="A27" s="340"/>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A1:A2"/>
    <mergeCell ref="B1:D1"/>
    <mergeCell ref="E1:G1"/>
    <mergeCell ref="H1:J1"/>
    <mergeCell ref="K1:M1"/>
    <mergeCell ref="K26:M26"/>
    <mergeCell ref="H26:J26"/>
    <mergeCell ref="E26:G26"/>
    <mergeCell ref="B26:D26"/>
    <mergeCell ref="A26:A27"/>
    <mergeCell ref="B16:D16"/>
    <mergeCell ref="A16:A17"/>
    <mergeCell ref="K21:M21"/>
    <mergeCell ref="H21:J21"/>
    <mergeCell ref="E21:G21"/>
    <mergeCell ref="B21:D21"/>
    <mergeCell ref="A21:A22"/>
    <mergeCell ref="K16:M16"/>
    <mergeCell ref="H16:J16"/>
    <mergeCell ref="E16:G16"/>
    <mergeCell ref="K6:M6"/>
    <mergeCell ref="H6:J6"/>
    <mergeCell ref="E6:G6"/>
    <mergeCell ref="B6:D6"/>
    <mergeCell ref="A6:A7"/>
    <mergeCell ref="K11:M11"/>
    <mergeCell ref="H11:J11"/>
    <mergeCell ref="E11:G11"/>
    <mergeCell ref="B11:D11"/>
    <mergeCell ref="A11:A12"/>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4031.1</v>
      </c>
      <c r="C3" s="200"/>
      <c r="D3" s="200"/>
    </row>
    <row r="4" spans="1:4" x14ac:dyDescent="0.25">
      <c r="A4" s="217" t="s">
        <v>320</v>
      </c>
      <c r="B4" s="220">
        <f>VLOOKUP($B$1,'Snapshot (Value)'!$A:$S,6,0)</f>
        <v>9.0999999999999091</v>
      </c>
      <c r="C4" s="200"/>
      <c r="D4" s="200"/>
    </row>
    <row r="5" spans="1:4" x14ac:dyDescent="0.25">
      <c r="A5" s="221"/>
      <c r="B5" s="222" t="s">
        <v>649</v>
      </c>
      <c r="C5" s="222" t="s">
        <v>650</v>
      </c>
      <c r="D5" s="222" t="s">
        <v>651</v>
      </c>
    </row>
    <row r="6" spans="1:4" x14ac:dyDescent="0.25">
      <c r="A6" s="217" t="s">
        <v>652</v>
      </c>
      <c r="B6" s="219">
        <f>VLOOKUP($B$1,'Snapshot (Value)'!$A:$S,4,0)</f>
        <v>4040.2</v>
      </c>
      <c r="C6" s="219">
        <f>VLOOKUP($B$1,'Snapshot (Value)'!$A:$S,5,0)</f>
        <v>4068.7</v>
      </c>
      <c r="D6" s="219">
        <f>+(B6/C6-1)*100</f>
        <v>-0.70046943741244316</v>
      </c>
    </row>
    <row r="7" spans="1:4" x14ac:dyDescent="0.25">
      <c r="A7" s="217" t="s">
        <v>316</v>
      </c>
      <c r="B7" s="219">
        <f>VLOOKUP($B$1,'Snapshot (Volume)'!$A:$S,12,0)</f>
        <v>0.56000000000000005</v>
      </c>
      <c r="C7" s="219">
        <f>VLOOKUP($B$1,'Snapshot (Volume)'!$A:$S,13,0)</f>
        <v>0.56999999999999995</v>
      </c>
      <c r="D7" s="219">
        <f>+(B7/C7-1)*100</f>
        <v>-1.754385964912264</v>
      </c>
    </row>
    <row r="8" spans="1:4" x14ac:dyDescent="0.25">
      <c r="A8" s="217" t="s">
        <v>653</v>
      </c>
      <c r="B8" s="219">
        <f>VLOOKUP($B$1,'Snapshot (Volume)'!$A:$S,15,0)</f>
        <v>0.56000000000000005</v>
      </c>
      <c r="C8" s="219">
        <f>VLOOKUP($B$1,'Snapshot (Volume)'!$A:$S,16,0)</f>
        <v>0.68</v>
      </c>
      <c r="D8" s="219">
        <f>+(B8/C8-1)*100</f>
        <v>-17.647058823529406</v>
      </c>
    </row>
    <row r="9" spans="1:4" x14ac:dyDescent="0.25">
      <c r="A9" s="215" t="s">
        <v>654</v>
      </c>
      <c r="B9" s="222" t="s">
        <v>655</v>
      </c>
      <c r="C9" s="222" t="s">
        <v>369</v>
      </c>
      <c r="D9" s="222" t="s">
        <v>651</v>
      </c>
    </row>
    <row r="10" spans="1:4" x14ac:dyDescent="0.25">
      <c r="A10" s="217" t="s">
        <v>656</v>
      </c>
      <c r="B10" s="219">
        <f>VLOOKUP($B$1,'OI(Value)'!$A:$O,5,0)</f>
        <v>5595</v>
      </c>
      <c r="C10" s="219">
        <f>VLOOKUP($B$1,'OI(Value)'!$A:$O,6,0)</f>
        <v>71</v>
      </c>
      <c r="D10" s="219">
        <f>VLOOKUP($B$1,'OI(Value)'!$A:$O,7,0)*100</f>
        <v>1.29</v>
      </c>
    </row>
    <row r="11" spans="1:4" x14ac:dyDescent="0.25">
      <c r="A11" s="217" t="s">
        <v>657</v>
      </c>
      <c r="B11" s="219">
        <f>VLOOKUP($B$1,'OI(Value)'!$A:$O,8,0)</f>
        <v>2304</v>
      </c>
      <c r="C11" s="219">
        <f>VLOOKUP($B$1,'OI(Value)'!$A:$O,9,0)</f>
        <v>6</v>
      </c>
      <c r="D11" s="219">
        <f>VLOOKUP($B$1,'OI(Value)'!$A:$O,10,0)*100</f>
        <v>0.24</v>
      </c>
    </row>
    <row r="12" spans="1:4" x14ac:dyDescent="0.25">
      <c r="A12" s="217" t="s">
        <v>658</v>
      </c>
      <c r="B12" s="219">
        <f>VLOOKUP($B$1,'OI(Value)'!$A:$O,11,0)</f>
        <v>1284</v>
      </c>
      <c r="C12" s="219">
        <f>VLOOKUP($B$1,'OI(Value)'!$A:$O,12,0)</f>
        <v>-24</v>
      </c>
      <c r="D12" s="219">
        <f>VLOOKUP($B$1,'OI(Value)'!$A:$O,13,0)*100</f>
        <v>-1.87</v>
      </c>
    </row>
    <row r="13" spans="1:4" x14ac:dyDescent="0.25">
      <c r="A13" s="215" t="s">
        <v>659</v>
      </c>
      <c r="B13" s="223">
        <f>VLOOKUP($B$1,'OI(Value)'!$A:$O,2,0)</f>
        <v>9183</v>
      </c>
      <c r="C13" s="223">
        <f>VLOOKUP($B$1,'OI(Value)'!$A:$O,3,0)</f>
        <v>53</v>
      </c>
      <c r="D13" s="223">
        <f>VLOOKUP($B$1,'OI(Value)'!$A:$O,4,0)*100</f>
        <v>0.57999999999999996</v>
      </c>
    </row>
    <row r="14" spans="1:4" x14ac:dyDescent="0.25">
      <c r="A14" s="215" t="s">
        <v>660</v>
      </c>
      <c r="B14" s="222" t="s">
        <v>661</v>
      </c>
      <c r="C14" s="222" t="s">
        <v>369</v>
      </c>
      <c r="D14" s="222" t="s">
        <v>651</v>
      </c>
    </row>
    <row r="15" spans="1:4" x14ac:dyDescent="0.25">
      <c r="A15" s="217" t="s">
        <v>656</v>
      </c>
      <c r="B15" s="219">
        <f>VLOOKUP($B$1,'OI(Volume)'!$A:$O,5,0)/10^5</f>
        <v>138.4915</v>
      </c>
      <c r="C15" s="219">
        <f>VLOOKUP($B$1,'OI(Volume)'!$A:$O,6,0)/10^5</f>
        <v>1.76925</v>
      </c>
      <c r="D15" s="219">
        <f>(VLOOKUP($B$1,'OI(Volume)'!$A:$O,7,0))*100</f>
        <v>1.29</v>
      </c>
    </row>
    <row r="16" spans="1:4" x14ac:dyDescent="0.25">
      <c r="A16" s="217" t="s">
        <v>657</v>
      </c>
      <c r="B16" s="219">
        <f>VLOOKUP($B$1,'OI(Volume)'!$A:$O,8,0)/10^5</f>
        <v>57.015000000000001</v>
      </c>
      <c r="C16" s="219">
        <f>VLOOKUP($B$1,'OI(Volume)'!$A:$O,9,0)/10^5</f>
        <v>0.13650000000000001</v>
      </c>
      <c r="D16" s="219">
        <f>(VLOOKUP($B$1,'OI(Volume)'!$A:$O,10,0))*100</f>
        <v>0.24</v>
      </c>
    </row>
    <row r="17" spans="1:4" x14ac:dyDescent="0.25">
      <c r="A17" s="217" t="s">
        <v>658</v>
      </c>
      <c r="B17" s="219">
        <f>VLOOKUP($B$1,'OI(Volume)'!$A:$O,11,0)/10^5</f>
        <v>31.776499999999999</v>
      </c>
      <c r="C17" s="219">
        <f>VLOOKUP($B$1,'OI(Volume)'!$A:$O,12,0)/10^5</f>
        <v>-0.60550000000000004</v>
      </c>
      <c r="D17" s="219">
        <f>(VLOOKUP($B$1,'OI(Volume)'!$A:$O,13,0))*100</f>
        <v>-1.87</v>
      </c>
    </row>
    <row r="18" spans="1:4" x14ac:dyDescent="0.25">
      <c r="A18" s="215" t="s">
        <v>662</v>
      </c>
      <c r="B18" s="223">
        <f>VLOOKUP($B$1,'OI(Volume)'!$A:$O,2,0)/10^5</f>
        <v>227.28299999999999</v>
      </c>
      <c r="C18" s="223">
        <f>VLOOKUP($B$1,'OI(Volume)'!$A:$O,3,0)/10^5</f>
        <v>1.3002499999999999</v>
      </c>
      <c r="D18" s="223">
        <f>(VLOOKUP($B$1,'OI(Volume)'!$A:$O,4,0))*100</f>
        <v>0.57999999999999996</v>
      </c>
    </row>
    <row r="20" spans="1:4" x14ac:dyDescent="0.25">
      <c r="A20" s="17" t="s">
        <v>417</v>
      </c>
      <c r="B20" s="224">
        <f>VLOOKUP($B$1,'Open Interest Position'!$A:$F,2,0)/10^5</f>
        <v>1360.07303</v>
      </c>
    </row>
    <row r="21" spans="1:4" x14ac:dyDescent="0.25">
      <c r="A21" s="17" t="s">
        <v>412</v>
      </c>
      <c r="B21" s="224">
        <f>VLOOKUP($B$1,'Open Interest Position'!$A:$F,3,0)/10^5</f>
        <v>223.87049999999999</v>
      </c>
    </row>
    <row r="22" spans="1:4" x14ac:dyDescent="0.25">
      <c r="A22" s="17" t="s">
        <v>418</v>
      </c>
      <c r="B22" s="224">
        <f>VLOOKUP($B$1,'Open Interest Position'!$A:$F,4,0)/10^5</f>
        <v>138.268023303777</v>
      </c>
    </row>
    <row r="23" spans="1:4" x14ac:dyDescent="0.25">
      <c r="A23" s="17" t="s">
        <v>419</v>
      </c>
      <c r="B23" s="225">
        <f>VLOOKUP($B$1,'Open Interest Position'!$A:$F,6,0)</f>
        <v>0.16460182288887826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46009</v>
      </c>
      <c r="E6" s="66" t="s">
        <v>368</v>
      </c>
      <c r="F6" s="71" t="s">
        <v>333</v>
      </c>
      <c r="G6" s="71" t="s">
        <v>328</v>
      </c>
      <c r="H6" s="66">
        <f>D6</f>
        <v>46009</v>
      </c>
      <c r="I6" s="71" t="s">
        <v>322</v>
      </c>
      <c r="J6" s="71" t="s">
        <v>328</v>
      </c>
      <c r="K6" s="66">
        <f>D6</f>
        <v>46009</v>
      </c>
      <c r="L6" s="78" t="s">
        <v>333</v>
      </c>
      <c r="M6" s="78" t="s">
        <v>328</v>
      </c>
      <c r="N6" s="66">
        <f>D6</f>
        <v>46009</v>
      </c>
      <c r="O6" s="78" t="s">
        <v>322</v>
      </c>
      <c r="P6" s="78" t="s">
        <v>328</v>
      </c>
    </row>
    <row r="7" spans="1:36" x14ac:dyDescent="0.25">
      <c r="A7" s="79" t="str">
        <f>'Data shares'!B2</f>
        <v>Finance</v>
      </c>
      <c r="B7" s="79" t="str">
        <f>'Data shares'!C2</f>
        <v>360ONE</v>
      </c>
      <c r="C7" s="79">
        <f>VLOOKUP($B7,'Data shares'!$C:$FB,7)</f>
        <v>1143.2</v>
      </c>
      <c r="D7" s="165">
        <f>VLOOKUP($B7,'Data shares'!$C:$FB,98)</f>
        <v>4730000</v>
      </c>
      <c r="E7" s="165">
        <f>VLOOKUP(B7,'Snapshot (Volume)'!$A$7:$G$168,7,0)</f>
        <v>4733500</v>
      </c>
      <c r="F7" s="165">
        <f>D7-E7</f>
        <v>-3500</v>
      </c>
      <c r="G7" s="166">
        <f>F7/E7</f>
        <v>-7.3941058413436146E-4</v>
      </c>
      <c r="H7" s="165">
        <f>VLOOKUP($B7,'Data shares'!$C:$FB,66)</f>
        <v>2550000</v>
      </c>
      <c r="I7" s="165">
        <f>VLOOKUP($B7,'Data shares'!$C:$FB,67)</f>
        <v>18485000</v>
      </c>
      <c r="J7" s="81">
        <f>(H7-I7)/I7*100</f>
        <v>-86.205031106302414</v>
      </c>
      <c r="K7" s="81">
        <f>VLOOKUP($B7,'Data Vlaue (Cr)'!$C:$FB,99)</f>
        <v>541</v>
      </c>
      <c r="L7" s="81">
        <f>VLOOKUP(B7,'OI(Value)'!$A$7:$C$209,3,0)</f>
        <v>0</v>
      </c>
      <c r="M7" s="81">
        <f t="shared" ref="M7:M36" si="0">L7/K7*100</f>
        <v>0</v>
      </c>
      <c r="N7" s="81">
        <f>VLOOKUP($B7,'Data Vlaue (Cr)'!$C:$FB,67)</f>
        <v>292</v>
      </c>
      <c r="O7" s="81">
        <f>VLOOKUP($B7,'Data Vlaue (Cr)'!$C:$FB,68)</f>
        <v>2115</v>
      </c>
      <c r="P7" s="81">
        <f t="shared" ref="P7:P23" si="1">(N7-O7)/N7*100</f>
        <v>-624.31506849315065</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5097.5</v>
      </c>
      <c r="D8" s="165">
        <f>VLOOKUP($B8,'Data shares'!$C:$FB,98)</f>
        <v>4169000</v>
      </c>
      <c r="E8" s="165">
        <f>VLOOKUP(B8,'Snapshot (Volume)'!$A$7:$G$168,7,0)</f>
        <v>4053125</v>
      </c>
      <c r="F8" s="165">
        <f t="shared" ref="F8:F23" si="2">D8-E8</f>
        <v>115875</v>
      </c>
      <c r="G8" s="166">
        <f t="shared" ref="G8:G23" si="3">F8/E8</f>
        <v>2.858905165767155E-2</v>
      </c>
      <c r="H8" s="165">
        <f>VLOOKUP($B8,'Data shares'!$C:$FB,66)</f>
        <v>2163000</v>
      </c>
      <c r="I8" s="165">
        <f>VLOOKUP($B8,'Data shares'!$C:$FB,67)</f>
        <v>1434750</v>
      </c>
      <c r="J8" s="81">
        <f t="shared" ref="J8:J22" si="4">(H8-I8)/I8*100</f>
        <v>50.757971772085732</v>
      </c>
      <c r="K8" s="81">
        <f>VLOOKUP($B8,'Data Vlaue (Cr)'!$C:$FB,99)</f>
        <v>2133</v>
      </c>
      <c r="L8" s="81">
        <f>VLOOKUP(B8,'OI(Value)'!$A$7:$C$209,3,0)</f>
        <v>59</v>
      </c>
      <c r="M8" s="81">
        <f t="shared" si="0"/>
        <v>2.7660571964369431</v>
      </c>
      <c r="N8" s="81">
        <f>VLOOKUP($B8,'Data Vlaue (Cr)'!$C:$FB,67)</f>
        <v>1107</v>
      </c>
      <c r="O8" s="81">
        <f>VLOOKUP($B8,'Data Vlaue (Cr)'!$C:$FB,68)</f>
        <v>734</v>
      </c>
      <c r="P8" s="81">
        <f t="shared" si="1"/>
        <v>33.694670280036135</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344.25</v>
      </c>
      <c r="D9" s="165">
        <f>VLOOKUP($B9,'Data shares'!$C:$FB,98)</f>
        <v>120180800</v>
      </c>
      <c r="E9" s="165">
        <f>VLOOKUP(B9,'Snapshot (Volume)'!$A$7:$G$168,7,0)</f>
        <v>120004100</v>
      </c>
      <c r="F9" s="165">
        <f t="shared" si="2"/>
        <v>176700</v>
      </c>
      <c r="G9" s="166">
        <f t="shared" si="3"/>
        <v>1.4724496913022138E-3</v>
      </c>
      <c r="H9" s="165">
        <f>VLOOKUP($B9,'Data shares'!$C:$FB,66)</f>
        <v>56711400</v>
      </c>
      <c r="I9" s="165">
        <f>VLOOKUP($B9,'Data shares'!$C:$FB,67)</f>
        <v>54637500</v>
      </c>
      <c r="J9" s="81">
        <f t="shared" si="4"/>
        <v>3.795744680851064</v>
      </c>
      <c r="K9" s="81">
        <f>VLOOKUP($B9,'Data Vlaue (Cr)'!$C:$FB,99)</f>
        <v>4152</v>
      </c>
      <c r="L9" s="81">
        <f>VLOOKUP(B9,'OI(Value)'!$A$7:$C$209,3,0)</f>
        <v>6</v>
      </c>
      <c r="M9" s="81">
        <f t="shared" si="0"/>
        <v>0.1445086705202312</v>
      </c>
      <c r="N9" s="81">
        <f>VLOOKUP($B9,'Data Vlaue (Cr)'!$C:$FB,67)</f>
        <v>1959</v>
      </c>
      <c r="O9" s="81">
        <f>VLOOKUP($B9,'Data Vlaue (Cr)'!$C:$FB,68)</f>
        <v>1888</v>
      </c>
      <c r="P9" s="81">
        <f t="shared" si="1"/>
        <v>3.6242981112812664</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976.3</v>
      </c>
      <c r="D10" s="82">
        <f>VLOOKUP($B10,'Data shares'!$C:$FB,98)</f>
        <v>24382350</v>
      </c>
      <c r="E10" s="165">
        <f>VLOOKUP(B10,'Snapshot (Volume)'!$A$7:$G$168,7,0)</f>
        <v>24405300</v>
      </c>
      <c r="F10" s="165">
        <f t="shared" si="2"/>
        <v>-22950</v>
      </c>
      <c r="G10" s="166">
        <f t="shared" si="3"/>
        <v>-9.403695099015378E-4</v>
      </c>
      <c r="H10" s="165">
        <f>VLOOKUP($B10,'Data shares'!$C:$FB,66)</f>
        <v>5623425</v>
      </c>
      <c r="I10" s="165">
        <f>VLOOKUP($B10,'Data shares'!$C:$FB,67)</f>
        <v>7362225</v>
      </c>
      <c r="J10" s="81">
        <f t="shared" si="4"/>
        <v>-23.617860089850552</v>
      </c>
      <c r="K10" s="5">
        <f>VLOOKUP($B10,'Data Vlaue (Cr)'!$C:$FB,99)</f>
        <v>2384</v>
      </c>
      <c r="L10" s="81">
        <f>VLOOKUP(B10,'OI(Value)'!$A$7:$C$209,3,0)</f>
        <v>-2</v>
      </c>
      <c r="M10" s="33">
        <f t="shared" si="0"/>
        <v>-8.3892617449664433E-2</v>
      </c>
      <c r="N10" s="5">
        <f>VLOOKUP($B10,'Data Vlaue (Cr)'!$C:$FB,67)</f>
        <v>550</v>
      </c>
      <c r="O10" s="5">
        <f>VLOOKUP($B10,'Data Vlaue (Cr)'!$C:$FB,68)</f>
        <v>720</v>
      </c>
      <c r="P10" s="5">
        <f t="shared" si="1"/>
        <v>-30.909090909090907</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2229.3000000000002</v>
      </c>
      <c r="D11" s="82">
        <f>VLOOKUP($B11,'Data shares'!$C:$FB,98)</f>
        <v>45801525</v>
      </c>
      <c r="E11" s="165">
        <f>VLOOKUP(B11,'Snapshot (Volume)'!$A$7:$G$168,7,0)</f>
        <v>45750540</v>
      </c>
      <c r="F11" s="165">
        <f t="shared" si="2"/>
        <v>50985</v>
      </c>
      <c r="G11" s="166">
        <f t="shared" si="3"/>
        <v>1.1144130757800891E-3</v>
      </c>
      <c r="H11" s="165">
        <f>VLOOKUP($B11,'Data shares'!$C:$FB,66)</f>
        <v>12755520</v>
      </c>
      <c r="I11" s="165">
        <f>VLOOKUP($B11,'Data shares'!$C:$FB,67)</f>
        <v>14097816</v>
      </c>
      <c r="J11" s="81">
        <f t="shared" si="4"/>
        <v>-9.5213045765386646</v>
      </c>
      <c r="K11" s="5">
        <f>VLOOKUP($B11,'Data Vlaue (Cr)'!$C:$FB,99)</f>
        <v>10244</v>
      </c>
      <c r="L11" s="81">
        <f>VLOOKUP(B11,'OI(Value)'!$A$7:$C$209,3,0)</f>
        <v>11</v>
      </c>
      <c r="M11" s="33">
        <f t="shared" si="0"/>
        <v>0.10737992971495509</v>
      </c>
      <c r="N11" s="5">
        <f>VLOOKUP($B11,'Data Vlaue (Cr)'!$C:$FB,67)</f>
        <v>2853</v>
      </c>
      <c r="O11" s="5">
        <f>VLOOKUP($B11,'Data Vlaue (Cr)'!$C:$FB,68)</f>
        <v>3153</v>
      </c>
      <c r="P11" s="5">
        <f t="shared" si="1"/>
        <v>-10.515247108307046</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1011</v>
      </c>
      <c r="D12" s="82">
        <f>VLOOKUP($B12,'Data shares'!$C:$FB,98)</f>
        <v>44374200</v>
      </c>
      <c r="E12" s="165">
        <f>VLOOKUP(B12,'Snapshot (Volume)'!$A$7:$G$168,7,0)</f>
        <v>45130200</v>
      </c>
      <c r="F12" s="165">
        <f t="shared" si="2"/>
        <v>-756000</v>
      </c>
      <c r="G12" s="166">
        <f t="shared" si="3"/>
        <v>-1.6751532233404684E-2</v>
      </c>
      <c r="H12" s="165">
        <f>VLOOKUP($B12,'Data shares'!$C:$FB,66)</f>
        <v>18373800</v>
      </c>
      <c r="I12" s="165">
        <f>VLOOKUP($B12,'Data shares'!$C:$FB,67)</f>
        <v>16658400</v>
      </c>
      <c r="J12" s="81">
        <f t="shared" si="4"/>
        <v>10.297507563751621</v>
      </c>
      <c r="K12" s="5">
        <f>VLOOKUP($B12,'Data Vlaue (Cr)'!$C:$FB,99)</f>
        <v>4499</v>
      </c>
      <c r="L12" s="81">
        <f>VLOOKUP(B12,'OI(Value)'!$A$7:$C$209,3,0)</f>
        <v>-77</v>
      </c>
      <c r="M12" s="33">
        <f t="shared" si="0"/>
        <v>-1.7114914425427872</v>
      </c>
      <c r="N12" s="5">
        <f>VLOOKUP($B12,'Data Vlaue (Cr)'!$C:$FB,67)</f>
        <v>1863</v>
      </c>
      <c r="O12" s="5">
        <f>VLOOKUP($B12,'Data Vlaue (Cr)'!$C:$FB,68)</f>
        <v>1689</v>
      </c>
      <c r="P12" s="5">
        <f t="shared" si="1"/>
        <v>9.3397745571658621</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1495.7</v>
      </c>
      <c r="D13" s="82">
        <f>VLOOKUP($B13,'Data shares'!$C:$FB,98)</f>
        <v>38268850</v>
      </c>
      <c r="E13" s="165">
        <f>VLOOKUP(B13,'Snapshot (Volume)'!$A$7:$G$168,7,0)</f>
        <v>37797650</v>
      </c>
      <c r="F13" s="165">
        <f t="shared" si="2"/>
        <v>471200</v>
      </c>
      <c r="G13" s="166">
        <f t="shared" si="3"/>
        <v>1.2466383492095409E-2</v>
      </c>
      <c r="H13" s="165">
        <f>VLOOKUP($B13,'Data shares'!$C:$FB,66)</f>
        <v>13196925</v>
      </c>
      <c r="I13" s="165">
        <f>VLOOKUP($B13,'Data shares'!$C:$FB,67)</f>
        <v>11946725</v>
      </c>
      <c r="J13" s="81">
        <f t="shared" si="4"/>
        <v>10.464792652379627</v>
      </c>
      <c r="K13" s="5">
        <f>VLOOKUP($B13,'Data Vlaue (Cr)'!$C:$FB,99)</f>
        <v>5738</v>
      </c>
      <c r="L13" s="81">
        <f>VLOOKUP(B13,'OI(Value)'!$A$7:$C$209,3,0)</f>
        <v>71</v>
      </c>
      <c r="M13" s="33">
        <f t="shared" si="0"/>
        <v>1.237364935517602</v>
      </c>
      <c r="N13" s="5">
        <f>VLOOKUP($B13,'Data Vlaue (Cr)'!$C:$FB,67)</f>
        <v>1979</v>
      </c>
      <c r="O13" s="5">
        <f>VLOOKUP($B13,'Data Vlaue (Cr)'!$C:$FB,68)</f>
        <v>1791</v>
      </c>
      <c r="P13" s="5">
        <f t="shared" si="1"/>
        <v>9.4997473471450231</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5521</v>
      </c>
      <c r="D14" s="82">
        <f>VLOOKUP($B14,'Data shares'!$C:$FB,98)</f>
        <v>2030875</v>
      </c>
      <c r="E14" s="165">
        <f>VLOOKUP(B14,'Snapshot (Volume)'!$A$7:$G$168,7,0)</f>
        <v>2011375</v>
      </c>
      <c r="F14" s="165">
        <f t="shared" si="2"/>
        <v>19500</v>
      </c>
      <c r="G14" s="166">
        <f t="shared" si="3"/>
        <v>9.6948604810142315E-3</v>
      </c>
      <c r="H14" s="165">
        <f>VLOOKUP($B14,'Data shares'!$C:$FB,66)</f>
        <v>668125</v>
      </c>
      <c r="I14" s="165">
        <f>VLOOKUP($B14,'Data shares'!$C:$FB,67)</f>
        <v>652625</v>
      </c>
      <c r="J14" s="81">
        <f t="shared" si="4"/>
        <v>2.3750239417736068</v>
      </c>
      <c r="K14" s="5">
        <f>VLOOKUP($B14,'Data Vlaue (Cr)'!$C:$FB,99)</f>
        <v>1124</v>
      </c>
      <c r="L14" s="81">
        <f>VLOOKUP(B14,'OI(Value)'!$A$7:$C$209,3,0)</f>
        <v>11</v>
      </c>
      <c r="M14" s="33">
        <f t="shared" si="0"/>
        <v>0.97864768683274017</v>
      </c>
      <c r="N14" s="5">
        <f>VLOOKUP($B14,'Data Vlaue (Cr)'!$C:$FB,67)</f>
        <v>370</v>
      </c>
      <c r="O14" s="5">
        <f>VLOOKUP($B14,'Data Vlaue (Cr)'!$C:$FB,68)</f>
        <v>361</v>
      </c>
      <c r="P14" s="5">
        <f t="shared" si="1"/>
        <v>2.4324324324324325</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6585.5</v>
      </c>
      <c r="D15" s="82">
        <f>VLOOKUP($B15,'Data shares'!$C:$FB,98)</f>
        <v>3127800</v>
      </c>
      <c r="E15" s="165">
        <f>VLOOKUP(B15,'Snapshot (Volume)'!$A$7:$G$168,7,0)</f>
        <v>3135300</v>
      </c>
      <c r="F15" s="165">
        <f t="shared" si="2"/>
        <v>-7500</v>
      </c>
      <c r="G15" s="166">
        <f t="shared" si="3"/>
        <v>-2.3921155870251652E-3</v>
      </c>
      <c r="H15" s="165">
        <f>VLOOKUP($B15,'Data shares'!$C:$FB,66)</f>
        <v>1739900</v>
      </c>
      <c r="I15" s="165">
        <f>VLOOKUP($B15,'Data shares'!$C:$FB,67)</f>
        <v>3310900</v>
      </c>
      <c r="J15" s="81">
        <f t="shared" si="4"/>
        <v>-47.449334017940743</v>
      </c>
      <c r="K15" s="5">
        <f>VLOOKUP($B15,'Data Vlaue (Cr)'!$C:$FB,99)</f>
        <v>2063</v>
      </c>
      <c r="L15" s="81">
        <f>VLOOKUP(B15,'OI(Value)'!$A$7:$C$209,3,0)</f>
        <v>-5</v>
      </c>
      <c r="M15" s="33">
        <f t="shared" si="0"/>
        <v>-0.24236548715462916</v>
      </c>
      <c r="N15" s="5">
        <f>VLOOKUP($B15,'Data Vlaue (Cr)'!$C:$FB,67)</f>
        <v>1147</v>
      </c>
      <c r="O15" s="5">
        <f>VLOOKUP($B15,'Data Vlaue (Cr)'!$C:$FB,68)</f>
        <v>2184</v>
      </c>
      <c r="P15" s="5">
        <f t="shared" si="1"/>
        <v>-90.409764603312993</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535.79999999999995</v>
      </c>
      <c r="D16" s="82">
        <f>VLOOKUP($B16,'Data shares'!$C:$FB,98)</f>
        <v>70615650</v>
      </c>
      <c r="E16" s="165">
        <f>VLOOKUP(B16,'Snapshot (Volume)'!$A$7:$G$168,7,0)</f>
        <v>69549900</v>
      </c>
      <c r="F16" s="165">
        <f t="shared" si="2"/>
        <v>1065750</v>
      </c>
      <c r="G16" s="166">
        <f t="shared" si="3"/>
        <v>1.5323530299827894E-2</v>
      </c>
      <c r="H16" s="165">
        <f>VLOOKUP($B16,'Data shares'!$C:$FB,66)</f>
        <v>13879950</v>
      </c>
      <c r="I16" s="165">
        <f>VLOOKUP($B16,'Data shares'!$C:$FB,67)</f>
        <v>10128300</v>
      </c>
      <c r="J16" s="81">
        <f t="shared" si="4"/>
        <v>37.041260626166292</v>
      </c>
      <c r="K16" s="5">
        <f>VLOOKUP($B16,'Data Vlaue (Cr)'!$C:$FB,99)</f>
        <v>3795</v>
      </c>
      <c r="L16" s="81">
        <f>VLOOKUP(B16,'OI(Value)'!$A$7:$C$209,3,0)</f>
        <v>57</v>
      </c>
      <c r="M16" s="33">
        <f t="shared" si="0"/>
        <v>1.5019762845849802</v>
      </c>
      <c r="N16" s="5">
        <f>VLOOKUP($B16,'Data Vlaue (Cr)'!$C:$FB,67)</f>
        <v>746</v>
      </c>
      <c r="O16" s="5">
        <f>VLOOKUP($B16,'Data Vlaue (Cr)'!$C:$FB,68)</f>
        <v>544</v>
      </c>
      <c r="P16" s="5">
        <f t="shared" si="1"/>
        <v>27.077747989276141</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2479.1</v>
      </c>
      <c r="D17" s="82">
        <f>VLOOKUP($B17,'Data shares'!$C:$FB,98)</f>
        <v>11926750</v>
      </c>
      <c r="E17" s="165">
        <f>VLOOKUP(B17,'Snapshot (Volume)'!$A$7:$G$168,7,0)</f>
        <v>11446750</v>
      </c>
      <c r="F17" s="165">
        <f t="shared" si="2"/>
        <v>480000</v>
      </c>
      <c r="G17" s="166">
        <f t="shared" si="3"/>
        <v>4.1933299844934151E-2</v>
      </c>
      <c r="H17" s="165">
        <f>VLOOKUP($B17,'Data shares'!$C:$FB,66)</f>
        <v>10394500</v>
      </c>
      <c r="I17" s="165">
        <f>VLOOKUP($B17,'Data shares'!$C:$FB,67)</f>
        <v>6391500</v>
      </c>
      <c r="J17" s="81">
        <f t="shared" si="4"/>
        <v>62.630055542517404</v>
      </c>
      <c r="K17" s="5">
        <f>VLOOKUP($B17,'Data Vlaue (Cr)'!$C:$FB,99)</f>
        <v>2954</v>
      </c>
      <c r="L17" s="81">
        <f>VLOOKUP(B17,'OI(Value)'!$A$7:$C$209,3,0)</f>
        <v>119</v>
      </c>
      <c r="M17" s="33">
        <f t="shared" si="0"/>
        <v>4.028436018957346</v>
      </c>
      <c r="N17" s="5">
        <f>VLOOKUP($B17,'Data Vlaue (Cr)'!$C:$FB,67)</f>
        <v>2575</v>
      </c>
      <c r="O17" s="5">
        <f>VLOOKUP($B17,'Data Vlaue (Cr)'!$C:$FB,68)</f>
        <v>1583</v>
      </c>
      <c r="P17" s="5">
        <f t="shared" si="1"/>
        <v>38.524271844660198</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1795.7</v>
      </c>
      <c r="D18" s="82">
        <f>VLOOKUP($B18,'Data shares'!$C:$FB,98)</f>
        <v>9653700</v>
      </c>
      <c r="E18" s="165">
        <f>VLOOKUP(B18,'Snapshot (Volume)'!$A$7:$G$168,7,0)</f>
        <v>9858100</v>
      </c>
      <c r="F18" s="165">
        <f t="shared" si="2"/>
        <v>-204400</v>
      </c>
      <c r="G18" s="166">
        <f t="shared" si="3"/>
        <v>-2.0734218561386068E-2</v>
      </c>
      <c r="H18" s="165">
        <f>VLOOKUP($B18,'Data shares'!$C:$FB,66)</f>
        <v>6489350</v>
      </c>
      <c r="I18" s="165">
        <f>VLOOKUP($B18,'Data shares'!$C:$FB,67)</f>
        <v>9178750</v>
      </c>
      <c r="J18" s="81">
        <f t="shared" si="4"/>
        <v>-29.300285986653957</v>
      </c>
      <c r="K18" s="5">
        <f>VLOOKUP($B18,'Data Vlaue (Cr)'!$C:$FB,99)</f>
        <v>1738</v>
      </c>
      <c r="L18" s="81">
        <f>VLOOKUP(B18,'OI(Value)'!$A$7:$C$209,3,0)</f>
        <v>-37</v>
      </c>
      <c r="M18" s="33">
        <f t="shared" si="0"/>
        <v>-2.1288837744533948</v>
      </c>
      <c r="N18" s="5">
        <f>VLOOKUP($B18,'Data Vlaue (Cr)'!$C:$FB,67)</f>
        <v>1169</v>
      </c>
      <c r="O18" s="5">
        <f>VLOOKUP($B18,'Data Vlaue (Cr)'!$C:$FB,68)</f>
        <v>1653</v>
      </c>
      <c r="P18" s="5">
        <f t="shared" si="1"/>
        <v>-41.402908468776737</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6918.5</v>
      </c>
      <c r="D19" s="82">
        <f>VLOOKUP($B19,'Data shares'!$C:$FB,98)</f>
        <v>6982125</v>
      </c>
      <c r="E19" s="165">
        <f>VLOOKUP(B19,'Snapshot (Volume)'!$A$7:$G$168,7,0)</f>
        <v>6962375</v>
      </c>
      <c r="F19" s="165">
        <f t="shared" si="2"/>
        <v>19750</v>
      </c>
      <c r="G19" s="166">
        <f t="shared" si="3"/>
        <v>2.8366757033339916E-3</v>
      </c>
      <c r="H19" s="165">
        <f>VLOOKUP($B19,'Data shares'!$C:$FB,66)</f>
        <v>4296250</v>
      </c>
      <c r="I19" s="165">
        <f>VLOOKUP($B19,'Data shares'!$C:$FB,67)</f>
        <v>5077125</v>
      </c>
      <c r="J19" s="81">
        <f t="shared" si="4"/>
        <v>-15.380259497254844</v>
      </c>
      <c r="K19" s="5">
        <f>VLOOKUP($B19,'Data Vlaue (Cr)'!$C:$FB,99)</f>
        <v>4841</v>
      </c>
      <c r="L19" s="81">
        <f>VLOOKUP(B19,'OI(Value)'!$A$7:$C$209,3,0)</f>
        <v>14</v>
      </c>
      <c r="M19" s="33">
        <f t="shared" si="0"/>
        <v>0.28919644701507952</v>
      </c>
      <c r="N19" s="5">
        <f>VLOOKUP($B19,'Data Vlaue (Cr)'!$C:$FB,67)</f>
        <v>2979</v>
      </c>
      <c r="O19" s="5">
        <f>VLOOKUP($B19,'Data Vlaue (Cr)'!$C:$FB,68)</f>
        <v>3520</v>
      </c>
      <c r="P19" s="5">
        <f t="shared" si="1"/>
        <v>-18.16045652903659</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171.57</v>
      </c>
      <c r="D20" s="82">
        <f>VLOOKUP($B20,'Data shares'!$C:$FB,98)</f>
        <v>317360000</v>
      </c>
      <c r="E20" s="165">
        <f>VLOOKUP(B20,'Snapshot (Volume)'!$A$7:$G$168,7,0)</f>
        <v>293850000</v>
      </c>
      <c r="F20" s="165">
        <f t="shared" si="2"/>
        <v>23510000</v>
      </c>
      <c r="G20" s="166">
        <f t="shared" si="3"/>
        <v>8.0006806193636204E-2</v>
      </c>
      <c r="H20" s="165">
        <f>VLOOKUP($B20,'Data shares'!$C:$FB,66)</f>
        <v>403205000</v>
      </c>
      <c r="I20" s="165">
        <f>VLOOKUP($B20,'Data shares'!$C:$FB,67)</f>
        <v>123790000</v>
      </c>
      <c r="J20" s="81">
        <f t="shared" si="4"/>
        <v>225.71693997899666</v>
      </c>
      <c r="K20" s="5">
        <f>VLOOKUP($B20,'Data Vlaue (Cr)'!$C:$FB,99)</f>
        <v>5399</v>
      </c>
      <c r="L20" s="81">
        <f>VLOOKUP(B20,'OI(Value)'!$A$7:$C$209,3,0)</f>
        <v>400</v>
      </c>
      <c r="M20" s="33">
        <f t="shared" si="0"/>
        <v>7.4087794035932575</v>
      </c>
      <c r="N20" s="5">
        <f>VLOOKUP($B20,'Data Vlaue (Cr)'!$C:$FB,67)</f>
        <v>6859</v>
      </c>
      <c r="O20" s="5">
        <f>VLOOKUP($B20,'Data Vlaue (Cr)'!$C:$FB,68)</f>
        <v>2106</v>
      </c>
      <c r="P20" s="5">
        <f t="shared" si="1"/>
        <v>69.295815716576755</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2759.7</v>
      </c>
      <c r="D21" s="82">
        <f>VLOOKUP($B21,'Data shares'!$C:$FB,98)</f>
        <v>25786250</v>
      </c>
      <c r="E21" s="165">
        <f>VLOOKUP(B21,'Snapshot (Volume)'!$A$7:$G$168,7,0)</f>
        <v>25628250</v>
      </c>
      <c r="F21" s="165">
        <f t="shared" si="2"/>
        <v>158000</v>
      </c>
      <c r="G21" s="166">
        <f t="shared" si="3"/>
        <v>6.1650717469979421E-3</v>
      </c>
      <c r="H21" s="165">
        <f>VLOOKUP($B21,'Data shares'!$C:$FB,66)</f>
        <v>10865250</v>
      </c>
      <c r="I21" s="165">
        <f>VLOOKUP($B21,'Data shares'!$C:$FB,67)</f>
        <v>10192750</v>
      </c>
      <c r="J21" s="81">
        <f t="shared" si="4"/>
        <v>6.597826886757745</v>
      </c>
      <c r="K21" s="5">
        <f>VLOOKUP($B21,'Data Vlaue (Cr)'!$C:$FB,99)</f>
        <v>7128</v>
      </c>
      <c r="L21" s="81">
        <f>VLOOKUP(B21,'OI(Value)'!$A$7:$C$209,3,0)</f>
        <v>44</v>
      </c>
      <c r="M21" s="33">
        <f t="shared" si="0"/>
        <v>0.61728395061728392</v>
      </c>
      <c r="N21" s="5">
        <f>VLOOKUP($B21,'Data Vlaue (Cr)'!$C:$FB,67)</f>
        <v>3003</v>
      </c>
      <c r="O21" s="5">
        <f>VLOOKUP($B21,'Data Vlaue (Cr)'!$C:$FB,68)</f>
        <v>2817</v>
      </c>
      <c r="P21" s="5">
        <f t="shared" si="1"/>
        <v>6.1938061938061937</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1407.9</v>
      </c>
      <c r="D22" s="82">
        <f>VLOOKUP($B22,'Data shares'!$C:$FB,98)</f>
        <v>13478875</v>
      </c>
      <c r="E22" s="165">
        <f>VLOOKUP(B22,'Snapshot (Volume)'!$A$7:$G$168,7,0)</f>
        <v>13217925</v>
      </c>
      <c r="F22" s="165">
        <f t="shared" si="2"/>
        <v>260950</v>
      </c>
      <c r="G22" s="166">
        <f t="shared" si="3"/>
        <v>1.9742130478119676E-2</v>
      </c>
      <c r="H22" s="165">
        <f>VLOOKUP($B22,'Data shares'!$C:$FB,66)</f>
        <v>5165875</v>
      </c>
      <c r="I22" s="165">
        <f>VLOOKUP($B22,'Data shares'!$C:$FB,67)</f>
        <v>8644925</v>
      </c>
      <c r="J22" s="81">
        <f t="shared" si="4"/>
        <v>-40.243842485620171</v>
      </c>
      <c r="K22" s="5">
        <f>VLOOKUP($B22,'Data Vlaue (Cr)'!$C:$FB,99)</f>
        <v>1906</v>
      </c>
      <c r="L22" s="81">
        <f>VLOOKUP(B22,'OI(Value)'!$A$7:$C$209,3,0)</f>
        <v>37</v>
      </c>
      <c r="M22" s="33">
        <f t="shared" si="0"/>
        <v>1.9412381951731374</v>
      </c>
      <c r="N22" s="5">
        <f>VLOOKUP($B22,'Data Vlaue (Cr)'!$C:$FB,67)</f>
        <v>730</v>
      </c>
      <c r="O22" s="5">
        <f>VLOOKUP($B22,'Data Vlaue (Cr)'!$C:$FB,68)</f>
        <v>1222</v>
      </c>
      <c r="P22" s="5">
        <f t="shared" si="1"/>
        <v>-67.397260273972606</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987.65</v>
      </c>
      <c r="D23" s="82">
        <f>VLOOKUP($B23,'Data shares'!$C:$FB,98)</f>
        <v>37884000</v>
      </c>
      <c r="E23" s="165">
        <f>VLOOKUP(B23,'Snapshot (Volume)'!$A$7:$G$168,7,0)</f>
        <v>37009000</v>
      </c>
      <c r="F23" s="165">
        <f t="shared" si="2"/>
        <v>875000</v>
      </c>
      <c r="G23" s="166">
        <f t="shared" si="3"/>
        <v>2.364289767353887E-2</v>
      </c>
      <c r="H23" s="165">
        <f>VLOOKUP($B23,'Data shares'!$C:$FB,66)</f>
        <v>15147000</v>
      </c>
      <c r="I23" s="165">
        <f>VLOOKUP($B23,'Data shares'!$C:$FB,67)</f>
        <v>33329000</v>
      </c>
      <c r="J23" s="81">
        <f>(H23-I23)/I23*100</f>
        <v>-54.553091901947248</v>
      </c>
      <c r="K23" s="5">
        <f>VLOOKUP($B23,'Data Vlaue (Cr)'!$C:$FB,99)</f>
        <v>3741</v>
      </c>
      <c r="L23" s="81">
        <f>VLOOKUP(B23,'OI(Value)'!$A$7:$C$209,3,0)</f>
        <v>86</v>
      </c>
      <c r="M23" s="33">
        <f t="shared" si="0"/>
        <v>2.2988505747126435</v>
      </c>
      <c r="N23" s="5">
        <f>VLOOKUP($B23,'Data Vlaue (Cr)'!$C:$FB,67)</f>
        <v>1496</v>
      </c>
      <c r="O23" s="5">
        <f>VLOOKUP($B23,'Data Vlaue (Cr)'!$C:$FB,68)</f>
        <v>3291</v>
      </c>
      <c r="P23" s="5">
        <f t="shared" si="1"/>
        <v>-119.98663101604279</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1209.3</v>
      </c>
      <c r="D24" s="80">
        <f>VLOOKUP($B24,'Data shares'!$C:$FB,98)</f>
        <v>31027700</v>
      </c>
      <c r="E24" s="165">
        <f>VLOOKUP(B24,'Snapshot (Volume)'!$A$7:$G$168,7,0)</f>
        <v>31045850</v>
      </c>
      <c r="F24" s="165">
        <f t="shared" ref="F24:F36" si="5">D24-E24</f>
        <v>-18150</v>
      </c>
      <c r="G24" s="166">
        <f t="shared" ref="G24:G36" si="6">F24/E24</f>
        <v>-5.8461920031179686E-4</v>
      </c>
      <c r="H24" s="165">
        <f>VLOOKUP($B24,'Data shares'!$C:$FB,66)</f>
        <v>12348050</v>
      </c>
      <c r="I24" s="165">
        <f>VLOOKUP($B24,'Data shares'!$C:$FB,67)</f>
        <v>5931750</v>
      </c>
      <c r="J24" s="81">
        <f t="shared" ref="J24:J36" si="7">(H24-I24)/I24*100</f>
        <v>108.16875289754289</v>
      </c>
      <c r="K24" s="81">
        <f>VLOOKUP($B24,'Data Vlaue (Cr)'!$C:$FB,99)</f>
        <v>3754</v>
      </c>
      <c r="L24" s="81">
        <f>VLOOKUP(B24,'OI(Value)'!$A$7:$C$209,3,0)</f>
        <v>-2</v>
      </c>
      <c r="M24" s="81">
        <f t="shared" si="0"/>
        <v>-5.3276505061267979E-2</v>
      </c>
      <c r="N24" s="81">
        <f>VLOOKUP($B24,'Data Vlaue (Cr)'!$C:$FB,67)</f>
        <v>1494</v>
      </c>
      <c r="O24" s="81">
        <f>VLOOKUP($B24,'Data Vlaue (Cr)'!$C:$FB,68)</f>
        <v>718</v>
      </c>
      <c r="P24" s="81">
        <f t="shared" ref="P24:P36" si="8">(N24-O24)/N24*100</f>
        <v>51.941097724230254</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1229.8</v>
      </c>
      <c r="D25" s="82">
        <f>VLOOKUP($B25,'Data shares'!$C:$FB,98)</f>
        <v>125592500</v>
      </c>
      <c r="E25" s="165">
        <f>VLOOKUP(B25,'Snapshot (Volume)'!$A$7:$G$168,7,0)</f>
        <v>129960000</v>
      </c>
      <c r="F25" s="165">
        <f t="shared" si="5"/>
        <v>-4367500</v>
      </c>
      <c r="G25" s="166">
        <f t="shared" si="6"/>
        <v>-3.3606494305940288E-2</v>
      </c>
      <c r="H25" s="165">
        <f>VLOOKUP($B25,'Data shares'!$C:$FB,66)</f>
        <v>59158125</v>
      </c>
      <c r="I25" s="165">
        <f>VLOOKUP($B25,'Data shares'!$C:$FB,67)</f>
        <v>99665625</v>
      </c>
      <c r="J25" s="81">
        <f t="shared" si="7"/>
        <v>-40.643401373342115</v>
      </c>
      <c r="K25" s="5">
        <f>VLOOKUP($B25,'Data Vlaue (Cr)'!$C:$FB,99)</f>
        <v>15486</v>
      </c>
      <c r="L25" s="81">
        <f>VLOOKUP(B25,'OI(Value)'!$A$7:$C$209,3,0)</f>
        <v>-539</v>
      </c>
      <c r="M25" s="33">
        <f t="shared" si="0"/>
        <v>-3.4805630892418962</v>
      </c>
      <c r="N25" s="5">
        <f>VLOOKUP($B25,'Data Vlaue (Cr)'!$C:$FB,67)</f>
        <v>7294</v>
      </c>
      <c r="O25" s="5">
        <f>VLOOKUP($B25,'Data Vlaue (Cr)'!$C:$FB,68)</f>
        <v>12289</v>
      </c>
      <c r="P25" s="5">
        <f t="shared" si="8"/>
        <v>-68.480943241020015</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8831</v>
      </c>
      <c r="D26" s="82">
        <f>VLOOKUP($B26,'Data shares'!$C:$FB,98)</f>
        <v>7018425</v>
      </c>
      <c r="E26" s="165">
        <f>VLOOKUP(B26,'Snapshot (Volume)'!$A$7:$G$168,7,0)</f>
        <v>6922500</v>
      </c>
      <c r="F26" s="165">
        <f t="shared" si="5"/>
        <v>95925</v>
      </c>
      <c r="G26" s="166">
        <f t="shared" si="6"/>
        <v>1.3856988082340194E-2</v>
      </c>
      <c r="H26" s="165">
        <f>VLOOKUP($B26,'Data shares'!$C:$FB,66)</f>
        <v>5766450</v>
      </c>
      <c r="I26" s="165">
        <f>VLOOKUP($B26,'Data shares'!$C:$FB,67)</f>
        <v>4221675</v>
      </c>
      <c r="J26" s="81">
        <f t="shared" si="7"/>
        <v>36.591518769208903</v>
      </c>
      <c r="K26" s="5">
        <f>VLOOKUP($B26,'Data Vlaue (Cr)'!$C:$FB,99)</f>
        <v>6219</v>
      </c>
      <c r="L26" s="81">
        <f>VLOOKUP(B26,'OI(Value)'!$A$7:$C$209,3,0)</f>
        <v>85</v>
      </c>
      <c r="M26" s="33">
        <f t="shared" si="0"/>
        <v>1.3667792249557806</v>
      </c>
      <c r="N26" s="5">
        <f>VLOOKUP($B26,'Data Vlaue (Cr)'!$C:$FB,67)</f>
        <v>5110</v>
      </c>
      <c r="O26" s="5">
        <f>VLOOKUP($B26,'Data Vlaue (Cr)'!$C:$FB,68)</f>
        <v>3741</v>
      </c>
      <c r="P26" s="5">
        <f t="shared" si="8"/>
        <v>26.790606653620351</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2026.3</v>
      </c>
      <c r="D27" s="82">
        <f>VLOOKUP($B27,'Data shares'!$C:$FB,98)</f>
        <v>27759500</v>
      </c>
      <c r="E27" s="165">
        <f>VLOOKUP(B27,'Snapshot (Volume)'!$A$7:$G$168,7,0)</f>
        <v>27803750</v>
      </c>
      <c r="F27" s="165">
        <f t="shared" si="5"/>
        <v>-44250</v>
      </c>
      <c r="G27" s="166">
        <f t="shared" si="6"/>
        <v>-1.5915119363395225E-3</v>
      </c>
      <c r="H27" s="165">
        <f>VLOOKUP($B27,'Data shares'!$C:$FB,66)</f>
        <v>7120000</v>
      </c>
      <c r="I27" s="165">
        <f>VLOOKUP($B27,'Data shares'!$C:$FB,67)</f>
        <v>8635750</v>
      </c>
      <c r="J27" s="81">
        <f t="shared" si="7"/>
        <v>-17.552036592073648</v>
      </c>
      <c r="K27" s="5">
        <f>VLOOKUP($B27,'Data Vlaue (Cr)'!$C:$FB,99)</f>
        <v>5633</v>
      </c>
      <c r="L27" s="81">
        <f>VLOOKUP(B27,'OI(Value)'!$A$7:$C$209,3,0)</f>
        <v>-9</v>
      </c>
      <c r="M27" s="33">
        <f t="shared" si="0"/>
        <v>-0.15977276761938575</v>
      </c>
      <c r="N27" s="5">
        <f>VLOOKUP($B27,'Data Vlaue (Cr)'!$C:$FB,67)</f>
        <v>1445</v>
      </c>
      <c r="O27" s="5">
        <f>VLOOKUP($B27,'Data Vlaue (Cr)'!$C:$FB,68)</f>
        <v>1752</v>
      </c>
      <c r="P27" s="5">
        <f t="shared" si="8"/>
        <v>-21.245674740484429</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BAJFINANCE</v>
      </c>
      <c r="C28" s="4">
        <f>VLOOKUP($B28,'Data shares'!$C:$FB,7)</f>
        <v>1000.3</v>
      </c>
      <c r="D28" s="82">
        <f>VLOOKUP($B28,'Data shares'!$C:$FB,98)</f>
        <v>139518000</v>
      </c>
      <c r="E28" s="165">
        <f>VLOOKUP(B28,'Snapshot (Volume)'!$A$7:$G$168,7,0)</f>
        <v>139824750</v>
      </c>
      <c r="F28" s="165">
        <f t="shared" si="5"/>
        <v>-306750</v>
      </c>
      <c r="G28" s="166">
        <f t="shared" si="6"/>
        <v>-2.1938176181255467E-3</v>
      </c>
      <c r="H28" s="165">
        <f>VLOOKUP($B28,'Data shares'!$C:$FB,66)</f>
        <v>44316750</v>
      </c>
      <c r="I28" s="165">
        <f>VLOOKUP($B28,'Data shares'!$C:$FB,67)</f>
        <v>47657250</v>
      </c>
      <c r="J28" s="81">
        <f t="shared" si="7"/>
        <v>-7.0094266874400013</v>
      </c>
      <c r="K28" s="5">
        <f>VLOOKUP($B28,'Data Vlaue (Cr)'!$C:$FB,99)</f>
        <v>13982</v>
      </c>
      <c r="L28" s="81">
        <f>VLOOKUP(B28,'OI(Value)'!$A$7:$C$209,3,0)</f>
        <v>-31</v>
      </c>
      <c r="M28" s="33">
        <f t="shared" si="0"/>
        <v>-0.22171363181233014</v>
      </c>
      <c r="N28" s="5">
        <f>VLOOKUP($B28,'Data Vlaue (Cr)'!$C:$FB,67)</f>
        <v>4441</v>
      </c>
      <c r="O28" s="5">
        <f>VLOOKUP($B28,'Data Vlaue (Cr)'!$C:$FB,68)</f>
        <v>4776</v>
      </c>
      <c r="P28" s="5">
        <f t="shared" si="8"/>
        <v>-7.5433460932222474</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Banking</v>
      </c>
      <c r="B29" s="79" t="str">
        <f>'Data shares'!C24</f>
        <v>BANDHANBNK</v>
      </c>
      <c r="C29" s="4">
        <f>VLOOKUP($B29,'Data shares'!$C:$FB,7)</f>
        <v>145.33000000000001</v>
      </c>
      <c r="D29" s="82">
        <f>VLOOKUP($B29,'Data shares'!$C:$FB,98)</f>
        <v>182221200</v>
      </c>
      <c r="E29" s="165">
        <f>VLOOKUP(B29,'Snapshot (Volume)'!$A$7:$G$168,7,0)</f>
        <v>183423600</v>
      </c>
      <c r="F29" s="165">
        <f t="shared" si="5"/>
        <v>-1202400</v>
      </c>
      <c r="G29" s="166">
        <f t="shared" si="6"/>
        <v>-6.5553178544091378E-3</v>
      </c>
      <c r="H29" s="165">
        <f>VLOOKUP($B29,'Data shares'!$C:$FB,66)</f>
        <v>2804400</v>
      </c>
      <c r="I29" s="165">
        <f>VLOOKUP($B29,'Data shares'!$C:$FB,67)</f>
        <v>2296800</v>
      </c>
      <c r="J29" s="81">
        <f t="shared" si="7"/>
        <v>22.100313479623821</v>
      </c>
      <c r="K29" s="5">
        <f>VLOOKUP($B29,'Data Vlaue (Cr)'!$C:$FB,99)</f>
        <v>2662</v>
      </c>
      <c r="L29" s="81">
        <f>VLOOKUP(B29,'OI(Value)'!$A$7:$C$209,3,0)</f>
        <v>-18</v>
      </c>
      <c r="M29" s="33">
        <f t="shared" si="0"/>
        <v>-0.67618332081141996</v>
      </c>
      <c r="N29" s="5">
        <f>VLOOKUP($B29,'Data Vlaue (Cr)'!$C:$FB,67)</f>
        <v>41</v>
      </c>
      <c r="O29" s="5">
        <f>VLOOKUP($B29,'Data Vlaue (Cr)'!$C:$FB,68)</f>
        <v>34</v>
      </c>
      <c r="P29" s="5">
        <f t="shared" si="8"/>
        <v>17.073170731707318</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BANKBARODA</v>
      </c>
      <c r="C30" s="4">
        <f>VLOOKUP($B30,'Data shares'!$C:$FB,7)</f>
        <v>288.10000000000002</v>
      </c>
      <c r="D30" s="82">
        <f>VLOOKUP($B30,'Data shares'!$C:$FB,98)</f>
        <v>174651750</v>
      </c>
      <c r="E30" s="165">
        <f>VLOOKUP(B30,'Snapshot (Volume)'!$A$7:$G$168,7,0)</f>
        <v>178343100</v>
      </c>
      <c r="F30" s="165">
        <f t="shared" si="5"/>
        <v>-3691350</v>
      </c>
      <c r="G30" s="166">
        <f t="shared" si="6"/>
        <v>-2.0698025323099129E-2</v>
      </c>
      <c r="H30" s="165">
        <f>VLOOKUP($B30,'Data shares'!$C:$FB,66)</f>
        <v>86498100</v>
      </c>
      <c r="I30" s="165">
        <f>VLOOKUP($B30,'Data shares'!$C:$FB,67)</f>
        <v>122265000</v>
      </c>
      <c r="J30" s="81">
        <f t="shared" si="7"/>
        <v>-29.253588516746408</v>
      </c>
      <c r="K30" s="5">
        <f>VLOOKUP($B30,'Data Vlaue (Cr)'!$C:$FB,99)</f>
        <v>5035</v>
      </c>
      <c r="L30" s="81">
        <f>VLOOKUP(B30,'OI(Value)'!$A$7:$C$209,3,0)</f>
        <v>-106</v>
      </c>
      <c r="M30" s="33">
        <f t="shared" si="0"/>
        <v>-2.1052631578947367</v>
      </c>
      <c r="N30" s="5">
        <f>VLOOKUP($B30,'Data Vlaue (Cr)'!$C:$FB,67)</f>
        <v>2494</v>
      </c>
      <c r="O30" s="5">
        <f>VLOOKUP($B30,'Data Vlaue (Cr)'!$C:$FB,68)</f>
        <v>3525</v>
      </c>
      <c r="P30" s="5">
        <f t="shared" si="8"/>
        <v>-41.339214113873297</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BANKINDIA</v>
      </c>
      <c r="C31" s="4">
        <f>VLOOKUP($B31,'Data shares'!$C:$FB,7)</f>
        <v>142.30000000000001</v>
      </c>
      <c r="D31" s="82">
        <f>VLOOKUP($B31,'Data shares'!$C:$FB,98)</f>
        <v>97318000</v>
      </c>
      <c r="E31" s="165">
        <f>VLOOKUP(B31,'Snapshot (Volume)'!$A$7:$G$168,7,0)</f>
        <v>97723600</v>
      </c>
      <c r="F31" s="165">
        <f t="shared" si="5"/>
        <v>-405600</v>
      </c>
      <c r="G31" s="166">
        <f t="shared" si="6"/>
        <v>-4.150481562283829E-3</v>
      </c>
      <c r="H31" s="165">
        <f>VLOOKUP($B31,'Data shares'!$C:$FB,66)</f>
        <v>32006000</v>
      </c>
      <c r="I31" s="165">
        <f>VLOOKUP($B31,'Data shares'!$C:$FB,67)</f>
        <v>56893200</v>
      </c>
      <c r="J31" s="81">
        <f t="shared" si="7"/>
        <v>-43.743716296499407</v>
      </c>
      <c r="K31" s="5">
        <f>VLOOKUP($B31,'Data Vlaue (Cr)'!$C:$FB,99)</f>
        <v>1386</v>
      </c>
      <c r="L31" s="81">
        <f>VLOOKUP(B31,'OI(Value)'!$A$7:$C$209,3,0)</f>
        <v>-6</v>
      </c>
      <c r="M31" s="33">
        <f t="shared" si="0"/>
        <v>-0.4329004329004329</v>
      </c>
      <c r="N31" s="5">
        <f>VLOOKUP($B31,'Data Vlaue (Cr)'!$C:$FB,67)</f>
        <v>456</v>
      </c>
      <c r="O31" s="5">
        <f>VLOOKUP($B31,'Data Vlaue (Cr)'!$C:$FB,68)</f>
        <v>810</v>
      </c>
      <c r="P31" s="5">
        <f t="shared" si="8"/>
        <v>-77.631578947368425</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Index</v>
      </c>
      <c r="B32" s="79" t="str">
        <f>'Data shares'!C27</f>
        <v>BANKNIFTY</v>
      </c>
      <c r="C32" s="4">
        <f>VLOOKUP($B32,'Data shares'!$C:$FB,7)</f>
        <v>58912.85</v>
      </c>
      <c r="D32" s="82">
        <f>VLOOKUP($B32,'Data shares'!$C:$FB,98)</f>
        <v>43049230</v>
      </c>
      <c r="E32" s="165">
        <f>VLOOKUP(B32,'Snapshot (Volume)'!$A$7:$G$168,7,0)</f>
        <v>41846525</v>
      </c>
      <c r="F32" s="165">
        <f t="shared" si="5"/>
        <v>1202705</v>
      </c>
      <c r="G32" s="166">
        <f t="shared" si="6"/>
        <v>2.8740857215742526E-2</v>
      </c>
      <c r="H32" s="165">
        <f>VLOOKUP($B32,'Data shares'!$C:$FB,66)</f>
        <v>118358835</v>
      </c>
      <c r="I32" s="165">
        <f>VLOOKUP($B32,'Data shares'!$C:$FB,67)</f>
        <v>98172585</v>
      </c>
      <c r="J32" s="81">
        <f t="shared" si="7"/>
        <v>20.562003129488744</v>
      </c>
      <c r="K32" s="5">
        <f>VLOOKUP($B32,'Data Vlaue (Cr)'!$C:$FB,99)</f>
        <v>254310</v>
      </c>
      <c r="L32" s="81">
        <f>VLOOKUP(B32,'OI(Value)'!$A$7:$C$209,3,0)</f>
        <v>7105</v>
      </c>
      <c r="M32" s="33">
        <f t="shared" si="0"/>
        <v>2.7938342967244703</v>
      </c>
      <c r="N32" s="5">
        <f>VLOOKUP($B32,'Data Vlaue (Cr)'!$C:$FB,67)</f>
        <v>699195</v>
      </c>
      <c r="O32" s="5">
        <f>VLOOKUP($B32,'Data Vlaue (Cr)'!$C:$FB,68)</f>
        <v>579947</v>
      </c>
      <c r="P32" s="5">
        <f t="shared" si="8"/>
        <v>17.055041869578584</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Capital_Goods</v>
      </c>
      <c r="B33" s="79" t="str">
        <f>'Data shares'!C28</f>
        <v>BDL</v>
      </c>
      <c r="C33" s="4">
        <f>VLOOKUP($B33,'Data shares'!$C:$FB,7)</f>
        <v>1342.5</v>
      </c>
      <c r="D33" s="82">
        <f>VLOOKUP($B33,'Data shares'!$C:$FB,98)</f>
        <v>15167125</v>
      </c>
      <c r="E33" s="165">
        <f>VLOOKUP(B33,'Snapshot (Volume)'!$A$7:$G$168,7,0)</f>
        <v>15250650</v>
      </c>
      <c r="F33" s="165">
        <f t="shared" si="5"/>
        <v>-83525</v>
      </c>
      <c r="G33" s="166">
        <f t="shared" si="6"/>
        <v>-5.4768157422798369E-3</v>
      </c>
      <c r="H33" s="165">
        <f>VLOOKUP($B33,'Data shares'!$C:$FB,66)</f>
        <v>17460300</v>
      </c>
      <c r="I33" s="165">
        <f>VLOOKUP($B33,'Data shares'!$C:$FB,67)</f>
        <v>17512625</v>
      </c>
      <c r="J33" s="81">
        <f t="shared" si="7"/>
        <v>-0.29878444836225293</v>
      </c>
      <c r="K33" s="5">
        <f>VLOOKUP($B33,'Data Vlaue (Cr)'!$C:$FB,99)</f>
        <v>2038</v>
      </c>
      <c r="L33" s="81">
        <f>VLOOKUP(B33,'OI(Value)'!$A$7:$C$209,3,0)</f>
        <v>-11</v>
      </c>
      <c r="M33" s="33">
        <f t="shared" si="0"/>
        <v>-0.53974484789008836</v>
      </c>
      <c r="N33" s="5">
        <f>VLOOKUP($B33,'Data Vlaue (Cr)'!$C:$FB,67)</f>
        <v>2346</v>
      </c>
      <c r="O33" s="5">
        <f>VLOOKUP($B33,'Data Vlaue (Cr)'!$C:$FB,68)</f>
        <v>2353</v>
      </c>
      <c r="P33" s="5">
        <f t="shared" si="8"/>
        <v>-0.29838022165387895</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BEL</v>
      </c>
      <c r="C34" s="4">
        <f>VLOOKUP($B34,'Data shares'!$C:$FB,7)</f>
        <v>383.45</v>
      </c>
      <c r="D34" s="82">
        <f>VLOOKUP($B34,'Data shares'!$C:$FB,98)</f>
        <v>258345375</v>
      </c>
      <c r="E34" s="165">
        <f>VLOOKUP(B34,'Snapshot (Volume)'!$A$7:$G$168,7,0)</f>
        <v>258319725</v>
      </c>
      <c r="F34" s="165">
        <f t="shared" si="5"/>
        <v>25650</v>
      </c>
      <c r="G34" s="166">
        <f t="shared" si="6"/>
        <v>9.9295553214141899E-5</v>
      </c>
      <c r="H34" s="165">
        <f>VLOOKUP($B34,'Data shares'!$C:$FB,66)</f>
        <v>148013325</v>
      </c>
      <c r="I34" s="165">
        <f>VLOOKUP($B34,'Data shares'!$C:$FB,67)</f>
        <v>105411525</v>
      </c>
      <c r="J34" s="81">
        <f t="shared" si="7"/>
        <v>40.41474592080894</v>
      </c>
      <c r="K34" s="5">
        <f>VLOOKUP($B34,'Data Vlaue (Cr)'!$C:$FB,99)</f>
        <v>9930</v>
      </c>
      <c r="L34" s="81">
        <f>VLOOKUP(B34,'OI(Value)'!$A$7:$C$209,3,0)</f>
        <v>1</v>
      </c>
      <c r="M34" s="33">
        <f t="shared" si="0"/>
        <v>1.0070493454179255E-2</v>
      </c>
      <c r="N34" s="5">
        <f>VLOOKUP($B34,'Data Vlaue (Cr)'!$C:$FB,67)</f>
        <v>5689</v>
      </c>
      <c r="O34" s="5">
        <f>VLOOKUP($B34,'Data Vlaue (Cr)'!$C:$FB,68)</f>
        <v>4051</v>
      </c>
      <c r="P34" s="5">
        <f t="shared" si="8"/>
        <v>28.792406398312529</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Automobile</v>
      </c>
      <c r="B35" s="79" t="str">
        <f>'Data shares'!C30</f>
        <v>BHARATFORG</v>
      </c>
      <c r="C35" s="4">
        <f>VLOOKUP($B35,'Data shares'!$C:$FB,7)</f>
        <v>1407.5</v>
      </c>
      <c r="D35" s="82">
        <f>VLOOKUP($B35,'Data shares'!$C:$FB,98)</f>
        <v>13833500</v>
      </c>
      <c r="E35" s="165">
        <f>VLOOKUP(B35,'Snapshot (Volume)'!$A$7:$G$168,7,0)</f>
        <v>13774000</v>
      </c>
      <c r="F35" s="165">
        <f t="shared" si="5"/>
        <v>59500</v>
      </c>
      <c r="G35" s="166">
        <f t="shared" si="6"/>
        <v>4.3197328299695078E-3</v>
      </c>
      <c r="H35" s="165">
        <f>VLOOKUP($B35,'Data shares'!$C:$FB,66)</f>
        <v>7153000</v>
      </c>
      <c r="I35" s="165">
        <f>VLOOKUP($B35,'Data shares'!$C:$FB,67)</f>
        <v>6660000</v>
      </c>
      <c r="J35" s="81">
        <f t="shared" si="7"/>
        <v>7.4024024024024024</v>
      </c>
      <c r="K35" s="5">
        <f>VLOOKUP($B35,'Data Vlaue (Cr)'!$C:$FB,99)</f>
        <v>1950</v>
      </c>
      <c r="L35" s="81">
        <f>VLOOKUP(B35,'OI(Value)'!$A$7:$C$209,3,0)</f>
        <v>8</v>
      </c>
      <c r="M35" s="33">
        <f t="shared" si="0"/>
        <v>0.41025641025641024</v>
      </c>
      <c r="N35" s="5">
        <f>VLOOKUP($B35,'Data Vlaue (Cr)'!$C:$FB,67)</f>
        <v>1008</v>
      </c>
      <c r="O35" s="5">
        <f>VLOOKUP($B35,'Data Vlaue (Cr)'!$C:$FB,68)</f>
        <v>939</v>
      </c>
      <c r="P35" s="5">
        <f t="shared" si="8"/>
        <v>6.8452380952380958</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Telecom</v>
      </c>
      <c r="B36" s="79" t="str">
        <f>'Data shares'!C31</f>
        <v>BHARTIARTL</v>
      </c>
      <c r="C36" s="4">
        <f>VLOOKUP($B36,'Data shares'!$C:$FB,7)</f>
        <v>2092</v>
      </c>
      <c r="D36" s="82">
        <f>VLOOKUP($B36,'Data shares'!$C:$FB,98)</f>
        <v>75744450</v>
      </c>
      <c r="E36" s="165">
        <f>VLOOKUP(B36,'Snapshot (Volume)'!$A$7:$G$168,7,0)</f>
        <v>75420500</v>
      </c>
      <c r="F36" s="165">
        <f t="shared" si="5"/>
        <v>323950</v>
      </c>
      <c r="G36" s="166">
        <f t="shared" si="6"/>
        <v>4.2952512910945963E-3</v>
      </c>
      <c r="H36" s="165">
        <f>VLOOKUP($B36,'Data shares'!$C:$FB,66)</f>
        <v>31035550</v>
      </c>
      <c r="I36" s="165">
        <f>VLOOKUP($B36,'Data shares'!$C:$FB,67)</f>
        <v>37221950</v>
      </c>
      <c r="J36" s="81">
        <f t="shared" si="7"/>
        <v>-16.620300655930169</v>
      </c>
      <c r="K36" s="5">
        <f>VLOOKUP($B36,'Data Vlaue (Cr)'!$C:$FB,99)</f>
        <v>15870</v>
      </c>
      <c r="L36" s="81">
        <f>VLOOKUP(B36,'OI(Value)'!$A$7:$C$209,3,0)</f>
        <v>68</v>
      </c>
      <c r="M36" s="33">
        <f t="shared" si="0"/>
        <v>0.42848141146817897</v>
      </c>
      <c r="N36" s="5">
        <f>VLOOKUP($B36,'Data Vlaue (Cr)'!$C:$FB,67)</f>
        <v>6503</v>
      </c>
      <c r="O36" s="5">
        <f>VLOOKUP($B36,'Data Vlaue (Cr)'!$C:$FB,68)</f>
        <v>7799</v>
      </c>
      <c r="P36" s="5">
        <f t="shared" si="8"/>
        <v>-19.929263416884517</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Capital_Goods</v>
      </c>
      <c r="B37" s="79" t="str">
        <f>'Data shares'!C32</f>
        <v>BHEL</v>
      </c>
      <c r="C37" s="4">
        <f>VLOOKUP($B37,'Data shares'!$C:$FB,7)</f>
        <v>275.05</v>
      </c>
      <c r="D37" s="82">
        <f>VLOOKUP($B37,'Data shares'!$C:$FB,98)</f>
        <v>143330250</v>
      </c>
      <c r="E37" s="165">
        <f>VLOOKUP(B37,'Snapshot (Volume)'!$A$7:$G$168,7,0)</f>
        <v>140697375</v>
      </c>
      <c r="F37" s="165">
        <f t="shared" ref="F37:F43" si="9">D37-E37</f>
        <v>2632875</v>
      </c>
      <c r="G37" s="166">
        <f t="shared" ref="G37:G43" si="10">F37/E37</f>
        <v>1.8713035690964382E-2</v>
      </c>
      <c r="H37" s="165">
        <f>VLOOKUP($B37,'Data shares'!$C:$FB,66)</f>
        <v>98991375</v>
      </c>
      <c r="I37" s="165">
        <f>VLOOKUP($B37,'Data shares'!$C:$FB,67)</f>
        <v>60705750</v>
      </c>
      <c r="J37" s="81">
        <f t="shared" ref="J37:J43" si="11">(H37-I37)/I37*100</f>
        <v>63.067543025166486</v>
      </c>
      <c r="K37" s="5">
        <f>VLOOKUP($B37,'Data Vlaue (Cr)'!$C:$FB,99)</f>
        <v>3949</v>
      </c>
      <c r="L37" s="81">
        <f>VLOOKUP(B37,'OI(Value)'!$A$7:$C$209,3,0)</f>
        <v>73</v>
      </c>
      <c r="M37" s="33">
        <f t="shared" ref="M37:M65" si="12">L37/K37*100</f>
        <v>1.8485692580400102</v>
      </c>
      <c r="N37" s="5">
        <f>VLOOKUP($B37,'Data Vlaue (Cr)'!$C:$FB,67)</f>
        <v>2727</v>
      </c>
      <c r="O37" s="5">
        <f>VLOOKUP($B37,'Data Vlaue (Cr)'!$C:$FB,68)</f>
        <v>1672</v>
      </c>
      <c r="P37" s="5">
        <f t="shared" ref="P37:P43" si="13">(N37-O37)/N37*100</f>
        <v>38.687202053538691</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Pharma</v>
      </c>
      <c r="B38" s="79" t="str">
        <f>'Data shares'!C33</f>
        <v>BIOCON</v>
      </c>
      <c r="C38" s="4">
        <f>VLOOKUP($B38,'Data shares'!$C:$FB,7)</f>
        <v>392.25</v>
      </c>
      <c r="D38" s="82">
        <f>VLOOKUP($B38,'Data shares'!$C:$FB,98)</f>
        <v>95047500</v>
      </c>
      <c r="E38" s="165">
        <f>VLOOKUP(B38,'Snapshot (Volume)'!$A$7:$G$168,7,0)</f>
        <v>98232500</v>
      </c>
      <c r="F38" s="165">
        <f t="shared" si="9"/>
        <v>-3185000</v>
      </c>
      <c r="G38" s="166">
        <f t="shared" si="10"/>
        <v>-3.242307790191637E-2</v>
      </c>
      <c r="H38" s="165">
        <f>VLOOKUP($B38,'Data shares'!$C:$FB,66)</f>
        <v>67512500</v>
      </c>
      <c r="I38" s="165">
        <f>VLOOKUP($B38,'Data shares'!$C:$FB,67)</f>
        <v>28362500</v>
      </c>
      <c r="J38" s="81">
        <f t="shared" si="11"/>
        <v>138.0343763772587</v>
      </c>
      <c r="K38" s="5">
        <f>VLOOKUP($B38,'Data Vlaue (Cr)'!$C:$FB,99)</f>
        <v>3741</v>
      </c>
      <c r="L38" s="81">
        <f>VLOOKUP(B38,'OI(Value)'!$A$7:$C$209,3,0)</f>
        <v>-125</v>
      </c>
      <c r="M38" s="33">
        <f t="shared" si="12"/>
        <v>-3.3413525795241914</v>
      </c>
      <c r="N38" s="5">
        <f>VLOOKUP($B38,'Data Vlaue (Cr)'!$C:$FB,67)</f>
        <v>2657</v>
      </c>
      <c r="O38" s="5">
        <f>VLOOKUP($B38,'Data Vlaue (Cr)'!$C:$FB,68)</f>
        <v>1116</v>
      </c>
      <c r="P38" s="5">
        <f t="shared" si="13"/>
        <v>57.997741814076022</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BLUESTARCO</v>
      </c>
      <c r="C39" s="4">
        <f>VLOOKUP($B39,'Data shares'!$C:$FB,7)</f>
        <v>1854.6</v>
      </c>
      <c r="D39" s="82">
        <f>VLOOKUP($B39,'Data shares'!$C:$FB,98)</f>
        <v>3662425</v>
      </c>
      <c r="E39" s="165">
        <f>VLOOKUP(B39,'Snapshot (Volume)'!$A$7:$G$168,7,0)</f>
        <v>3654625</v>
      </c>
      <c r="F39" s="165">
        <f t="shared" si="9"/>
        <v>7800</v>
      </c>
      <c r="G39" s="166">
        <f t="shared" si="10"/>
        <v>2.1342819030680301E-3</v>
      </c>
      <c r="H39" s="165">
        <f>VLOOKUP($B39,'Data shares'!$C:$FB,66)</f>
        <v>3389100</v>
      </c>
      <c r="I39" s="165">
        <f>VLOOKUP($B39,'Data shares'!$C:$FB,67)</f>
        <v>1531075</v>
      </c>
      <c r="J39" s="81">
        <f t="shared" si="11"/>
        <v>121.35427722351942</v>
      </c>
      <c r="K39" s="5">
        <f>VLOOKUP($B39,'Data Vlaue (Cr)'!$C:$FB,99)</f>
        <v>679</v>
      </c>
      <c r="L39" s="81">
        <f>VLOOKUP(B39,'OI(Value)'!$A$7:$C$209,3,0)</f>
        <v>1</v>
      </c>
      <c r="M39" s="33">
        <f t="shared" si="12"/>
        <v>0.14727540500736377</v>
      </c>
      <c r="N39" s="5">
        <f>VLOOKUP($B39,'Data Vlaue (Cr)'!$C:$FB,67)</f>
        <v>629</v>
      </c>
      <c r="O39" s="5">
        <f>VLOOKUP($B39,'Data Vlaue (Cr)'!$C:$FB,68)</f>
        <v>284</v>
      </c>
      <c r="P39" s="5">
        <f t="shared" si="13"/>
        <v>54.848966613672502</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Automobile</v>
      </c>
      <c r="B40" s="79" t="str">
        <f>'Data shares'!C35</f>
        <v>BOSCHLTD</v>
      </c>
      <c r="C40" s="4">
        <f>VLOOKUP($B40,'Data shares'!$C:$FB,7)</f>
        <v>35720</v>
      </c>
      <c r="D40" s="82">
        <f>VLOOKUP($B40,'Data shares'!$C:$FB,98)</f>
        <v>350775</v>
      </c>
      <c r="E40" s="165">
        <f>VLOOKUP(B40,'Snapshot (Volume)'!$A$7:$G$168,7,0)</f>
        <v>343525</v>
      </c>
      <c r="F40" s="165">
        <f t="shared" si="9"/>
        <v>7250</v>
      </c>
      <c r="G40" s="166">
        <f t="shared" si="10"/>
        <v>2.110472309147806E-2</v>
      </c>
      <c r="H40" s="165">
        <f>VLOOKUP($B40,'Data shares'!$C:$FB,66)</f>
        <v>181200</v>
      </c>
      <c r="I40" s="165">
        <f>VLOOKUP($B40,'Data shares'!$C:$FB,67)</f>
        <v>182375</v>
      </c>
      <c r="J40" s="81">
        <f t="shared" si="11"/>
        <v>-0.64427690198766285</v>
      </c>
      <c r="K40" s="5">
        <f>VLOOKUP($B40,'Data Vlaue (Cr)'!$C:$FB,99)</f>
        <v>1254</v>
      </c>
      <c r="L40" s="81">
        <f>VLOOKUP(B40,'OI(Value)'!$A$7:$C$209,3,0)</f>
        <v>26</v>
      </c>
      <c r="M40" s="33">
        <f t="shared" si="12"/>
        <v>2.073365231259968</v>
      </c>
      <c r="N40" s="5">
        <f>VLOOKUP($B40,'Data Vlaue (Cr)'!$C:$FB,67)</f>
        <v>648</v>
      </c>
      <c r="O40" s="5">
        <f>VLOOKUP($B40,'Data Vlaue (Cr)'!$C:$FB,68)</f>
        <v>652</v>
      </c>
      <c r="P40" s="5">
        <f t="shared" si="13"/>
        <v>-0.61728395061728392</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Oil_Gas</v>
      </c>
      <c r="B41" s="79" t="str">
        <f>'Data shares'!C36</f>
        <v>BPCL</v>
      </c>
      <c r="C41" s="4">
        <f>VLOOKUP($B41,'Data shares'!$C:$FB,7)</f>
        <v>363.35</v>
      </c>
      <c r="D41" s="82">
        <f>VLOOKUP($B41,'Data shares'!$C:$FB,98)</f>
        <v>60103200</v>
      </c>
      <c r="E41" s="165">
        <f>VLOOKUP(B41,'Snapshot (Volume)'!$A$7:$G$168,7,0)</f>
        <v>59747700</v>
      </c>
      <c r="F41" s="165">
        <f t="shared" si="9"/>
        <v>355500</v>
      </c>
      <c r="G41" s="166">
        <f t="shared" si="10"/>
        <v>5.9500198333994449E-3</v>
      </c>
      <c r="H41" s="165">
        <f>VLOOKUP($B41,'Data shares'!$C:$FB,66)</f>
        <v>33543400</v>
      </c>
      <c r="I41" s="165">
        <f>VLOOKUP($B41,'Data shares'!$C:$FB,67)</f>
        <v>67782000</v>
      </c>
      <c r="J41" s="81">
        <f t="shared" si="11"/>
        <v>-50.512820512820511</v>
      </c>
      <c r="K41" s="5">
        <f>VLOOKUP($B41,'Data Vlaue (Cr)'!$C:$FB,99)</f>
        <v>2192</v>
      </c>
      <c r="L41" s="81">
        <f>VLOOKUP(B41,'OI(Value)'!$A$7:$C$209,3,0)</f>
        <v>13</v>
      </c>
      <c r="M41" s="33">
        <f t="shared" si="12"/>
        <v>0.59306569343065685</v>
      </c>
      <c r="N41" s="5">
        <f>VLOOKUP($B41,'Data Vlaue (Cr)'!$C:$FB,67)</f>
        <v>1223</v>
      </c>
      <c r="O41" s="5">
        <f>VLOOKUP($B41,'Data Vlaue (Cr)'!$C:$FB,68)</f>
        <v>2472</v>
      </c>
      <c r="P41" s="5">
        <f t="shared" si="13"/>
        <v>-102.12591986917417</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FMCG</v>
      </c>
      <c r="B42" s="79" t="str">
        <f>'Data shares'!C37</f>
        <v>BRITANNIA</v>
      </c>
      <c r="C42" s="4">
        <f>VLOOKUP($B42,'Data shares'!$C:$FB,7)</f>
        <v>6040.5</v>
      </c>
      <c r="D42" s="82">
        <f>VLOOKUP($B42,'Data shares'!$C:$FB,98)</f>
        <v>4888750</v>
      </c>
      <c r="E42" s="165">
        <f>VLOOKUP(B42,'Snapshot (Volume)'!$A$7:$G$168,7,0)</f>
        <v>4771125</v>
      </c>
      <c r="F42" s="165">
        <f t="shared" si="9"/>
        <v>117625</v>
      </c>
      <c r="G42" s="166">
        <f t="shared" si="10"/>
        <v>2.4653514632293223E-2</v>
      </c>
      <c r="H42" s="165">
        <f>VLOOKUP($B42,'Data shares'!$C:$FB,66)</f>
        <v>3967875</v>
      </c>
      <c r="I42" s="165">
        <f>VLOOKUP($B42,'Data shares'!$C:$FB,67)</f>
        <v>2917375</v>
      </c>
      <c r="J42" s="81">
        <f t="shared" si="11"/>
        <v>36.008397960495309</v>
      </c>
      <c r="K42" s="5">
        <f>VLOOKUP($B42,'Data Vlaue (Cr)'!$C:$FB,99)</f>
        <v>2957</v>
      </c>
      <c r="L42" s="81">
        <f>VLOOKUP(B42,'OI(Value)'!$A$7:$C$209,3,0)</f>
        <v>71</v>
      </c>
      <c r="M42" s="33">
        <f t="shared" si="12"/>
        <v>2.4010821778829894</v>
      </c>
      <c r="N42" s="5">
        <f>VLOOKUP($B42,'Data Vlaue (Cr)'!$C:$FB,67)</f>
        <v>2400</v>
      </c>
      <c r="O42" s="5">
        <f>VLOOKUP($B42,'Data Vlaue (Cr)'!$C:$FB,68)</f>
        <v>1765</v>
      </c>
      <c r="P42" s="5">
        <f t="shared" si="13"/>
        <v>26.458333333333332</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Finance</v>
      </c>
      <c r="B43" s="79" t="str">
        <f>'Data shares'!C38</f>
        <v>BSE</v>
      </c>
      <c r="C43" s="4">
        <f>VLOOKUP($B43,'Data shares'!$C:$FB,7)</f>
        <v>2682.9</v>
      </c>
      <c r="D43" s="82">
        <f>VLOOKUP($B43,'Data shares'!$C:$FB,98)</f>
        <v>31984500</v>
      </c>
      <c r="E43" s="165">
        <f>VLOOKUP(B43,'Snapshot (Volume)'!$A$7:$G$168,7,0)</f>
        <v>34198500</v>
      </c>
      <c r="F43" s="165">
        <f t="shared" si="9"/>
        <v>-2214000</v>
      </c>
      <c r="G43" s="166">
        <f t="shared" si="10"/>
        <v>-6.4739681564980917E-2</v>
      </c>
      <c r="H43" s="165">
        <f>VLOOKUP($B43,'Data shares'!$C:$FB,66)</f>
        <v>50619000</v>
      </c>
      <c r="I43" s="165">
        <f>VLOOKUP($B43,'Data shares'!$C:$FB,67)</f>
        <v>42535500</v>
      </c>
      <c r="J43" s="81">
        <f t="shared" si="11"/>
        <v>19.004125965370104</v>
      </c>
      <c r="K43" s="5">
        <f>VLOOKUP($B43,'Data Vlaue (Cr)'!$C:$FB,99)</f>
        <v>8600</v>
      </c>
      <c r="L43" s="81">
        <f>VLOOKUP(B43,'OI(Value)'!$A$7:$C$209,3,0)</f>
        <v>-595</v>
      </c>
      <c r="M43" s="33">
        <f t="shared" si="12"/>
        <v>-6.9186046511627906</v>
      </c>
      <c r="N43" s="5">
        <f>VLOOKUP($B43,'Data Vlaue (Cr)'!$C:$FB,67)</f>
        <v>13611</v>
      </c>
      <c r="O43" s="5">
        <f>VLOOKUP($B43,'Data Vlaue (Cr)'!$C:$FB,68)</f>
        <v>11437</v>
      </c>
      <c r="P43" s="5">
        <f t="shared" si="13"/>
        <v>15.972375284696202</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CAMS</v>
      </c>
      <c r="C44" s="79">
        <f>VLOOKUP($B44,'Data shares'!$C:$FB,7)</f>
        <v>752.3</v>
      </c>
      <c r="D44" s="165">
        <f>VLOOKUP($B44,'Data shares'!$C:$FB,98)</f>
        <v>19356750</v>
      </c>
      <c r="E44" s="165">
        <f>VLOOKUP(B44,'Snapshot (Volume)'!$A$7:$G$168,7,0)</f>
        <v>19098000</v>
      </c>
      <c r="F44" s="165">
        <f t="shared" ref="F44:F49" si="14">D44-E44</f>
        <v>258750</v>
      </c>
      <c r="G44" s="166">
        <f t="shared" ref="G44:G49" si="15">F44/E44</f>
        <v>1.3548539114043355E-2</v>
      </c>
      <c r="H44" s="165">
        <f>VLOOKUP($B44,'Data shares'!$C:$FB,66)</f>
        <v>20459250</v>
      </c>
      <c r="I44" s="165">
        <f>VLOOKUP($B44,'Data shares'!$C:$FB,67)</f>
        <v>8454000</v>
      </c>
      <c r="J44" s="81">
        <f t="shared" ref="J44:J49" si="16">(H44-I44)/I44*100</f>
        <v>142.00674237047554</v>
      </c>
      <c r="K44" s="81">
        <f>VLOOKUP($B44,'Data Vlaue (Cr)'!$C:$FB,99)</f>
        <v>1459</v>
      </c>
      <c r="L44" s="81">
        <f>VLOOKUP(B44,'OI(Value)'!$A$7:$C$209,3,0)</f>
        <v>20</v>
      </c>
      <c r="M44" s="81">
        <f t="shared" si="12"/>
        <v>1.3708019191226868</v>
      </c>
      <c r="N44" s="81">
        <f>VLOOKUP($B44,'Data Vlaue (Cr)'!$C:$FB,67)</f>
        <v>1543</v>
      </c>
      <c r="O44" s="81">
        <f>VLOOKUP($B44,'Data Vlaue (Cr)'!$C:$FB,68)</f>
        <v>637</v>
      </c>
      <c r="P44" s="81">
        <f t="shared" ref="P44:P49" si="17">(N44-O44)/N44*100</f>
        <v>58.716785482825664</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Banking</v>
      </c>
      <c r="B45" s="79" t="str">
        <f>'Data shares'!C40</f>
        <v>CANBK</v>
      </c>
      <c r="C45" s="4">
        <f>VLOOKUP($B45,'Data shares'!$C:$FB,7)</f>
        <v>149.83000000000001</v>
      </c>
      <c r="D45" s="82">
        <f>VLOOKUP($B45,'Data shares'!$C:$FB,98)</f>
        <v>347287500</v>
      </c>
      <c r="E45" s="165">
        <f>VLOOKUP(B45,'Snapshot (Volume)'!$A$7:$G$168,7,0)</f>
        <v>346801500</v>
      </c>
      <c r="F45" s="165">
        <f t="shared" si="14"/>
        <v>486000</v>
      </c>
      <c r="G45" s="166">
        <f t="shared" si="15"/>
        <v>1.4013780217213593E-3</v>
      </c>
      <c r="H45" s="165">
        <f>VLOOKUP($B45,'Data shares'!$C:$FB,66)</f>
        <v>261366750</v>
      </c>
      <c r="I45" s="165">
        <f>VLOOKUP($B45,'Data shares'!$C:$FB,67)</f>
        <v>394530750</v>
      </c>
      <c r="J45" s="81">
        <f t="shared" si="16"/>
        <v>-33.752502181388905</v>
      </c>
      <c r="K45" s="5">
        <f>VLOOKUP($B45,'Data Vlaue (Cr)'!$C:$FB,99)</f>
        <v>5199</v>
      </c>
      <c r="L45" s="81">
        <f>VLOOKUP(B45,'OI(Value)'!$A$7:$C$209,3,0)</f>
        <v>7</v>
      </c>
      <c r="M45" s="33">
        <f t="shared" si="12"/>
        <v>0.13464127716868629</v>
      </c>
      <c r="N45" s="5">
        <f>VLOOKUP($B45,'Data Vlaue (Cr)'!$C:$FB,67)</f>
        <v>3913</v>
      </c>
      <c r="O45" s="5">
        <f>VLOOKUP($B45,'Data Vlaue (Cr)'!$C:$FB,68)</f>
        <v>5906</v>
      </c>
      <c r="P45" s="5">
        <f t="shared" si="17"/>
        <v>-50.932788142090466</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CDSL</v>
      </c>
      <c r="C46" s="4">
        <f>VLOOKUP($B46,'Data shares'!$C:$FB,7)</f>
        <v>1489.6</v>
      </c>
      <c r="D46" s="82">
        <f>VLOOKUP($B46,'Data shares'!$C:$FB,98)</f>
        <v>26650350</v>
      </c>
      <c r="E46" s="165">
        <f>VLOOKUP(B46,'Snapshot (Volume)'!$A$7:$G$168,7,0)</f>
        <v>26885950</v>
      </c>
      <c r="F46" s="165">
        <f t="shared" si="14"/>
        <v>-235600</v>
      </c>
      <c r="G46" s="166">
        <f t="shared" si="15"/>
        <v>-8.7629412388254835E-3</v>
      </c>
      <c r="H46" s="165">
        <f>VLOOKUP($B46,'Data shares'!$C:$FB,66)</f>
        <v>13143725</v>
      </c>
      <c r="I46" s="165">
        <f>VLOOKUP($B46,'Data shares'!$C:$FB,67)</f>
        <v>13350825</v>
      </c>
      <c r="J46" s="81">
        <f t="shared" si="16"/>
        <v>-1.5512149998221083</v>
      </c>
      <c r="K46" s="5">
        <f>VLOOKUP($B46,'Data Vlaue (Cr)'!$C:$FB,99)</f>
        <v>3973</v>
      </c>
      <c r="L46" s="81">
        <f>VLOOKUP(B46,'OI(Value)'!$A$7:$C$209,3,0)</f>
        <v>-35</v>
      </c>
      <c r="M46" s="33">
        <f t="shared" si="12"/>
        <v>-0.88094638811980863</v>
      </c>
      <c r="N46" s="5">
        <f>VLOOKUP($B46,'Data Vlaue (Cr)'!$C:$FB,67)</f>
        <v>1959</v>
      </c>
      <c r="O46" s="5">
        <f>VLOOKUP($B46,'Data Vlaue (Cr)'!$C:$FB,68)</f>
        <v>1990</v>
      </c>
      <c r="P46" s="5">
        <f t="shared" si="17"/>
        <v>-1.5824400204185809</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Power</v>
      </c>
      <c r="B47" s="79" t="str">
        <f>'Data shares'!C42</f>
        <v>CGPOWER</v>
      </c>
      <c r="C47" s="4">
        <f>VLOOKUP($B47,'Data shares'!$C:$FB,7)</f>
        <v>661.8</v>
      </c>
      <c r="D47" s="82">
        <f>VLOOKUP($B47,'Data shares'!$C:$FB,98)</f>
        <v>27977750</v>
      </c>
      <c r="E47" s="165">
        <f>VLOOKUP(B47,'Snapshot (Volume)'!$A$7:$G$168,7,0)</f>
        <v>28696850</v>
      </c>
      <c r="F47" s="165">
        <f t="shared" si="14"/>
        <v>-719100</v>
      </c>
      <c r="G47" s="166">
        <f t="shared" si="15"/>
        <v>-2.5058499452030449E-2</v>
      </c>
      <c r="H47" s="165">
        <f>VLOOKUP($B47,'Data shares'!$C:$FB,66)</f>
        <v>19312000</v>
      </c>
      <c r="I47" s="165">
        <f>VLOOKUP($B47,'Data shares'!$C:$FB,67)</f>
        <v>49492100</v>
      </c>
      <c r="J47" s="81">
        <f t="shared" si="16"/>
        <v>-60.979631092639032</v>
      </c>
      <c r="K47" s="5">
        <f>VLOOKUP($B47,'Data Vlaue (Cr)'!$C:$FB,99)</f>
        <v>1854</v>
      </c>
      <c r="L47" s="81">
        <f>VLOOKUP(B47,'OI(Value)'!$A$7:$C$209,3,0)</f>
        <v>-48</v>
      </c>
      <c r="M47" s="33">
        <f t="shared" si="12"/>
        <v>-2.5889967637540456</v>
      </c>
      <c r="N47" s="5">
        <f>VLOOKUP($B47,'Data Vlaue (Cr)'!$C:$FB,67)</f>
        <v>1280</v>
      </c>
      <c r="O47" s="5">
        <f>VLOOKUP($B47,'Data Vlaue (Cr)'!$C:$FB,68)</f>
        <v>3279</v>
      </c>
      <c r="P47" s="5">
        <f t="shared" si="17"/>
        <v>-156.171875</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CHOLAFIN</v>
      </c>
      <c r="C48" s="4">
        <f>VLOOKUP($B48,'Data shares'!$C:$FB,7)</f>
        <v>1679</v>
      </c>
      <c r="D48" s="82">
        <f>VLOOKUP($B48,'Data shares'!$C:$FB,98)</f>
        <v>25916875</v>
      </c>
      <c r="E48" s="165">
        <f>VLOOKUP(B48,'Snapshot (Volume)'!$A$7:$G$168,7,0)</f>
        <v>24522500</v>
      </c>
      <c r="F48" s="165">
        <f t="shared" si="14"/>
        <v>1394375</v>
      </c>
      <c r="G48" s="166">
        <f t="shared" si="15"/>
        <v>5.6861045978183304E-2</v>
      </c>
      <c r="H48" s="165">
        <f>VLOOKUP($B48,'Data shares'!$C:$FB,66)</f>
        <v>12403125</v>
      </c>
      <c r="I48" s="165">
        <f>VLOOKUP($B48,'Data shares'!$C:$FB,67)</f>
        <v>24314375</v>
      </c>
      <c r="J48" s="81">
        <f t="shared" si="16"/>
        <v>-48.988509883556539</v>
      </c>
      <c r="K48" s="5">
        <f>VLOOKUP($B48,'Data Vlaue (Cr)'!$C:$FB,99)</f>
        <v>4370</v>
      </c>
      <c r="L48" s="81">
        <f>VLOOKUP(B48,'OI(Value)'!$A$7:$C$209,3,0)</f>
        <v>235</v>
      </c>
      <c r="M48" s="33">
        <f t="shared" si="12"/>
        <v>5.3775743707093824</v>
      </c>
      <c r="N48" s="5">
        <f>VLOOKUP($B48,'Data Vlaue (Cr)'!$C:$FB,67)</f>
        <v>2091</v>
      </c>
      <c r="O48" s="5">
        <f>VLOOKUP($B48,'Data Vlaue (Cr)'!$C:$FB,68)</f>
        <v>4099</v>
      </c>
      <c r="P48" s="5">
        <f t="shared" si="17"/>
        <v>-96.030607364897179</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Pharma</v>
      </c>
      <c r="B49" s="79" t="str">
        <f>'Data shares'!C44</f>
        <v>CIPLA</v>
      </c>
      <c r="C49" s="4">
        <f>VLOOKUP($B49,'Data shares'!$C:$FB,7)</f>
        <v>1498.9</v>
      </c>
      <c r="D49" s="82">
        <f>VLOOKUP($B49,'Data shares'!$C:$FB,98)</f>
        <v>23805000</v>
      </c>
      <c r="E49" s="165">
        <f>VLOOKUP(B49,'Snapshot (Volume)'!$A$7:$G$168,7,0)</f>
        <v>23887500</v>
      </c>
      <c r="F49" s="165">
        <f t="shared" si="14"/>
        <v>-82500</v>
      </c>
      <c r="G49" s="166">
        <f t="shared" si="15"/>
        <v>-3.4536891679748821E-3</v>
      </c>
      <c r="H49" s="165">
        <f>VLOOKUP($B49,'Data shares'!$C:$FB,66)</f>
        <v>7536750</v>
      </c>
      <c r="I49" s="165">
        <f>VLOOKUP($B49,'Data shares'!$C:$FB,67)</f>
        <v>6340875</v>
      </c>
      <c r="J49" s="81">
        <f t="shared" si="16"/>
        <v>18.85977881601514</v>
      </c>
      <c r="K49" s="5">
        <f>VLOOKUP($B49,'Data Vlaue (Cr)'!$C:$FB,99)</f>
        <v>3577</v>
      </c>
      <c r="L49" s="81">
        <f>VLOOKUP(B49,'OI(Value)'!$A$7:$C$209,3,0)</f>
        <v>-12</v>
      </c>
      <c r="M49" s="33">
        <f t="shared" si="12"/>
        <v>-0.33547665641599106</v>
      </c>
      <c r="N49" s="5">
        <f>VLOOKUP($B49,'Data Vlaue (Cr)'!$C:$FB,67)</f>
        <v>1132</v>
      </c>
      <c r="O49" s="5">
        <f>VLOOKUP($B49,'Data Vlaue (Cr)'!$C:$FB,68)</f>
        <v>953</v>
      </c>
      <c r="P49" s="5">
        <f t="shared" si="17"/>
        <v>15.812720848056539</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Metals</v>
      </c>
      <c r="B50" s="79" t="str">
        <f>'Data shares'!C45</f>
        <v>COALINDIA</v>
      </c>
      <c r="C50" s="4">
        <f>VLOOKUP($B50,'Data shares'!$C:$FB,7)</f>
        <v>385.3</v>
      </c>
      <c r="D50" s="82">
        <f>VLOOKUP($B50,'Data shares'!$C:$FB,98)</f>
        <v>93213450</v>
      </c>
      <c r="E50" s="165">
        <f>VLOOKUP(B50,'Snapshot (Volume)'!$A$7:$G$168,7,0)</f>
        <v>94286700</v>
      </c>
      <c r="F50" s="165">
        <f>D50-E50</f>
        <v>-1073250</v>
      </c>
      <c r="G50" s="166">
        <f>F50/E50</f>
        <v>-1.1382835543082958E-2</v>
      </c>
      <c r="H50" s="165">
        <f>VLOOKUP($B50,'Data shares'!$C:$FB,66)</f>
        <v>20868300</v>
      </c>
      <c r="I50" s="165">
        <f>VLOOKUP($B50,'Data shares'!$C:$FB,67)</f>
        <v>23284800</v>
      </c>
      <c r="J50" s="81">
        <f>(H50-I50)/I50*100</f>
        <v>-10.378014842300557</v>
      </c>
      <c r="K50" s="5">
        <f>VLOOKUP($B50,'Data Vlaue (Cr)'!$C:$FB,99)</f>
        <v>3603</v>
      </c>
      <c r="L50" s="81">
        <f>VLOOKUP(B50,'OI(Value)'!$A$7:$C$209,3,0)</f>
        <v>-41</v>
      </c>
      <c r="M50" s="33">
        <f t="shared" si="12"/>
        <v>-1.1379406050513461</v>
      </c>
      <c r="N50" s="5">
        <f>VLOOKUP($B50,'Data Vlaue (Cr)'!$C:$FB,67)</f>
        <v>807</v>
      </c>
      <c r="O50" s="5">
        <f>VLOOKUP($B50,'Data Vlaue (Cr)'!$C:$FB,68)</f>
        <v>900</v>
      </c>
      <c r="P50" s="5">
        <f>(N50-O50)/N50*100</f>
        <v>-11.524163568773234</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Technology</v>
      </c>
      <c r="B51" s="79" t="str">
        <f>'Data shares'!C46</f>
        <v>COFORGE</v>
      </c>
      <c r="C51" s="4">
        <f>VLOOKUP($B51,'Data shares'!$C:$FB,7)</f>
        <v>1854.8</v>
      </c>
      <c r="D51" s="82">
        <f>VLOOKUP($B51,'Data shares'!$C:$FB,98)</f>
        <v>23906250</v>
      </c>
      <c r="E51" s="165">
        <f>VLOOKUP(B51,'Snapshot (Volume)'!$A$7:$G$168,7,0)</f>
        <v>23776125</v>
      </c>
      <c r="F51" s="165">
        <f>D51-E51</f>
        <v>130125</v>
      </c>
      <c r="G51" s="166">
        <f>F51/E51</f>
        <v>5.4729271485576391E-3</v>
      </c>
      <c r="H51" s="165">
        <f>VLOOKUP($B51,'Data shares'!$C:$FB,66)</f>
        <v>16867125</v>
      </c>
      <c r="I51" s="165">
        <f>VLOOKUP($B51,'Data shares'!$C:$FB,67)</f>
        <v>15108375</v>
      </c>
      <c r="J51" s="81">
        <f>(H51-I51)/I51*100</f>
        <v>11.640894536970389</v>
      </c>
      <c r="K51" s="5">
        <f>VLOOKUP($B51,'Data Vlaue (Cr)'!$C:$FB,99)</f>
        <v>4445</v>
      </c>
      <c r="L51" s="81">
        <f>VLOOKUP(B51,'OI(Value)'!$A$7:$C$209,3,0)</f>
        <v>24</v>
      </c>
      <c r="M51" s="33">
        <f t="shared" si="12"/>
        <v>0.53993250843644547</v>
      </c>
      <c r="N51" s="5">
        <f>VLOOKUP($B51,'Data Vlaue (Cr)'!$C:$FB,67)</f>
        <v>3136</v>
      </c>
      <c r="O51" s="5">
        <f>VLOOKUP($B51,'Data Vlaue (Cr)'!$C:$FB,68)</f>
        <v>2809</v>
      </c>
      <c r="P51" s="5">
        <f>(N51-O51)/N51*100</f>
        <v>10.427295918367346</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FMCG</v>
      </c>
      <c r="B52" s="79" t="str">
        <f>'Data shares'!C47</f>
        <v>COLPAL</v>
      </c>
      <c r="C52" s="79">
        <f>VLOOKUP($B52,'Data shares'!$C:$FB,7)</f>
        <v>2090</v>
      </c>
      <c r="D52" s="80">
        <f>VLOOKUP($B52,'Data shares'!$C:$FB,98)</f>
        <v>12309300</v>
      </c>
      <c r="E52" s="165">
        <f>VLOOKUP(B52,'Snapshot (Volume)'!$A$7:$G$168,7,0)</f>
        <v>12226050</v>
      </c>
      <c r="F52" s="165">
        <f t="shared" ref="F52:F68" si="18">D52-E52</f>
        <v>83250</v>
      </c>
      <c r="G52" s="166">
        <f t="shared" ref="G52:G68" si="19">F52/E52</f>
        <v>6.8092311089845044E-3</v>
      </c>
      <c r="H52" s="165">
        <f>VLOOKUP($B52,'Data shares'!$C:$FB,66)</f>
        <v>5518350</v>
      </c>
      <c r="I52" s="165">
        <f>VLOOKUP($B52,'Data shares'!$C:$FB,67)</f>
        <v>8384400</v>
      </c>
      <c r="J52" s="81">
        <f t="shared" ref="J52:J68" si="20">(H52-I52)/I52*100</f>
        <v>-34.183125805066553</v>
      </c>
      <c r="K52" s="81">
        <f>VLOOKUP($B52,'Data Vlaue (Cr)'!$C:$FB,99)</f>
        <v>2580</v>
      </c>
      <c r="L52" s="81">
        <f>VLOOKUP(B52,'OI(Value)'!$A$7:$C$209,3,0)</f>
        <v>17</v>
      </c>
      <c r="M52" s="81">
        <f t="shared" si="12"/>
        <v>0.65891472868217049</v>
      </c>
      <c r="N52" s="81">
        <f>VLOOKUP($B52,'Data Vlaue (Cr)'!$C:$FB,67)</f>
        <v>1157</v>
      </c>
      <c r="O52" s="81">
        <f>VLOOKUP($B52,'Data Vlaue (Cr)'!$C:$FB,68)</f>
        <v>1757</v>
      </c>
      <c r="P52" s="81">
        <f t="shared" ref="P52:P68" si="21">(N52-O52)/N52*100</f>
        <v>-51.858254105445113</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CONCOR</v>
      </c>
      <c r="C53" s="4">
        <f>VLOOKUP($B53,'Data shares'!$C:$FB,7)</f>
        <v>498.25</v>
      </c>
      <c r="D53" s="82">
        <f>VLOOKUP($B53,'Data shares'!$C:$FB,98)</f>
        <v>63913750</v>
      </c>
      <c r="E53" s="165">
        <f>VLOOKUP(B53,'Snapshot (Volume)'!$A$7:$G$168,7,0)</f>
        <v>64428750</v>
      </c>
      <c r="F53" s="165">
        <f t="shared" si="18"/>
        <v>-515000</v>
      </c>
      <c r="G53" s="166">
        <f t="shared" si="19"/>
        <v>-7.9933259608482247E-3</v>
      </c>
      <c r="H53" s="165">
        <f>VLOOKUP($B53,'Data shares'!$C:$FB,66)</f>
        <v>13287500</v>
      </c>
      <c r="I53" s="165">
        <f>VLOOKUP($B53,'Data shares'!$C:$FB,67)</f>
        <v>10385000</v>
      </c>
      <c r="J53" s="81">
        <f t="shared" si="20"/>
        <v>27.948964853153583</v>
      </c>
      <c r="K53" s="5">
        <f>VLOOKUP($B53,'Data Vlaue (Cr)'!$C:$FB,99)</f>
        <v>3188</v>
      </c>
      <c r="L53" s="81">
        <f>VLOOKUP(B53,'OI(Value)'!$A$7:$C$209,3,0)</f>
        <v>-26</v>
      </c>
      <c r="M53" s="33">
        <f t="shared" si="12"/>
        <v>-0.81555834378920955</v>
      </c>
      <c r="N53" s="5">
        <f>VLOOKUP($B53,'Data Vlaue (Cr)'!$C:$FB,67)</f>
        <v>663</v>
      </c>
      <c r="O53" s="5">
        <f>VLOOKUP($B53,'Data Vlaue (Cr)'!$C:$FB,68)</f>
        <v>518</v>
      </c>
      <c r="P53" s="5">
        <f t="shared" si="21"/>
        <v>21.87028657616893</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Capital_Goods</v>
      </c>
      <c r="B54" s="79" t="str">
        <f>'Data shares'!C49</f>
        <v>CROMPTON</v>
      </c>
      <c r="C54" s="4">
        <f>VLOOKUP($B54,'Data shares'!$C:$FB,7)</f>
        <v>255.65</v>
      </c>
      <c r="D54" s="82">
        <f>VLOOKUP($B54,'Data shares'!$C:$FB,98)</f>
        <v>99635400</v>
      </c>
      <c r="E54" s="165">
        <f>VLOOKUP(B54,'Snapshot (Volume)'!$A$7:$G$168,7,0)</f>
        <v>93393000</v>
      </c>
      <c r="F54" s="165">
        <f t="shared" si="18"/>
        <v>6242400</v>
      </c>
      <c r="G54" s="166">
        <f t="shared" si="19"/>
        <v>6.6840127204394334E-2</v>
      </c>
      <c r="H54" s="165">
        <f>VLOOKUP($B54,'Data shares'!$C:$FB,66)</f>
        <v>159588000</v>
      </c>
      <c r="I54" s="165">
        <f>VLOOKUP($B54,'Data shares'!$C:$FB,67)</f>
        <v>21252600</v>
      </c>
      <c r="J54" s="81">
        <f t="shared" si="20"/>
        <v>650.9104768357754</v>
      </c>
      <c r="K54" s="5">
        <f>VLOOKUP($B54,'Data Vlaue (Cr)'!$C:$FB,99)</f>
        <v>2554</v>
      </c>
      <c r="L54" s="81">
        <f>VLOOKUP(B54,'OI(Value)'!$A$7:$C$209,3,0)</f>
        <v>160</v>
      </c>
      <c r="M54" s="33">
        <f t="shared" si="12"/>
        <v>6.2646828504306971</v>
      </c>
      <c r="N54" s="5">
        <f>VLOOKUP($B54,'Data Vlaue (Cr)'!$C:$FB,67)</f>
        <v>4091</v>
      </c>
      <c r="O54" s="5">
        <f>VLOOKUP($B54,'Data Vlaue (Cr)'!$C:$FB,68)</f>
        <v>545</v>
      </c>
      <c r="P54" s="5">
        <f t="shared" si="21"/>
        <v>86.678073820581773</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CUMMINSIND</v>
      </c>
      <c r="C55" s="4">
        <f>VLOOKUP($B55,'Data shares'!$C:$FB,7)</f>
        <v>4385.3999999999996</v>
      </c>
      <c r="D55" s="82">
        <f>VLOOKUP($B55,'Data shares'!$C:$FB,98)</f>
        <v>5083200</v>
      </c>
      <c r="E55" s="165">
        <f>VLOOKUP(B55,'Snapshot (Volume)'!$A$7:$G$168,7,0)</f>
        <v>4776600</v>
      </c>
      <c r="F55" s="165">
        <f t="shared" si="18"/>
        <v>306600</v>
      </c>
      <c r="G55" s="166">
        <f t="shared" si="19"/>
        <v>6.4187916090943348E-2</v>
      </c>
      <c r="H55" s="165">
        <f>VLOOKUP($B55,'Data shares'!$C:$FB,66)</f>
        <v>8218800</v>
      </c>
      <c r="I55" s="165">
        <f>VLOOKUP($B55,'Data shares'!$C:$FB,67)</f>
        <v>2634600</v>
      </c>
      <c r="J55" s="81">
        <f t="shared" si="20"/>
        <v>211.95627419722157</v>
      </c>
      <c r="K55" s="5">
        <f>VLOOKUP($B55,'Data Vlaue (Cr)'!$C:$FB,99)</f>
        <v>2231</v>
      </c>
      <c r="L55" s="81">
        <f>VLOOKUP(B55,'OI(Value)'!$A$7:$C$209,3,0)</f>
        <v>135</v>
      </c>
      <c r="M55" s="33">
        <f t="shared" si="12"/>
        <v>6.0510981622590769</v>
      </c>
      <c r="N55" s="5">
        <f>VLOOKUP($B55,'Data Vlaue (Cr)'!$C:$FB,67)</f>
        <v>3608</v>
      </c>
      <c r="O55" s="5">
        <f>VLOOKUP($B55,'Data Vlaue (Cr)'!$C:$FB,68)</f>
        <v>1157</v>
      </c>
      <c r="P55" s="5">
        <f t="shared" si="21"/>
        <v>67.932372505543242</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Technology</v>
      </c>
      <c r="B56" s="79" t="str">
        <f>'Data shares'!C51</f>
        <v>CYIENT</v>
      </c>
      <c r="C56" s="4">
        <f>VLOOKUP($B56,'Data shares'!$C:$FB,7)</f>
        <v>1141.3</v>
      </c>
      <c r="D56" s="82">
        <f>VLOOKUP($B56,'Data shares'!$C:$FB,98)</f>
        <v>5682250</v>
      </c>
      <c r="E56" s="165">
        <f>VLOOKUP(B56,'Snapshot (Volume)'!$A$7:$G$168,7,0)</f>
        <v>5620200</v>
      </c>
      <c r="F56" s="165">
        <f t="shared" si="18"/>
        <v>62050</v>
      </c>
      <c r="G56" s="166">
        <f t="shared" si="19"/>
        <v>1.1040532365396248E-2</v>
      </c>
      <c r="H56" s="165">
        <f>VLOOKUP($B56,'Data shares'!$C:$FB,66)</f>
        <v>3524100</v>
      </c>
      <c r="I56" s="165">
        <f>VLOOKUP($B56,'Data shares'!$C:$FB,67)</f>
        <v>15132550</v>
      </c>
      <c r="J56" s="81">
        <f t="shared" si="20"/>
        <v>-76.71179014772791</v>
      </c>
      <c r="K56" s="5">
        <f>VLOOKUP($B56,'Data Vlaue (Cr)'!$C:$FB,99)</f>
        <v>650</v>
      </c>
      <c r="L56" s="81">
        <f>VLOOKUP(B56,'OI(Value)'!$A$7:$C$209,3,0)</f>
        <v>7</v>
      </c>
      <c r="M56" s="33">
        <f t="shared" si="12"/>
        <v>1.0769230769230769</v>
      </c>
      <c r="N56" s="5">
        <f>VLOOKUP($B56,'Data Vlaue (Cr)'!$C:$FB,67)</f>
        <v>403</v>
      </c>
      <c r="O56" s="5">
        <f>VLOOKUP($B56,'Data Vlaue (Cr)'!$C:$FB,68)</f>
        <v>1731</v>
      </c>
      <c r="P56" s="5">
        <f t="shared" si="21"/>
        <v>-329.52853598014889</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492.55</v>
      </c>
      <c r="D57" s="82">
        <f>VLOOKUP($B57,'Data shares'!$C:$FB,98)</f>
        <v>44013750</v>
      </c>
      <c r="E57" s="165">
        <f>VLOOKUP(B57,'Snapshot (Volume)'!$A$7:$G$168,7,0)</f>
        <v>43142500</v>
      </c>
      <c r="F57" s="165">
        <f t="shared" si="18"/>
        <v>871250</v>
      </c>
      <c r="G57" s="166">
        <f t="shared" si="19"/>
        <v>2.0194703598539723E-2</v>
      </c>
      <c r="H57" s="165">
        <f>VLOOKUP($B57,'Data shares'!$C:$FB,66)</f>
        <v>13803750</v>
      </c>
      <c r="I57" s="165">
        <f>VLOOKUP($B57,'Data shares'!$C:$FB,67)</f>
        <v>11976250</v>
      </c>
      <c r="J57" s="81">
        <f t="shared" si="20"/>
        <v>15.259367498173468</v>
      </c>
      <c r="K57" s="5">
        <f>VLOOKUP($B57,'Data Vlaue (Cr)'!$C:$FB,99)</f>
        <v>2173</v>
      </c>
      <c r="L57" s="81">
        <f>VLOOKUP(B57,'OI(Value)'!$A$7:$C$209,3,0)</f>
        <v>43</v>
      </c>
      <c r="M57" s="33">
        <f t="shared" si="12"/>
        <v>1.9788311090658077</v>
      </c>
      <c r="N57" s="5">
        <f>VLOOKUP($B57,'Data Vlaue (Cr)'!$C:$FB,67)</f>
        <v>681</v>
      </c>
      <c r="O57" s="5">
        <f>VLOOKUP($B57,'Data Vlaue (Cr)'!$C:$FB,68)</f>
        <v>591</v>
      </c>
      <c r="P57" s="5">
        <f t="shared" si="21"/>
        <v>13.215859030837004</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2024.4</v>
      </c>
      <c r="D58" s="82">
        <f>VLOOKUP($B58,'Data shares'!$C:$FB,98)</f>
        <v>4926025</v>
      </c>
      <c r="E58" s="165">
        <f>VLOOKUP(B58,'Snapshot (Volume)'!$A$7:$G$168,7,0)</f>
        <v>4771975</v>
      </c>
      <c r="F58" s="165">
        <f t="shared" si="18"/>
        <v>154050</v>
      </c>
      <c r="G58" s="166">
        <f t="shared" si="19"/>
        <v>3.2282231151672003E-2</v>
      </c>
      <c r="H58" s="165">
        <f>VLOOKUP($B58,'Data shares'!$C:$FB,66)</f>
        <v>3257800</v>
      </c>
      <c r="I58" s="165">
        <f>VLOOKUP($B58,'Data shares'!$C:$FB,67)</f>
        <v>2290275</v>
      </c>
      <c r="J58" s="81">
        <f t="shared" si="20"/>
        <v>42.244926919256422</v>
      </c>
      <c r="K58" s="5">
        <f>VLOOKUP($B58,'Data Vlaue (Cr)'!$C:$FB,99)</f>
        <v>999</v>
      </c>
      <c r="L58" s="81">
        <f>VLOOKUP(B58,'OI(Value)'!$A$7:$C$209,3,0)</f>
        <v>31</v>
      </c>
      <c r="M58" s="33">
        <f t="shared" si="12"/>
        <v>3.1031031031031033</v>
      </c>
      <c r="N58" s="5">
        <f>VLOOKUP($B58,'Data Vlaue (Cr)'!$C:$FB,67)</f>
        <v>661</v>
      </c>
      <c r="O58" s="5">
        <f>VLOOKUP($B58,'Data Vlaue (Cr)'!$C:$FB,68)</f>
        <v>464</v>
      </c>
      <c r="P58" s="5">
        <f t="shared" si="21"/>
        <v>29.80332829046899</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402.35</v>
      </c>
      <c r="D59" s="82">
        <f>VLOOKUP($B59,'Data shares'!$C:$FB,98)</f>
        <v>38595000</v>
      </c>
      <c r="E59" s="165">
        <f>VLOOKUP(B59,'Snapshot (Volume)'!$A$7:$G$168,7,0)</f>
        <v>39221650</v>
      </c>
      <c r="F59" s="165">
        <f t="shared" si="18"/>
        <v>-626650</v>
      </c>
      <c r="G59" s="166">
        <f t="shared" si="19"/>
        <v>-1.597714527563221E-2</v>
      </c>
      <c r="H59" s="165">
        <f>VLOOKUP($B59,'Data shares'!$C:$FB,66)</f>
        <v>14647425</v>
      </c>
      <c r="I59" s="165">
        <f>VLOOKUP($B59,'Data shares'!$C:$FB,67)</f>
        <v>13209450</v>
      </c>
      <c r="J59" s="81">
        <f t="shared" si="20"/>
        <v>10.885956644674835</v>
      </c>
      <c r="K59" s="5">
        <f>VLOOKUP($B59,'Data Vlaue (Cr)'!$C:$FB,99)</f>
        <v>1554</v>
      </c>
      <c r="L59" s="81">
        <f>VLOOKUP(B59,'OI(Value)'!$A$7:$C$209,3,0)</f>
        <v>-25</v>
      </c>
      <c r="M59" s="33">
        <f t="shared" si="12"/>
        <v>-1.6087516087516087</v>
      </c>
      <c r="N59" s="5">
        <f>VLOOKUP($B59,'Data Vlaue (Cr)'!$C:$FB,67)</f>
        <v>590</v>
      </c>
      <c r="O59" s="5">
        <f>VLOOKUP($B59,'Data Vlaue (Cr)'!$C:$FB,68)</f>
        <v>532</v>
      </c>
      <c r="P59" s="5">
        <f t="shared" si="21"/>
        <v>9.8305084745762716</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6380</v>
      </c>
      <c r="D60" s="82">
        <f>VLOOKUP($B60,'Data shares'!$C:$FB,98)</f>
        <v>4733700</v>
      </c>
      <c r="E60" s="165">
        <f>VLOOKUP(B60,'Snapshot (Volume)'!$A$7:$G$168,7,0)</f>
        <v>4657700</v>
      </c>
      <c r="F60" s="165">
        <f t="shared" si="18"/>
        <v>76000</v>
      </c>
      <c r="G60" s="166">
        <f t="shared" si="19"/>
        <v>1.6317066363226485E-2</v>
      </c>
      <c r="H60" s="165">
        <f>VLOOKUP($B60,'Data shares'!$C:$FB,66)</f>
        <v>2897300</v>
      </c>
      <c r="I60" s="165">
        <f>VLOOKUP($B60,'Data shares'!$C:$FB,67)</f>
        <v>937800</v>
      </c>
      <c r="J60" s="81">
        <f t="shared" si="20"/>
        <v>208.94647046278524</v>
      </c>
      <c r="K60" s="5">
        <f>VLOOKUP($B60,'Data Vlaue (Cr)'!$C:$FB,99)</f>
        <v>3025</v>
      </c>
      <c r="L60" s="81">
        <f>VLOOKUP(B60,'OI(Value)'!$A$7:$C$209,3,0)</f>
        <v>49</v>
      </c>
      <c r="M60" s="33">
        <f t="shared" si="12"/>
        <v>1.6198347107438016</v>
      </c>
      <c r="N60" s="5">
        <f>VLOOKUP($B60,'Data Vlaue (Cr)'!$C:$FB,67)</f>
        <v>1852</v>
      </c>
      <c r="O60" s="5">
        <f>VLOOKUP($B60,'Data Vlaue (Cr)'!$C:$FB,68)</f>
        <v>599</v>
      </c>
      <c r="P60" s="5">
        <f t="shared" si="21"/>
        <v>67.656587473002162</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13299</v>
      </c>
      <c r="D61" s="82">
        <f>VLOOKUP($B61,'Data shares'!$C:$FB,98)</f>
        <v>7709450</v>
      </c>
      <c r="E61" s="165">
        <f>VLOOKUP(B61,'Snapshot (Volume)'!$A$7:$G$168,7,0)</f>
        <v>7711800</v>
      </c>
      <c r="F61" s="165">
        <f t="shared" si="18"/>
        <v>-2350</v>
      </c>
      <c r="G61" s="166">
        <f t="shared" si="19"/>
        <v>-3.0472781970486786E-4</v>
      </c>
      <c r="H61" s="165">
        <f>VLOOKUP($B61,'Data shares'!$C:$FB,66)</f>
        <v>13707750</v>
      </c>
      <c r="I61" s="165">
        <f>VLOOKUP($B61,'Data shares'!$C:$FB,67)</f>
        <v>12586050</v>
      </c>
      <c r="J61" s="81">
        <f t="shared" si="20"/>
        <v>8.9122480841884464</v>
      </c>
      <c r="K61" s="5">
        <f>VLOOKUP($B61,'Data Vlaue (Cr)'!$C:$FB,99)</f>
        <v>10274</v>
      </c>
      <c r="L61" s="81">
        <f>VLOOKUP(B61,'OI(Value)'!$A$7:$C$209,3,0)</f>
        <v>-3</v>
      </c>
      <c r="M61" s="33">
        <f t="shared" si="12"/>
        <v>-2.9199922133540977E-2</v>
      </c>
      <c r="N61" s="5">
        <f>VLOOKUP($B61,'Data Vlaue (Cr)'!$C:$FB,67)</f>
        <v>18267</v>
      </c>
      <c r="O61" s="5">
        <f>VLOOKUP($B61,'Data Vlaue (Cr)'!$C:$FB,68)</f>
        <v>16772</v>
      </c>
      <c r="P61" s="5">
        <f t="shared" si="21"/>
        <v>8.1841572234083326</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679.05</v>
      </c>
      <c r="D62" s="82">
        <f>VLOOKUP($B62,'Data shares'!$C:$FB,98)</f>
        <v>89700600</v>
      </c>
      <c r="E62" s="165">
        <f>VLOOKUP(B62,'Snapshot (Volume)'!$A$7:$G$168,7,0)</f>
        <v>88187550</v>
      </c>
      <c r="F62" s="165">
        <f t="shared" si="18"/>
        <v>1513050</v>
      </c>
      <c r="G62" s="166"/>
      <c r="H62" s="165">
        <f>VLOOKUP($B62,'Data shares'!$C:$FB,66)</f>
        <v>50132775</v>
      </c>
      <c r="I62" s="165">
        <f>VLOOKUP($B62,'Data shares'!$C:$FB,67)</f>
        <v>29743725</v>
      </c>
      <c r="J62" s="81"/>
      <c r="K62" s="5">
        <f>VLOOKUP($B62,'Data Vlaue (Cr)'!$C:$FB,99)</f>
        <v>6100</v>
      </c>
      <c r="L62" s="81">
        <f>VLOOKUP(B62,'OI(Value)'!$A$7:$C$209,3,0)</f>
        <v>103</v>
      </c>
      <c r="M62" s="33"/>
      <c r="N62" s="5">
        <f>VLOOKUP($B62,'Data Vlaue (Cr)'!$C:$FB,67)</f>
        <v>3409</v>
      </c>
      <c r="O62" s="5">
        <f>VLOOKUP($B62,'Data Vlaue (Cr)'!$C:$FB,68)</f>
        <v>2023</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3757.2</v>
      </c>
      <c r="D63" s="82">
        <f>VLOOKUP($B63,'Data shares'!$C:$FB,98)</f>
        <v>9933000</v>
      </c>
      <c r="E63" s="165">
        <f>VLOOKUP(B63,'Snapshot (Volume)'!$A$7:$G$168,7,0)</f>
        <v>9434850</v>
      </c>
      <c r="F63" s="165">
        <f t="shared" si="18"/>
        <v>498150</v>
      </c>
      <c r="G63" s="166">
        <f t="shared" si="19"/>
        <v>5.2798931620534506E-2</v>
      </c>
      <c r="H63" s="165">
        <f>VLOOKUP($B63,'Data shares'!$C:$FB,66)</f>
        <v>5157150</v>
      </c>
      <c r="I63" s="165">
        <f>VLOOKUP($B63,'Data shares'!$C:$FB,67)</f>
        <v>3317700</v>
      </c>
      <c r="J63" s="81">
        <f t="shared" si="20"/>
        <v>55.443530156433674</v>
      </c>
      <c r="K63" s="5">
        <f>VLOOKUP($B63,'Data Vlaue (Cr)'!$C:$FB,99)</f>
        <v>3744</v>
      </c>
      <c r="L63" s="81">
        <f>VLOOKUP(B63,'OI(Value)'!$A$7:$C$209,3,0)</f>
        <v>188</v>
      </c>
      <c r="M63" s="33">
        <f t="shared" si="12"/>
        <v>5.0213675213675213</v>
      </c>
      <c r="N63" s="5">
        <f>VLOOKUP($B63,'Data Vlaue (Cr)'!$C:$FB,67)</f>
        <v>1944</v>
      </c>
      <c r="O63" s="5">
        <f>VLOOKUP($B63,'Data Vlaue (Cr)'!$C:$FB,68)</f>
        <v>1251</v>
      </c>
      <c r="P63" s="5">
        <f t="shared" si="21"/>
        <v>35.648148148148145</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1280</v>
      </c>
      <c r="D64" s="82">
        <f>VLOOKUP($B64,'Data shares'!$C:$FB,98)</f>
        <v>23956250</v>
      </c>
      <c r="E64" s="165">
        <f>VLOOKUP(B64,'Snapshot (Volume)'!$A$7:$G$168,7,0)</f>
        <v>23740000</v>
      </c>
      <c r="F64" s="165">
        <f t="shared" si="18"/>
        <v>216250</v>
      </c>
      <c r="G64" s="166">
        <f t="shared" si="19"/>
        <v>9.1090985678180282E-3</v>
      </c>
      <c r="H64" s="165">
        <f>VLOOKUP($B64,'Data shares'!$C:$FB,66)</f>
        <v>7317500</v>
      </c>
      <c r="I64" s="165">
        <f>VLOOKUP($B64,'Data shares'!$C:$FB,67)</f>
        <v>6504375</v>
      </c>
      <c r="J64" s="81">
        <f t="shared" si="20"/>
        <v>12.50120111463438</v>
      </c>
      <c r="K64" s="5">
        <f>VLOOKUP($B64,'Data Vlaue (Cr)'!$C:$FB,99)</f>
        <v>3065</v>
      </c>
      <c r="L64" s="81">
        <f>VLOOKUP(B64,'OI(Value)'!$A$7:$C$209,3,0)</f>
        <v>28</v>
      </c>
      <c r="M64" s="33">
        <f t="shared" si="12"/>
        <v>0.91353996737357257</v>
      </c>
      <c r="N64" s="5">
        <f>VLOOKUP($B64,'Data Vlaue (Cr)'!$C:$FB,67)</f>
        <v>936</v>
      </c>
      <c r="O64" s="5">
        <f>VLOOKUP($B64,'Data Vlaue (Cr)'!$C:$FB,68)</f>
        <v>832</v>
      </c>
      <c r="P64" s="5">
        <f t="shared" si="21"/>
        <v>11.111111111111111</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7106.5</v>
      </c>
      <c r="D65" s="82">
        <f>VLOOKUP($B65,'Data shares'!$C:$FB,98)</f>
        <v>7817000</v>
      </c>
      <c r="E65" s="165">
        <f>VLOOKUP(B65,'Snapshot (Volume)'!$A$7:$G$168,7,0)</f>
        <v>7971550</v>
      </c>
      <c r="F65" s="165">
        <f t="shared" si="18"/>
        <v>-154550</v>
      </c>
      <c r="G65" s="166">
        <f t="shared" si="19"/>
        <v>-1.9387697499231641E-2</v>
      </c>
      <c r="H65" s="165">
        <f>VLOOKUP($B65,'Data shares'!$C:$FB,66)</f>
        <v>7879200</v>
      </c>
      <c r="I65" s="165">
        <f>VLOOKUP($B65,'Data shares'!$C:$FB,67)</f>
        <v>8274175</v>
      </c>
      <c r="J65" s="81">
        <f t="shared" si="20"/>
        <v>-4.7735876990757387</v>
      </c>
      <c r="K65" s="5">
        <f>VLOOKUP($B65,'Data Vlaue (Cr)'!$C:$FB,99)</f>
        <v>5561</v>
      </c>
      <c r="L65" s="81">
        <f>VLOOKUP(B65,'OI(Value)'!$A$7:$C$209,3,0)</f>
        <v>-110</v>
      </c>
      <c r="M65" s="33">
        <f t="shared" si="12"/>
        <v>-1.9780614997302641</v>
      </c>
      <c r="N65" s="5">
        <f>VLOOKUP($B65,'Data Vlaue (Cr)'!$C:$FB,67)</f>
        <v>5605</v>
      </c>
      <c r="O65" s="5">
        <f>VLOOKUP($B65,'Data Vlaue (Cr)'!$C:$FB,68)</f>
        <v>5886</v>
      </c>
      <c r="P65" s="5">
        <f t="shared" si="21"/>
        <v>-5.0133809099018736</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284.75</v>
      </c>
      <c r="D66" s="82">
        <f>VLOOKUP($B66,'Data shares'!$C:$FB,98)</f>
        <v>454049725</v>
      </c>
      <c r="E66" s="165">
        <f>VLOOKUP(B66,'Snapshot (Volume)'!$A$7:$G$168,7,0)</f>
        <v>453795100</v>
      </c>
      <c r="F66" s="165">
        <f t="shared" si="18"/>
        <v>254625</v>
      </c>
      <c r="G66" s="166">
        <f t="shared" si="19"/>
        <v>5.6110125472928199E-4</v>
      </c>
      <c r="H66" s="165">
        <f>VLOOKUP($B66,'Data shares'!$C:$FB,66)</f>
        <v>130940300</v>
      </c>
      <c r="I66" s="165">
        <f>VLOOKUP($B66,'Data shares'!$C:$FB,67)</f>
        <v>189865375</v>
      </c>
      <c r="J66" s="81">
        <f t="shared" si="20"/>
        <v>-31.035187432147648</v>
      </c>
      <c r="K66" s="5">
        <f>VLOOKUP($B66,'Data Vlaue (Cr)'!$C:$FB,99)</f>
        <v>12963</v>
      </c>
      <c r="L66" s="81">
        <f>VLOOKUP(B66,'OI(Value)'!$A$7:$C$209,3,0)</f>
        <v>7</v>
      </c>
      <c r="M66" s="33">
        <f t="shared" ref="M66:M93" si="22">L66/K66*100</f>
        <v>5.3999845714726533E-2</v>
      </c>
      <c r="N66" s="5">
        <f>VLOOKUP($B66,'Data Vlaue (Cr)'!$C:$FB,67)</f>
        <v>3738</v>
      </c>
      <c r="O66" s="5">
        <f>VLOOKUP($B66,'Data Vlaue (Cr)'!$C:$FB,68)</f>
        <v>5421</v>
      </c>
      <c r="P66" s="5">
        <f t="shared" si="21"/>
        <v>-45.024077046548953</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359.05</v>
      </c>
      <c r="D67" s="82">
        <f>VLOOKUP($B67,'Data shares'!$C:$FB,98)</f>
        <v>52729200</v>
      </c>
      <c r="E67" s="165">
        <f>VLOOKUP(B67,'Snapshot (Volume)'!$A$7:$G$168,7,0)</f>
        <v>50310000</v>
      </c>
      <c r="F67" s="165">
        <f t="shared" si="18"/>
        <v>2419200</v>
      </c>
      <c r="G67" s="166">
        <f t="shared" si="19"/>
        <v>4.8085867620751344E-2</v>
      </c>
      <c r="H67" s="165">
        <f>VLOOKUP($B67,'Data shares'!$C:$FB,66)</f>
        <v>22291200</v>
      </c>
      <c r="I67" s="165">
        <f>VLOOKUP($B67,'Data shares'!$C:$FB,67)</f>
        <v>16549200</v>
      </c>
      <c r="J67" s="81">
        <f t="shared" si="20"/>
        <v>34.696541222536439</v>
      </c>
      <c r="K67" s="5">
        <f>VLOOKUP($B67,'Data Vlaue (Cr)'!$C:$FB,99)</f>
        <v>1896</v>
      </c>
      <c r="L67" s="81">
        <f>VLOOKUP(B67,'OI(Value)'!$A$7:$C$209,3,0)</f>
        <v>87</v>
      </c>
      <c r="M67" s="33">
        <f t="shared" si="22"/>
        <v>4.5886075949367093</v>
      </c>
      <c r="N67" s="5">
        <f>VLOOKUP($B67,'Data Vlaue (Cr)'!$C:$FB,67)</f>
        <v>801</v>
      </c>
      <c r="O67" s="5">
        <f>VLOOKUP($B67,'Data Vlaue (Cr)'!$C:$FB,68)</f>
        <v>595</v>
      </c>
      <c r="P67" s="5">
        <f t="shared" si="21"/>
        <v>25.71785268414482</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265.39999999999998</v>
      </c>
      <c r="D68" s="82">
        <f>VLOOKUP($B68,'Data shares'!$C:$FB,98)</f>
        <v>153980000</v>
      </c>
      <c r="E68" s="165">
        <f>VLOOKUP(B68,'Snapshot (Volume)'!$A$7:$G$168,7,0)</f>
        <v>154985000</v>
      </c>
      <c r="F68" s="165">
        <f t="shared" si="18"/>
        <v>-1005000</v>
      </c>
      <c r="G68" s="166">
        <f t="shared" si="19"/>
        <v>-6.4844984998548251E-3</v>
      </c>
      <c r="H68" s="165">
        <f>VLOOKUP($B68,'Data shares'!$C:$FB,66)</f>
        <v>111965000</v>
      </c>
      <c r="I68" s="165">
        <f>VLOOKUP($B68,'Data shares'!$C:$FB,67)</f>
        <v>87350000</v>
      </c>
      <c r="J68" s="81">
        <f t="shared" si="20"/>
        <v>28.179736691471092</v>
      </c>
      <c r="K68" s="5">
        <f>VLOOKUP($B68,'Data Vlaue (Cr)'!$C:$FB,99)</f>
        <v>4088</v>
      </c>
      <c r="L68" s="81">
        <f>VLOOKUP(B68,'OI(Value)'!$A$7:$C$209,3,0)</f>
        <v>-27</v>
      </c>
      <c r="M68" s="33">
        <f t="shared" si="22"/>
        <v>-0.66046966731898238</v>
      </c>
      <c r="N68" s="5">
        <f>VLOOKUP($B68,'Data Vlaue (Cr)'!$C:$FB,67)</f>
        <v>2973</v>
      </c>
      <c r="O68" s="5">
        <f>VLOOKUP($B68,'Data Vlaue (Cr)'!$C:$FB,68)</f>
        <v>2319</v>
      </c>
      <c r="P68" s="5">
        <f t="shared" si="21"/>
        <v>21.997981836528758</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27267.1</v>
      </c>
      <c r="D69" s="165">
        <f>VLOOKUP($B69,'Data shares'!$C:$FB,98)</f>
        <v>1614675</v>
      </c>
      <c r="E69" s="165">
        <f>VLOOKUP(B69,'Snapshot (Volume)'!$A$7:$G$168,7,0)</f>
        <v>1531220</v>
      </c>
      <c r="F69" s="165">
        <f t="shared" ref="F69:F85" si="23">D69-E69</f>
        <v>83455</v>
      </c>
      <c r="G69" s="166">
        <f t="shared" ref="G69:G85" si="24">F69/E69</f>
        <v>5.450229228980813E-2</v>
      </c>
      <c r="H69" s="165">
        <f>VLOOKUP($B69,'Data shares'!$C:$FB,66)</f>
        <v>2775630</v>
      </c>
      <c r="I69" s="165">
        <f>VLOOKUP($B69,'Data shares'!$C:$FB,67)</f>
        <v>2995785</v>
      </c>
      <c r="J69" s="81">
        <f t="shared" ref="J69:J85" si="25">(H69-I69)/I69*100</f>
        <v>-7.3488250992644666</v>
      </c>
      <c r="K69" s="81">
        <f>VLOOKUP($B69,'Data Vlaue (Cr)'!$C:$FB,99)</f>
        <v>4419</v>
      </c>
      <c r="L69" s="81">
        <f>VLOOKUP(B69,'OI(Value)'!$A$7:$C$209,3,0)</f>
        <v>228</v>
      </c>
      <c r="M69" s="81">
        <f t="shared" si="22"/>
        <v>5.1595383570943651</v>
      </c>
      <c r="N69" s="81">
        <f>VLOOKUP($B69,'Data Vlaue (Cr)'!$C:$FB,67)</f>
        <v>7596</v>
      </c>
      <c r="O69" s="81">
        <f>VLOOKUP($B69,'Data Vlaue (Cr)'!$C:$FB,68)</f>
        <v>8199</v>
      </c>
      <c r="P69" s="81">
        <f t="shared" ref="P69:P85" si="26">(N69-O69)/N69*100</f>
        <v>-7.9383886255924168</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866.35</v>
      </c>
      <c r="D70" s="165">
        <f>VLOOKUP($B70,'Data shares'!$C:$FB,98)</f>
        <v>23625875</v>
      </c>
      <c r="E70" s="165">
        <f>VLOOKUP(B70,'Snapshot (Volume)'!$A$7:$G$168,7,0)</f>
        <v>24092425</v>
      </c>
      <c r="F70" s="165">
        <f t="shared" si="23"/>
        <v>-466550</v>
      </c>
      <c r="G70" s="166">
        <f t="shared" si="24"/>
        <v>-1.9365007881107857E-2</v>
      </c>
      <c r="H70" s="165">
        <f>VLOOKUP($B70,'Data shares'!$C:$FB,66)</f>
        <v>11113500</v>
      </c>
      <c r="I70" s="165">
        <f>VLOOKUP($B70,'Data shares'!$C:$FB,67)</f>
        <v>6222475</v>
      </c>
      <c r="J70" s="81">
        <f t="shared" si="25"/>
        <v>78.602565699339891</v>
      </c>
      <c r="K70" s="81">
        <f>VLOOKUP($B70,'Data Vlaue (Cr)'!$C:$FB,99)</f>
        <v>2048</v>
      </c>
      <c r="L70" s="81">
        <f>VLOOKUP(B70,'OI(Value)'!$A$7:$C$209,3,0)</f>
        <v>-40</v>
      </c>
      <c r="M70" s="81">
        <f t="shared" si="22"/>
        <v>-1.953125</v>
      </c>
      <c r="N70" s="81">
        <f>VLOOKUP($B70,'Data Vlaue (Cr)'!$C:$FB,67)</f>
        <v>963</v>
      </c>
      <c r="O70" s="81">
        <f>VLOOKUP($B70,'Data Vlaue (Cr)'!$C:$FB,68)</f>
        <v>539</v>
      </c>
      <c r="P70" s="81">
        <f t="shared" si="26"/>
        <v>44.029075804776738</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167.55</v>
      </c>
      <c r="D71" s="82">
        <f>VLOOKUP($B71,'Data shares'!$C:$FB,98)</f>
        <v>213138450</v>
      </c>
      <c r="E71" s="165">
        <f>VLOOKUP(B71,'Snapshot (Volume)'!$A$7:$G$168,7,0)</f>
        <v>213273900</v>
      </c>
      <c r="F71" s="165">
        <f t="shared" si="23"/>
        <v>-135450</v>
      </c>
      <c r="G71" s="166">
        <f t="shared" si="24"/>
        <v>-6.3509880955897558E-4</v>
      </c>
      <c r="H71" s="165">
        <f>VLOOKUP($B71,'Data shares'!$C:$FB,66)</f>
        <v>40178250</v>
      </c>
      <c r="I71" s="165">
        <f>VLOOKUP($B71,'Data shares'!$C:$FB,67)</f>
        <v>41312250</v>
      </c>
      <c r="J71" s="81">
        <f t="shared" si="25"/>
        <v>-2.7449485322150209</v>
      </c>
      <c r="K71" s="5">
        <f>VLOOKUP($B71,'Data Vlaue (Cr)'!$C:$FB,99)</f>
        <v>3583</v>
      </c>
      <c r="L71" s="81">
        <f>VLOOKUP(B71,'OI(Value)'!$A$7:$C$209,3,0)</f>
        <v>-2</v>
      </c>
      <c r="M71" s="33">
        <f t="shared" si="22"/>
        <v>-5.5819145967066705E-2</v>
      </c>
      <c r="N71" s="5">
        <f>VLOOKUP($B71,'Data Vlaue (Cr)'!$C:$FB,67)</f>
        <v>675</v>
      </c>
      <c r="O71" s="5">
        <f>VLOOKUP($B71,'Data Vlaue (Cr)'!$C:$FB,68)</f>
        <v>694</v>
      </c>
      <c r="P71" s="5">
        <f t="shared" si="26"/>
        <v>-2.8148148148148149</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1957.1</v>
      </c>
      <c r="D72" s="82">
        <f>VLOOKUP($B72,'Data shares'!$C:$FB,98)</f>
        <v>21663750</v>
      </c>
      <c r="E72" s="165">
        <f>VLOOKUP(B72,'Snapshot (Volume)'!$A$7:$G$168,7,0)</f>
        <v>21753000</v>
      </c>
      <c r="F72" s="165">
        <f t="shared" si="23"/>
        <v>-89250</v>
      </c>
      <c r="G72" s="166">
        <f t="shared" si="24"/>
        <v>-4.1028823610536475E-3</v>
      </c>
      <c r="H72" s="165">
        <f>VLOOKUP($B72,'Data shares'!$C:$FB,66)</f>
        <v>6627000</v>
      </c>
      <c r="I72" s="165">
        <f>VLOOKUP($B72,'Data shares'!$C:$FB,67)</f>
        <v>6593625</v>
      </c>
      <c r="J72" s="81">
        <f t="shared" si="25"/>
        <v>0.50617073309446625</v>
      </c>
      <c r="K72" s="5">
        <f>VLOOKUP($B72,'Data Vlaue (Cr)'!$C:$FB,99)</f>
        <v>4245</v>
      </c>
      <c r="L72" s="81">
        <f>VLOOKUP(B72,'OI(Value)'!$A$7:$C$209,3,0)</f>
        <v>-17</v>
      </c>
      <c r="M72" s="33">
        <f t="shared" si="22"/>
        <v>-0.4004711425206125</v>
      </c>
      <c r="N72" s="5">
        <f>VLOOKUP($B72,'Data Vlaue (Cr)'!$C:$FB,67)</f>
        <v>1298</v>
      </c>
      <c r="O72" s="5">
        <f>VLOOKUP($B72,'Data Vlaue (Cr)'!$C:$FB,68)</f>
        <v>1292</v>
      </c>
      <c r="P72" s="5">
        <f t="shared" si="26"/>
        <v>0.46224961479198773</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100.59</v>
      </c>
      <c r="D73" s="82">
        <f>VLOOKUP($B73,'Data shares'!$C:$FB,98)</f>
        <v>409816125</v>
      </c>
      <c r="E73" s="165">
        <f>VLOOKUP(B73,'Snapshot (Volume)'!$A$7:$G$168,7,0)</f>
        <v>405087075</v>
      </c>
      <c r="F73" s="165">
        <f t="shared" si="23"/>
        <v>4729050</v>
      </c>
      <c r="G73" s="166">
        <f t="shared" si="24"/>
        <v>1.1674156722971228E-2</v>
      </c>
      <c r="H73" s="165">
        <f>VLOOKUP($B73,'Data shares'!$C:$FB,66)</f>
        <v>211475025</v>
      </c>
      <c r="I73" s="165">
        <f>VLOOKUP($B73,'Data shares'!$C:$FB,67)</f>
        <v>218254725</v>
      </c>
      <c r="J73" s="81">
        <f t="shared" si="25"/>
        <v>-3.1063245022530439</v>
      </c>
      <c r="K73" s="5">
        <f>VLOOKUP($B73,'Data Vlaue (Cr)'!$C:$FB,99)</f>
        <v>4126</v>
      </c>
      <c r="L73" s="81">
        <f>VLOOKUP(B73,'OI(Value)'!$A$7:$C$209,3,0)</f>
        <v>48</v>
      </c>
      <c r="M73" s="33">
        <f t="shared" si="22"/>
        <v>1.16335433834222</v>
      </c>
      <c r="N73" s="5">
        <f>VLOOKUP($B73,'Data Vlaue (Cr)'!$C:$FB,67)</f>
        <v>2129</v>
      </c>
      <c r="O73" s="5">
        <f>VLOOKUP($B73,'Data Vlaue (Cr)'!$C:$FB,68)</f>
        <v>2197</v>
      </c>
      <c r="P73" s="5">
        <f t="shared" si="26"/>
        <v>-3.1939877876937528</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1186.8</v>
      </c>
      <c r="D74" s="82">
        <f>VLOOKUP($B74,'Data shares'!$C:$FB,98)</f>
        <v>14222000</v>
      </c>
      <c r="E74" s="165">
        <f>VLOOKUP(B74,'Snapshot (Volume)'!$A$7:$G$168,7,0)</f>
        <v>14213000</v>
      </c>
      <c r="F74" s="165">
        <f t="shared" si="23"/>
        <v>9000</v>
      </c>
      <c r="G74" s="166">
        <f t="shared" si="24"/>
        <v>6.3322310560754238E-4</v>
      </c>
      <c r="H74" s="165">
        <f>VLOOKUP($B74,'Data shares'!$C:$FB,66)</f>
        <v>4483500</v>
      </c>
      <c r="I74" s="165">
        <f>VLOOKUP($B74,'Data shares'!$C:$FB,67)</f>
        <v>4818000</v>
      </c>
      <c r="J74" s="81">
        <f t="shared" si="25"/>
        <v>-6.942714819427148</v>
      </c>
      <c r="K74" s="5">
        <f>VLOOKUP($B74,'Data Vlaue (Cr)'!$C:$FB,99)</f>
        <v>1691</v>
      </c>
      <c r="L74" s="81">
        <f>VLOOKUP(B74,'OI(Value)'!$A$7:$C$209,3,0)</f>
        <v>1</v>
      </c>
      <c r="M74" s="33">
        <f t="shared" si="22"/>
        <v>5.9136605558840927E-2</v>
      </c>
      <c r="N74" s="5">
        <f>VLOOKUP($B74,'Data Vlaue (Cr)'!$C:$FB,67)</f>
        <v>533</v>
      </c>
      <c r="O74" s="5">
        <f>VLOOKUP($B74,'Data Vlaue (Cr)'!$C:$FB,68)</f>
        <v>573</v>
      </c>
      <c r="P74" s="5">
        <f t="shared" si="26"/>
        <v>-7.5046904315197001</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1999.8</v>
      </c>
      <c r="D75" s="82">
        <f>VLOOKUP($B75,'Data shares'!$C:$FB,98)</f>
        <v>14727075</v>
      </c>
      <c r="E75" s="165">
        <f>VLOOKUP(B75,'Snapshot (Volume)'!$A$7:$G$168,7,0)</f>
        <v>14507625</v>
      </c>
      <c r="F75" s="165">
        <f t="shared" si="23"/>
        <v>219450</v>
      </c>
      <c r="G75" s="166">
        <f t="shared" si="24"/>
        <v>1.5126528291157236E-2</v>
      </c>
      <c r="H75" s="165">
        <f>VLOOKUP($B75,'Data shares'!$C:$FB,66)</f>
        <v>4797925</v>
      </c>
      <c r="I75" s="165">
        <f>VLOOKUP($B75,'Data shares'!$C:$FB,67)</f>
        <v>3151775</v>
      </c>
      <c r="J75" s="81">
        <f t="shared" si="25"/>
        <v>52.229299363057322</v>
      </c>
      <c r="K75" s="5">
        <f>VLOOKUP($B75,'Data Vlaue (Cr)'!$C:$FB,99)</f>
        <v>2954</v>
      </c>
      <c r="L75" s="81">
        <f>VLOOKUP(B75,'OI(Value)'!$A$7:$C$209,3,0)</f>
        <v>44</v>
      </c>
      <c r="M75" s="33">
        <f t="shared" si="22"/>
        <v>1.4895057549085984</v>
      </c>
      <c r="N75" s="5">
        <f>VLOOKUP($B75,'Data Vlaue (Cr)'!$C:$FB,67)</f>
        <v>962</v>
      </c>
      <c r="O75" s="5">
        <f>VLOOKUP($B75,'Data Vlaue (Cr)'!$C:$FB,68)</f>
        <v>632</v>
      </c>
      <c r="P75" s="5">
        <f t="shared" si="26"/>
        <v>34.303534303534306</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2807.6</v>
      </c>
      <c r="D76" s="82">
        <f>VLOOKUP($B76,'Data shares'!$C:$FB,98)</f>
        <v>20598500</v>
      </c>
      <c r="E76" s="165">
        <f>VLOOKUP(B76,'Snapshot (Volume)'!$A$7:$G$168,7,0)</f>
        <v>20560250</v>
      </c>
      <c r="F76" s="165">
        <f t="shared" si="23"/>
        <v>38250</v>
      </c>
      <c r="G76" s="166">
        <f t="shared" si="24"/>
        <v>1.8603859388869298E-3</v>
      </c>
      <c r="H76" s="165">
        <f>VLOOKUP($B76,'Data shares'!$C:$FB,66)</f>
        <v>2752500</v>
      </c>
      <c r="I76" s="165">
        <f>VLOOKUP($B76,'Data shares'!$C:$FB,67)</f>
        <v>2956500</v>
      </c>
      <c r="J76" s="81">
        <f t="shared" si="25"/>
        <v>-6.9000507356671736</v>
      </c>
      <c r="K76" s="5">
        <f>VLOOKUP($B76,'Data Vlaue (Cr)'!$C:$FB,99)</f>
        <v>5792</v>
      </c>
      <c r="L76" s="81">
        <f>VLOOKUP(B76,'OI(Value)'!$A$7:$C$209,3,0)</f>
        <v>11</v>
      </c>
      <c r="M76" s="33">
        <f t="shared" si="22"/>
        <v>0.18991712707182321</v>
      </c>
      <c r="N76" s="5">
        <f>VLOOKUP($B76,'Data Vlaue (Cr)'!$C:$FB,67)</f>
        <v>774</v>
      </c>
      <c r="O76" s="5">
        <f>VLOOKUP($B76,'Data Vlaue (Cr)'!$C:$FB,68)</f>
        <v>831</v>
      </c>
      <c r="P76" s="5">
        <f t="shared" si="26"/>
        <v>-7.3643410852713185</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4259.5</v>
      </c>
      <c r="D77" s="82">
        <f>VLOOKUP($B77,'Data shares'!$C:$FB,98)</f>
        <v>23843400</v>
      </c>
      <c r="E77" s="165">
        <f>VLOOKUP(B77,'Snapshot (Volume)'!$A$7:$G$168,7,0)</f>
        <v>24108750</v>
      </c>
      <c r="F77" s="165">
        <f t="shared" si="23"/>
        <v>-265350</v>
      </c>
      <c r="G77" s="166">
        <f t="shared" si="24"/>
        <v>-1.1006377352620937E-2</v>
      </c>
      <c r="H77" s="165">
        <f>VLOOKUP($B77,'Data shares'!$C:$FB,66)</f>
        <v>11170350</v>
      </c>
      <c r="I77" s="165">
        <f>VLOOKUP($B77,'Data shares'!$C:$FB,67)</f>
        <v>9669600</v>
      </c>
      <c r="J77" s="81">
        <f t="shared" si="25"/>
        <v>15.52029039463887</v>
      </c>
      <c r="K77" s="5">
        <f>VLOOKUP($B77,'Data Vlaue (Cr)'!$C:$FB,99)</f>
        <v>10164</v>
      </c>
      <c r="L77" s="81">
        <f>VLOOKUP(B77,'OI(Value)'!$A$7:$C$209,3,0)</f>
        <v>-113</v>
      </c>
      <c r="M77" s="33">
        <f t="shared" si="22"/>
        <v>-1.11176702085793</v>
      </c>
      <c r="N77" s="5">
        <f>VLOOKUP($B77,'Data Vlaue (Cr)'!$C:$FB,67)</f>
        <v>4762</v>
      </c>
      <c r="O77" s="5">
        <f>VLOOKUP($B77,'Data Vlaue (Cr)'!$C:$FB,68)</f>
        <v>4122</v>
      </c>
      <c r="P77" s="5">
        <f t="shared" si="26"/>
        <v>13.439731205375892</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1401.2</v>
      </c>
      <c r="D78" s="82">
        <f>VLOOKUP($B78,'Data shares'!$C:$FB,98)</f>
        <v>13075500</v>
      </c>
      <c r="E78" s="165">
        <f>VLOOKUP(B78,'Snapshot (Volume)'!$A$7:$G$168,7,0)</f>
        <v>13262000</v>
      </c>
      <c r="F78" s="165">
        <f t="shared" si="23"/>
        <v>-186500</v>
      </c>
      <c r="G78" s="166">
        <f t="shared" si="24"/>
        <v>-1.4062735635650732E-2</v>
      </c>
      <c r="H78" s="165">
        <f>VLOOKUP($B78,'Data shares'!$C:$FB,66)</f>
        <v>4572000</v>
      </c>
      <c r="I78" s="165">
        <f>VLOOKUP($B78,'Data shares'!$C:$FB,67)</f>
        <v>3960500</v>
      </c>
      <c r="J78" s="81">
        <f t="shared" si="25"/>
        <v>15.439969700795352</v>
      </c>
      <c r="K78" s="5">
        <f>VLOOKUP($B78,'Data Vlaue (Cr)'!$C:$FB,99)</f>
        <v>1836</v>
      </c>
      <c r="L78" s="81">
        <f>VLOOKUP(B78,'OI(Value)'!$A$7:$C$209,3,0)</f>
        <v>-26</v>
      </c>
      <c r="M78" s="33">
        <f t="shared" si="22"/>
        <v>-1.4161220043572984</v>
      </c>
      <c r="N78" s="5">
        <f>VLOOKUP($B78,'Data Vlaue (Cr)'!$C:$FB,67)</f>
        <v>642</v>
      </c>
      <c r="O78" s="5">
        <f>VLOOKUP($B78,'Data Vlaue (Cr)'!$C:$FB,68)</f>
        <v>556</v>
      </c>
      <c r="P78" s="5">
        <f t="shared" si="26"/>
        <v>13.395638629283487</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1661.4</v>
      </c>
      <c r="D79" s="82">
        <f>VLOOKUP($B79,'Data shares'!$C:$FB,98)</f>
        <v>29022350</v>
      </c>
      <c r="E79" s="165">
        <f>VLOOKUP(B79,'Snapshot (Volume)'!$A$7:$G$168,7,0)</f>
        <v>28630700</v>
      </c>
      <c r="F79" s="165">
        <f t="shared" si="23"/>
        <v>391650</v>
      </c>
      <c r="G79" s="166">
        <f t="shared" si="24"/>
        <v>1.3679372142490404E-2</v>
      </c>
      <c r="H79" s="165">
        <f>VLOOKUP($B79,'Data shares'!$C:$FB,66)</f>
        <v>16983400</v>
      </c>
      <c r="I79" s="165">
        <f>VLOOKUP($B79,'Data shares'!$C:$FB,67)</f>
        <v>9174900</v>
      </c>
      <c r="J79" s="81">
        <f t="shared" si="25"/>
        <v>85.107194628824288</v>
      </c>
      <c r="K79" s="5">
        <f>VLOOKUP($B79,'Data Vlaue (Cr)'!$C:$FB,99)</f>
        <v>4836</v>
      </c>
      <c r="L79" s="81">
        <f>VLOOKUP(B79,'OI(Value)'!$A$7:$C$209,3,0)</f>
        <v>65</v>
      </c>
      <c r="M79" s="33">
        <f t="shared" si="22"/>
        <v>1.3440860215053763</v>
      </c>
      <c r="N79" s="5">
        <f>VLOOKUP($B79,'Data Vlaue (Cr)'!$C:$FB,67)</f>
        <v>2830</v>
      </c>
      <c r="O79" s="5">
        <f>VLOOKUP($B79,'Data Vlaue (Cr)'!$C:$FB,68)</f>
        <v>1529</v>
      </c>
      <c r="P79" s="5">
        <f t="shared" si="26"/>
        <v>45.971731448763251</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2722.9</v>
      </c>
      <c r="D80" s="82">
        <f>VLOOKUP($B80,'Data shares'!$C:$FB,98)</f>
        <v>13017000</v>
      </c>
      <c r="E80" s="165">
        <f>VLOOKUP(B80,'Snapshot (Volume)'!$A$7:$G$168,7,0)</f>
        <v>8957400</v>
      </c>
      <c r="F80" s="165">
        <f t="shared" si="23"/>
        <v>4059600</v>
      </c>
      <c r="G80" s="166">
        <f t="shared" si="24"/>
        <v>0.45321186951570769</v>
      </c>
      <c r="H80" s="165">
        <f>VLOOKUP($B80,'Data shares'!$C:$FB,66)</f>
        <v>52314900</v>
      </c>
      <c r="I80" s="165">
        <f>VLOOKUP($B80,'Data shares'!$C:$FB,67)</f>
        <v>5461200</v>
      </c>
      <c r="J80" s="81">
        <f t="shared" si="25"/>
        <v>857.93781586464513</v>
      </c>
      <c r="K80" s="5">
        <f>VLOOKUP($B80,'Data Vlaue (Cr)'!$C:$FB,99)</f>
        <v>3557</v>
      </c>
      <c r="L80" s="81">
        <f>VLOOKUP(B80,'OI(Value)'!$A$7:$C$209,3,0)</f>
        <v>1109</v>
      </c>
      <c r="M80" s="33">
        <f t="shared" si="22"/>
        <v>31.177958954174866</v>
      </c>
      <c r="N80" s="5">
        <f>VLOOKUP($B80,'Data Vlaue (Cr)'!$C:$FB,67)</f>
        <v>14296</v>
      </c>
      <c r="O80" s="5">
        <f>VLOOKUP($B80,'Data Vlaue (Cr)'!$C:$FB,68)</f>
        <v>1492</v>
      </c>
      <c r="P80" s="5">
        <f t="shared" si="26"/>
        <v>89.5635142697258</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979.7</v>
      </c>
      <c r="D81" s="82">
        <f>VLOOKUP($B81,'Data shares'!$C:$FB,98)</f>
        <v>299363350</v>
      </c>
      <c r="E81" s="165">
        <f>VLOOKUP(B81,'Snapshot (Volume)'!$A$7:$G$168,7,0)</f>
        <v>292844200</v>
      </c>
      <c r="F81" s="165">
        <f t="shared" si="23"/>
        <v>6519150</v>
      </c>
      <c r="G81" s="166">
        <f t="shared" si="24"/>
        <v>2.2261496044654463E-2</v>
      </c>
      <c r="H81" s="165">
        <f>VLOOKUP($B81,'Data shares'!$C:$FB,66)</f>
        <v>109487400</v>
      </c>
      <c r="I81" s="165">
        <f>VLOOKUP($B81,'Data shares'!$C:$FB,67)</f>
        <v>104513200</v>
      </c>
      <c r="J81" s="81">
        <f t="shared" si="25"/>
        <v>4.7593988127815434</v>
      </c>
      <c r="K81" s="5">
        <f>VLOOKUP($B81,'Data Vlaue (Cr)'!$C:$FB,99)</f>
        <v>29400</v>
      </c>
      <c r="L81" s="81">
        <f>VLOOKUP(B81,'OI(Value)'!$A$7:$C$209,3,0)</f>
        <v>640</v>
      </c>
      <c r="M81" s="33">
        <f t="shared" si="22"/>
        <v>2.1768707482993195</v>
      </c>
      <c r="N81" s="5">
        <f>VLOOKUP($B81,'Data Vlaue (Cr)'!$C:$FB,67)</f>
        <v>10753</v>
      </c>
      <c r="O81" s="5">
        <f>VLOOKUP($B81,'Data Vlaue (Cr)'!$C:$FB,68)</f>
        <v>10264</v>
      </c>
      <c r="P81" s="5">
        <f t="shared" si="26"/>
        <v>4.5475681205245051</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757</v>
      </c>
      <c r="D82" s="82">
        <f>VLOOKUP($B82,'Data shares'!$C:$FB,98)</f>
        <v>59021600</v>
      </c>
      <c r="E82" s="165">
        <f>VLOOKUP(B82,'Snapshot (Volume)'!$A$7:$G$168,7,0)</f>
        <v>59710200</v>
      </c>
      <c r="F82" s="165">
        <f t="shared" si="23"/>
        <v>-688600</v>
      </c>
      <c r="G82" s="166">
        <f t="shared" si="24"/>
        <v>-1.1532368004126598E-2</v>
      </c>
      <c r="H82" s="165">
        <f>VLOOKUP($B82,'Data shares'!$C:$FB,66)</f>
        <v>18846300</v>
      </c>
      <c r="I82" s="165">
        <f>VLOOKUP($B82,'Data shares'!$C:$FB,67)</f>
        <v>44337700</v>
      </c>
      <c r="J82" s="81">
        <f t="shared" si="25"/>
        <v>-57.493735579427899</v>
      </c>
      <c r="K82" s="5">
        <f>VLOOKUP($B82,'Data Vlaue (Cr)'!$C:$FB,99)</f>
        <v>4478</v>
      </c>
      <c r="L82" s="81">
        <f>VLOOKUP(B82,'OI(Value)'!$A$7:$C$209,3,0)</f>
        <v>-52</v>
      </c>
      <c r="M82" s="33">
        <f t="shared" si="22"/>
        <v>-1.1612326931665922</v>
      </c>
      <c r="N82" s="5">
        <f>VLOOKUP($B82,'Data Vlaue (Cr)'!$C:$FB,67)</f>
        <v>1430</v>
      </c>
      <c r="O82" s="5">
        <f>VLOOKUP($B82,'Data Vlaue (Cr)'!$C:$FB,68)</f>
        <v>3364</v>
      </c>
      <c r="P82" s="5">
        <f t="shared" si="26"/>
        <v>-135.24475524475525</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5748.5</v>
      </c>
      <c r="D83" s="82">
        <f>VLOOKUP($B83,'Data shares'!$C:$FB,98)</f>
        <v>13477350</v>
      </c>
      <c r="E83" s="165">
        <f>VLOOKUP(B83,'Snapshot (Volume)'!$A$7:$G$168,7,0)</f>
        <v>11787300</v>
      </c>
      <c r="F83" s="165">
        <f t="shared" si="23"/>
        <v>1690050</v>
      </c>
      <c r="G83" s="166">
        <f t="shared" si="24"/>
        <v>0.14337889084014152</v>
      </c>
      <c r="H83" s="165">
        <f>VLOOKUP($B83,'Data shares'!$C:$FB,66)</f>
        <v>26961750</v>
      </c>
      <c r="I83" s="165">
        <f>VLOOKUP($B83,'Data shares'!$C:$FB,67)</f>
        <v>13040550</v>
      </c>
      <c r="J83" s="81">
        <f t="shared" si="25"/>
        <v>106.75316608578626</v>
      </c>
      <c r="K83" s="5">
        <f>VLOOKUP($B83,'Data Vlaue (Cr)'!$C:$FB,99)</f>
        <v>7749</v>
      </c>
      <c r="L83" s="81">
        <f>VLOOKUP(B83,'OI(Value)'!$A$7:$C$209,3,0)</f>
        <v>972</v>
      </c>
      <c r="M83" s="33">
        <f t="shared" si="22"/>
        <v>12.543554006968641</v>
      </c>
      <c r="N83" s="5">
        <f>VLOOKUP($B83,'Data Vlaue (Cr)'!$C:$FB,67)</f>
        <v>15502</v>
      </c>
      <c r="O83" s="5">
        <f>VLOOKUP($B83,'Data Vlaue (Cr)'!$C:$FB,68)</f>
        <v>7498</v>
      </c>
      <c r="P83" s="5">
        <f t="shared" si="26"/>
        <v>51.632047477744806</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Technology</v>
      </c>
      <c r="B84" s="79" t="str">
        <f>'Data shares'!C79</f>
        <v>HFCL</v>
      </c>
      <c r="C84" s="4">
        <f>VLOOKUP($B84,'Data shares'!$C:$FB,7)</f>
        <v>64.62</v>
      </c>
      <c r="D84" s="82">
        <f>VLOOKUP($B84,'Data shares'!$C:$FB,98)</f>
        <v>210121650</v>
      </c>
      <c r="E84" s="165">
        <f>VLOOKUP(B84,'Snapshot (Volume)'!$A$7:$G$168,7,0)</f>
        <v>213024150</v>
      </c>
      <c r="F84" s="165">
        <f t="shared" si="23"/>
        <v>-2902500</v>
      </c>
      <c r="G84" s="166">
        <f t="shared" si="24"/>
        <v>-1.3625215732582432E-2</v>
      </c>
      <c r="H84" s="165">
        <f>VLOOKUP($B84,'Data shares'!$C:$FB,66)</f>
        <v>48484650</v>
      </c>
      <c r="I84" s="165">
        <f>VLOOKUP($B84,'Data shares'!$C:$FB,67)</f>
        <v>56927700</v>
      </c>
      <c r="J84" s="81">
        <f t="shared" si="25"/>
        <v>-14.83118060276456</v>
      </c>
      <c r="K84" s="5">
        <f>VLOOKUP($B84,'Data Vlaue (Cr)'!$C:$FB,99)</f>
        <v>1361</v>
      </c>
      <c r="L84" s="81">
        <f>VLOOKUP(B84,'OI(Value)'!$A$7:$C$209,3,0)</f>
        <v>-19</v>
      </c>
      <c r="M84" s="33">
        <f t="shared" si="22"/>
        <v>-1.3960323291697281</v>
      </c>
      <c r="N84" s="5">
        <f>VLOOKUP($B84,'Data Vlaue (Cr)'!$C:$FB,67)</f>
        <v>314</v>
      </c>
      <c r="O84" s="5">
        <f>VLOOKUP($B84,'Data Vlaue (Cr)'!$C:$FB,68)</f>
        <v>369</v>
      </c>
      <c r="P84" s="5">
        <f t="shared" si="26"/>
        <v>-17.515923566878978</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Metals</v>
      </c>
      <c r="B85" s="79" t="str">
        <f>'Data shares'!C80</f>
        <v>HINDALCO</v>
      </c>
      <c r="C85" s="4">
        <f>VLOOKUP($B85,'Data shares'!$C:$FB,7)</f>
        <v>856.7</v>
      </c>
      <c r="D85" s="82">
        <f>VLOOKUP($B85,'Data shares'!$C:$FB,98)</f>
        <v>106062600</v>
      </c>
      <c r="E85" s="165">
        <f>VLOOKUP(B85,'Snapshot (Volume)'!$A$7:$G$168,7,0)</f>
        <v>105156800</v>
      </c>
      <c r="F85" s="165">
        <f t="shared" si="23"/>
        <v>905800</v>
      </c>
      <c r="G85" s="166">
        <f t="shared" si="24"/>
        <v>8.6138033869421655E-3</v>
      </c>
      <c r="H85" s="165">
        <f>VLOOKUP($B85,'Data shares'!$C:$FB,66)</f>
        <v>72985500</v>
      </c>
      <c r="I85" s="165">
        <f>VLOOKUP($B85,'Data shares'!$C:$FB,67)</f>
        <v>46651500</v>
      </c>
      <c r="J85" s="81">
        <f t="shared" si="25"/>
        <v>56.44834571235652</v>
      </c>
      <c r="K85" s="5">
        <f>VLOOKUP($B85,'Data Vlaue (Cr)'!$C:$FB,99)</f>
        <v>9100</v>
      </c>
      <c r="L85" s="81">
        <f>VLOOKUP(B85,'OI(Value)'!$A$7:$C$209,3,0)</f>
        <v>78</v>
      </c>
      <c r="M85" s="33">
        <f t="shared" si="22"/>
        <v>0.85714285714285721</v>
      </c>
      <c r="N85" s="5">
        <f>VLOOKUP($B85,'Data Vlaue (Cr)'!$C:$FB,67)</f>
        <v>6262</v>
      </c>
      <c r="O85" s="5">
        <f>VLOOKUP($B85,'Data Vlaue (Cr)'!$C:$FB,68)</f>
        <v>4003</v>
      </c>
      <c r="P85" s="5">
        <f t="shared" si="26"/>
        <v>36.074736505908653</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Oil_Gas</v>
      </c>
      <c r="B86" s="79" t="str">
        <f>'Data shares'!C81</f>
        <v>HINDPETRO</v>
      </c>
      <c r="C86" s="4">
        <f>VLOOKUP($B86,'Data shares'!$C:$FB,7)</f>
        <v>464</v>
      </c>
      <c r="D86" s="82">
        <f>VLOOKUP($B86,'Data shares'!$C:$FB,98)</f>
        <v>62353800</v>
      </c>
      <c r="E86" s="165">
        <f>VLOOKUP(B86,'Snapshot (Volume)'!$A$7:$G$168,7,0)</f>
        <v>62210025</v>
      </c>
      <c r="F86" s="165">
        <f t="shared" ref="F86:F96" si="27">D86-E86</f>
        <v>143775</v>
      </c>
      <c r="G86" s="166">
        <f t="shared" ref="G86:G96" si="28">F86/E86</f>
        <v>2.311122684808437E-3</v>
      </c>
      <c r="H86" s="165">
        <f>VLOOKUP($B86,'Data shares'!$C:$FB,66)</f>
        <v>21610800</v>
      </c>
      <c r="I86" s="165">
        <f>VLOOKUP($B86,'Data shares'!$C:$FB,67)</f>
        <v>31142475</v>
      </c>
      <c r="J86" s="81">
        <f t="shared" ref="J86:J96" si="29">(H86-I86)/I86*100</f>
        <v>-30.6066714350738</v>
      </c>
      <c r="K86" s="5">
        <f>VLOOKUP($B86,'Data Vlaue (Cr)'!$C:$FB,99)</f>
        <v>2897</v>
      </c>
      <c r="L86" s="81">
        <f>VLOOKUP(B86,'OI(Value)'!$A$7:$C$209,3,0)</f>
        <v>7</v>
      </c>
      <c r="M86" s="33">
        <f t="shared" si="22"/>
        <v>0.24162927166033829</v>
      </c>
      <c r="N86" s="5">
        <f>VLOOKUP($B86,'Data Vlaue (Cr)'!$C:$FB,67)</f>
        <v>1004</v>
      </c>
      <c r="O86" s="5">
        <f>VLOOKUP($B86,'Data Vlaue (Cr)'!$C:$FB,68)</f>
        <v>1447</v>
      </c>
      <c r="P86" s="5">
        <f t="shared" ref="P86:P96" si="30">(N86-O86)/N86*100</f>
        <v>-44.123505976095615</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FMCG</v>
      </c>
      <c r="B87" s="79" t="str">
        <f>'Data shares'!C82</f>
        <v>HINDUNILVR</v>
      </c>
      <c r="C87" s="4">
        <f>VLOOKUP($B87,'Data shares'!$C:$FB,7)</f>
        <v>2265.5</v>
      </c>
      <c r="D87" s="82">
        <f>VLOOKUP($B87,'Data shares'!$C:$FB,98)</f>
        <v>21959400</v>
      </c>
      <c r="E87" s="165">
        <f>VLOOKUP(B87,'Snapshot (Volume)'!$A$7:$G$168,7,0)</f>
        <v>21006300</v>
      </c>
      <c r="F87" s="165">
        <f t="shared" si="27"/>
        <v>953100</v>
      </c>
      <c r="G87" s="166">
        <f t="shared" si="28"/>
        <v>4.5372102654917812E-2</v>
      </c>
      <c r="H87" s="165">
        <f>VLOOKUP($B87,'Data shares'!$C:$FB,66)</f>
        <v>10076400</v>
      </c>
      <c r="I87" s="165">
        <f>VLOOKUP($B87,'Data shares'!$C:$FB,67)</f>
        <v>8140500</v>
      </c>
      <c r="J87" s="81">
        <f t="shared" si="29"/>
        <v>23.781094527363184</v>
      </c>
      <c r="K87" s="5">
        <f>VLOOKUP($B87,'Data Vlaue (Cr)'!$C:$FB,99)</f>
        <v>4975</v>
      </c>
      <c r="L87" s="81">
        <f>VLOOKUP(B87,'OI(Value)'!$A$7:$C$209,3,0)</f>
        <v>216</v>
      </c>
      <c r="M87" s="33">
        <f t="shared" si="22"/>
        <v>4.3417085427135671</v>
      </c>
      <c r="N87" s="5">
        <f>VLOOKUP($B87,'Data Vlaue (Cr)'!$C:$FB,67)</f>
        <v>2283</v>
      </c>
      <c r="O87" s="5">
        <f>VLOOKUP($B87,'Data Vlaue (Cr)'!$C:$FB,68)</f>
        <v>1844</v>
      </c>
      <c r="P87" s="5">
        <f t="shared" si="30"/>
        <v>19.229084537888745</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HINDZINC</v>
      </c>
      <c r="C88" s="4">
        <f>VLOOKUP($B88,'Data shares'!$C:$FB,7)</f>
        <v>592.15</v>
      </c>
      <c r="D88" s="82">
        <f>VLOOKUP($B88,'Data shares'!$C:$FB,98)</f>
        <v>124238275</v>
      </c>
      <c r="E88" s="165">
        <f>VLOOKUP(B88,'Snapshot (Volume)'!$A$7:$G$168,7,0)</f>
        <v>122618825</v>
      </c>
      <c r="F88" s="165">
        <f t="shared" si="27"/>
        <v>1619450</v>
      </c>
      <c r="G88" s="166">
        <f t="shared" si="28"/>
        <v>1.3207189026644155E-2</v>
      </c>
      <c r="H88" s="165">
        <f>VLOOKUP($B88,'Data shares'!$C:$FB,66)</f>
        <v>220165575</v>
      </c>
      <c r="I88" s="165">
        <f>VLOOKUP($B88,'Data shares'!$C:$FB,67)</f>
        <v>308184275</v>
      </c>
      <c r="J88" s="81">
        <f t="shared" si="29"/>
        <v>-28.560412435060162</v>
      </c>
      <c r="K88" s="5">
        <f>VLOOKUP($B88,'Data Vlaue (Cr)'!$C:$FB,99)</f>
        <v>7359</v>
      </c>
      <c r="L88" s="81">
        <f>VLOOKUP(B88,'OI(Value)'!$A$7:$C$209,3,0)</f>
        <v>96</v>
      </c>
      <c r="M88" s="33">
        <f t="shared" si="22"/>
        <v>1.3045250713412149</v>
      </c>
      <c r="N88" s="5">
        <f>VLOOKUP($B88,'Data Vlaue (Cr)'!$C:$FB,67)</f>
        <v>13042</v>
      </c>
      <c r="O88" s="5">
        <f>VLOOKUP($B88,'Data Vlaue (Cr)'!$C:$FB,68)</f>
        <v>18255</v>
      </c>
      <c r="P88" s="5">
        <f t="shared" si="30"/>
        <v>-39.970863364514649</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Realty</v>
      </c>
      <c r="B89" s="79" t="str">
        <f>'Data shares'!C84</f>
        <v>HUDCO</v>
      </c>
      <c r="C89" s="4">
        <f>VLOOKUP($B89,'Data shares'!$C:$FB,7)</f>
        <v>206.9</v>
      </c>
      <c r="D89" s="82">
        <f>VLOOKUP($B89,'Data shares'!$C:$FB,98)</f>
        <v>95526600</v>
      </c>
      <c r="E89" s="165">
        <f>VLOOKUP(B89,'Snapshot (Volume)'!$A$7:$G$168,7,0)</f>
        <v>94841175</v>
      </c>
      <c r="F89" s="165">
        <f t="shared" si="27"/>
        <v>685425</v>
      </c>
      <c r="G89" s="166">
        <f t="shared" si="28"/>
        <v>7.2270825408900724E-3</v>
      </c>
      <c r="H89" s="165">
        <f>VLOOKUP($B89,'Data shares'!$C:$FB,66)</f>
        <v>57201075</v>
      </c>
      <c r="I89" s="165">
        <f>VLOOKUP($B89,'Data shares'!$C:$FB,67)</f>
        <v>36424650</v>
      </c>
      <c r="J89" s="81">
        <f t="shared" si="29"/>
        <v>57.039463659911625</v>
      </c>
      <c r="K89" s="5">
        <f>VLOOKUP($B89,'Data Vlaue (Cr)'!$C:$FB,99)</f>
        <v>1978</v>
      </c>
      <c r="L89" s="81">
        <f>VLOOKUP(B89,'OI(Value)'!$A$7:$C$209,3,0)</f>
        <v>14</v>
      </c>
      <c r="M89" s="33">
        <f t="shared" si="22"/>
        <v>0.70778564206268957</v>
      </c>
      <c r="N89" s="5">
        <f>VLOOKUP($B89,'Data Vlaue (Cr)'!$C:$FB,67)</f>
        <v>1184</v>
      </c>
      <c r="O89" s="5">
        <f>VLOOKUP($B89,'Data Vlaue (Cr)'!$C:$FB,68)</f>
        <v>754</v>
      </c>
      <c r="P89" s="5">
        <f t="shared" si="30"/>
        <v>36.317567567567565</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Banking</v>
      </c>
      <c r="B90" s="79" t="str">
        <f>'Data shares'!C85</f>
        <v>ICICIBANK</v>
      </c>
      <c r="C90" s="4">
        <f>VLOOKUP($B90,'Data shares'!$C:$FB,7)</f>
        <v>1356.8</v>
      </c>
      <c r="D90" s="82">
        <f>VLOOKUP($B90,'Data shares'!$C:$FB,98)</f>
        <v>185916500</v>
      </c>
      <c r="E90" s="165">
        <f>VLOOKUP(B90,'Snapshot (Volume)'!$A$7:$G$168,7,0)</f>
        <v>187032300</v>
      </c>
      <c r="F90" s="165">
        <f t="shared" si="27"/>
        <v>-1115800</v>
      </c>
      <c r="G90" s="166">
        <f t="shared" si="28"/>
        <v>-5.9658144609246637E-3</v>
      </c>
      <c r="H90" s="165">
        <f>VLOOKUP($B90,'Data shares'!$C:$FB,66)</f>
        <v>107546600</v>
      </c>
      <c r="I90" s="165">
        <f>VLOOKUP($B90,'Data shares'!$C:$FB,67)</f>
        <v>106170400</v>
      </c>
      <c r="J90" s="81">
        <f t="shared" si="29"/>
        <v>1.296218154965979</v>
      </c>
      <c r="K90" s="5">
        <f>VLOOKUP($B90,'Data Vlaue (Cr)'!$C:$FB,99)</f>
        <v>25275</v>
      </c>
      <c r="L90" s="81">
        <f>VLOOKUP(B90,'OI(Value)'!$A$7:$C$209,3,0)</f>
        <v>-152</v>
      </c>
      <c r="M90" s="33">
        <f t="shared" si="22"/>
        <v>-0.60138476755687431</v>
      </c>
      <c r="N90" s="5">
        <f>VLOOKUP($B90,'Data Vlaue (Cr)'!$C:$FB,67)</f>
        <v>14621</v>
      </c>
      <c r="O90" s="5">
        <f>VLOOKUP($B90,'Data Vlaue (Cr)'!$C:$FB,68)</f>
        <v>14434</v>
      </c>
      <c r="P90" s="5">
        <f t="shared" si="30"/>
        <v>1.2789822857533684</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ICICIGI</v>
      </c>
      <c r="C91" s="4">
        <f>VLOOKUP($B91,'Data shares'!$C:$FB,7)</f>
        <v>1949.8</v>
      </c>
      <c r="D91" s="82">
        <f>VLOOKUP($B91,'Data shares'!$C:$FB,98)</f>
        <v>8722025</v>
      </c>
      <c r="E91" s="165">
        <f>VLOOKUP(B91,'Snapshot (Volume)'!$A$7:$G$168,7,0)</f>
        <v>8750625</v>
      </c>
      <c r="F91" s="165">
        <f t="shared" si="27"/>
        <v>-28600</v>
      </c>
      <c r="G91" s="166">
        <f t="shared" si="28"/>
        <v>-3.2683379758588673E-3</v>
      </c>
      <c r="H91" s="165">
        <f>VLOOKUP($B91,'Data shares'!$C:$FB,66)</f>
        <v>1664975</v>
      </c>
      <c r="I91" s="165">
        <f>VLOOKUP($B91,'Data shares'!$C:$FB,67)</f>
        <v>1707550</v>
      </c>
      <c r="J91" s="81">
        <f t="shared" si="29"/>
        <v>-2.4933384088313666</v>
      </c>
      <c r="K91" s="5">
        <f>VLOOKUP($B91,'Data Vlaue (Cr)'!$C:$FB,99)</f>
        <v>1705</v>
      </c>
      <c r="L91" s="81">
        <f>VLOOKUP(B91,'OI(Value)'!$A$7:$C$209,3,0)</f>
        <v>-6</v>
      </c>
      <c r="M91" s="33">
        <f t="shared" si="22"/>
        <v>-0.35190615835777128</v>
      </c>
      <c r="N91" s="5">
        <f>VLOOKUP($B91,'Data Vlaue (Cr)'!$C:$FB,67)</f>
        <v>326</v>
      </c>
      <c r="O91" s="5">
        <f>VLOOKUP($B91,'Data Vlaue (Cr)'!$C:$FB,68)</f>
        <v>334</v>
      </c>
      <c r="P91" s="5">
        <f t="shared" si="30"/>
        <v>-2.4539877300613497</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Finance</v>
      </c>
      <c r="B92" s="79" t="str">
        <f>'Data shares'!C87</f>
        <v>ICICIPRULI</v>
      </c>
      <c r="C92" s="4">
        <f>VLOOKUP($B92,'Data shares'!$C:$FB,7)</f>
        <v>645.65</v>
      </c>
      <c r="D92" s="82">
        <f>VLOOKUP($B92,'Data shares'!$C:$FB,98)</f>
        <v>23618025</v>
      </c>
      <c r="E92" s="165">
        <f>VLOOKUP(B92,'Snapshot (Volume)'!$A$7:$G$168,7,0)</f>
        <v>23253575</v>
      </c>
      <c r="F92" s="165">
        <f t="shared" si="27"/>
        <v>364450</v>
      </c>
      <c r="G92" s="166">
        <f t="shared" si="28"/>
        <v>1.5672858904491029E-2</v>
      </c>
      <c r="H92" s="165">
        <f>VLOOKUP($B92,'Data shares'!$C:$FB,66)</f>
        <v>10422900</v>
      </c>
      <c r="I92" s="165">
        <f>VLOOKUP($B92,'Data shares'!$C:$FB,67)</f>
        <v>5757200</v>
      </c>
      <c r="J92" s="81">
        <f t="shared" si="29"/>
        <v>81.041131105398449</v>
      </c>
      <c r="K92" s="5">
        <f>VLOOKUP($B92,'Data Vlaue (Cr)'!$C:$FB,99)</f>
        <v>1528</v>
      </c>
      <c r="L92" s="81">
        <f>VLOOKUP(B92,'OI(Value)'!$A$7:$C$209,3,0)</f>
        <v>24</v>
      </c>
      <c r="M92" s="33">
        <f t="shared" si="22"/>
        <v>1.5706806282722512</v>
      </c>
      <c r="N92" s="5">
        <f>VLOOKUP($B92,'Data Vlaue (Cr)'!$C:$FB,67)</f>
        <v>674</v>
      </c>
      <c r="O92" s="5">
        <f>VLOOKUP($B92,'Data Vlaue (Cr)'!$C:$FB,68)</f>
        <v>372</v>
      </c>
      <c r="P92" s="5">
        <f t="shared" si="30"/>
        <v>44.807121661721069</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Telecom</v>
      </c>
      <c r="B93" s="79" t="str">
        <f>'Data shares'!C88</f>
        <v>IDEA</v>
      </c>
      <c r="C93" s="4">
        <f>VLOOKUP($B93,'Data shares'!$C:$FB,7)</f>
        <v>11.3</v>
      </c>
      <c r="D93" s="82">
        <f>VLOOKUP($B93,'Data shares'!$C:$FB,98)</f>
        <v>10587091425</v>
      </c>
      <c r="E93" s="165">
        <f>VLOOKUP(B93,'Snapshot (Volume)'!$A$7:$G$168,7,0)</f>
        <v>10632906900</v>
      </c>
      <c r="F93" s="165">
        <f t="shared" si="27"/>
        <v>-45815475</v>
      </c>
      <c r="G93" s="166">
        <f t="shared" si="28"/>
        <v>-4.3088381597698368E-3</v>
      </c>
      <c r="H93" s="165">
        <f>VLOOKUP($B93,'Data shares'!$C:$FB,66)</f>
        <v>5891827200</v>
      </c>
      <c r="I93" s="165">
        <f>VLOOKUP($B93,'Data shares'!$C:$FB,67)</f>
        <v>3211157325</v>
      </c>
      <c r="J93" s="81">
        <f t="shared" si="29"/>
        <v>83.479867340352129</v>
      </c>
      <c r="K93" s="5">
        <f>VLOOKUP($B93,'Data Vlaue (Cr)'!$C:$FB,99)</f>
        <v>12016</v>
      </c>
      <c r="L93" s="81">
        <f>VLOOKUP(B93,'OI(Value)'!$A$7:$C$209,3,0)</f>
        <v>-52</v>
      </c>
      <c r="M93" s="33">
        <f t="shared" si="22"/>
        <v>-0.4327563249001331</v>
      </c>
      <c r="N93" s="5">
        <f>VLOOKUP($B93,'Data Vlaue (Cr)'!$C:$FB,67)</f>
        <v>6687</v>
      </c>
      <c r="O93" s="5">
        <f>VLOOKUP($B93,'Data Vlaue (Cr)'!$C:$FB,68)</f>
        <v>3645</v>
      </c>
      <c r="P93" s="5">
        <f t="shared" si="30"/>
        <v>45.491251682368777</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Banking</v>
      </c>
      <c r="B94" s="79" t="str">
        <f>'Data shares'!C89</f>
        <v>IDFCFIRSTB</v>
      </c>
      <c r="C94" s="4">
        <f>VLOOKUP($B94,'Data shares'!$C:$FB,7)</f>
        <v>83.79</v>
      </c>
      <c r="D94" s="82">
        <f>VLOOKUP($B94,'Data shares'!$C:$FB,98)</f>
        <v>586977650</v>
      </c>
      <c r="E94" s="165">
        <f>VLOOKUP(B94,'Snapshot (Volume)'!$A$7:$G$168,7,0)</f>
        <v>580744850</v>
      </c>
      <c r="F94" s="165">
        <f t="shared" si="27"/>
        <v>6232800</v>
      </c>
      <c r="G94" s="166">
        <f t="shared" si="28"/>
        <v>1.0732424058517265E-2</v>
      </c>
      <c r="H94" s="165">
        <f>VLOOKUP($B94,'Data shares'!$C:$FB,66)</f>
        <v>240278150</v>
      </c>
      <c r="I94" s="165">
        <f>VLOOKUP($B94,'Data shares'!$C:$FB,67)</f>
        <v>167552875</v>
      </c>
      <c r="J94" s="81">
        <f t="shared" si="29"/>
        <v>43.404373097149183</v>
      </c>
      <c r="K94" s="5">
        <f>VLOOKUP($B94,'Data Vlaue (Cr)'!$C:$FB,99)</f>
        <v>4923</v>
      </c>
      <c r="L94" s="81">
        <f>VLOOKUP(B94,'OI(Value)'!$A$7:$C$209,3,0)</f>
        <v>52</v>
      </c>
      <c r="M94" s="33">
        <f t="shared" ref="M94:M122" si="31">L94/K94*100</f>
        <v>1.0562665041641277</v>
      </c>
      <c r="N94" s="5">
        <f>VLOOKUP($B94,'Data Vlaue (Cr)'!$C:$FB,67)</f>
        <v>2015</v>
      </c>
      <c r="O94" s="5">
        <f>VLOOKUP($B94,'Data Vlaue (Cr)'!$C:$FB,68)</f>
        <v>1405</v>
      </c>
      <c r="P94" s="5">
        <f t="shared" si="30"/>
        <v>30.272952853598017</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Power</v>
      </c>
      <c r="B95" s="79" t="str">
        <f>'Data shares'!C90</f>
        <v>IEX</v>
      </c>
      <c r="C95" s="4">
        <f>VLOOKUP($B95,'Data shares'!$C:$FB,7)</f>
        <v>139.76</v>
      </c>
      <c r="D95" s="82">
        <f>VLOOKUP($B95,'Data shares'!$C:$FB,98)</f>
        <v>137838750</v>
      </c>
      <c r="E95" s="165">
        <f>VLOOKUP(B95,'Snapshot (Volume)'!$A$7:$G$168,7,0)</f>
        <v>137433750</v>
      </c>
      <c r="F95" s="165">
        <f t="shared" si="27"/>
        <v>405000</v>
      </c>
      <c r="G95" s="166">
        <f t="shared" si="28"/>
        <v>2.946874403121504E-3</v>
      </c>
      <c r="H95" s="165">
        <f>VLOOKUP($B95,'Data shares'!$C:$FB,66)</f>
        <v>36772500</v>
      </c>
      <c r="I95" s="165">
        <f>VLOOKUP($B95,'Data shares'!$C:$FB,67)</f>
        <v>22845000</v>
      </c>
      <c r="J95" s="81">
        <f t="shared" si="29"/>
        <v>60.965200262639527</v>
      </c>
      <c r="K95" s="5">
        <f>VLOOKUP($B95,'Data Vlaue (Cr)'!$C:$FB,99)</f>
        <v>1931</v>
      </c>
      <c r="L95" s="81">
        <f>VLOOKUP(B95,'OI(Value)'!$A$7:$C$209,3,0)</f>
        <v>6</v>
      </c>
      <c r="M95" s="33">
        <f t="shared" si="31"/>
        <v>0.31071983428275507</v>
      </c>
      <c r="N95" s="5">
        <f>VLOOKUP($B95,'Data Vlaue (Cr)'!$C:$FB,67)</f>
        <v>515</v>
      </c>
      <c r="O95" s="5">
        <f>VLOOKUP($B95,'Data Vlaue (Cr)'!$C:$FB,68)</f>
        <v>320</v>
      </c>
      <c r="P95" s="5">
        <f t="shared" si="30"/>
        <v>37.864077669902912</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Finance</v>
      </c>
      <c r="B96" s="79" t="str">
        <f>'Data shares'!C91</f>
        <v>IIFL</v>
      </c>
      <c r="C96" s="4">
        <f>VLOOKUP($B96,'Data shares'!$C:$FB,7)</f>
        <v>560.5</v>
      </c>
      <c r="D96" s="82">
        <f>VLOOKUP($B96,'Data shares'!$C:$FB,98)</f>
        <v>23979450</v>
      </c>
      <c r="E96" s="165">
        <f>VLOOKUP(B96,'Snapshot (Volume)'!$A$7:$G$168,7,0)</f>
        <v>24276450</v>
      </c>
      <c r="F96" s="165">
        <f t="shared" si="27"/>
        <v>-297000</v>
      </c>
      <c r="G96" s="166">
        <f t="shared" si="28"/>
        <v>-1.2234078705906341E-2</v>
      </c>
      <c r="H96" s="165">
        <f>VLOOKUP($B96,'Data shares'!$C:$FB,66)</f>
        <v>13079550</v>
      </c>
      <c r="I96" s="165">
        <f>VLOOKUP($B96,'Data shares'!$C:$FB,67)</f>
        <v>13411200</v>
      </c>
      <c r="J96" s="81">
        <f t="shared" si="29"/>
        <v>-2.4729330708661417</v>
      </c>
      <c r="K96" s="5">
        <f>VLOOKUP($B96,'Data Vlaue (Cr)'!$C:$FB,99)</f>
        <v>1347</v>
      </c>
      <c r="L96" s="81">
        <f>VLOOKUP(B96,'OI(Value)'!$A$7:$C$209,3,0)</f>
        <v>-17</v>
      </c>
      <c r="M96" s="33">
        <f t="shared" si="31"/>
        <v>-1.2620638455827766</v>
      </c>
      <c r="N96" s="5">
        <f>VLOOKUP($B96,'Data Vlaue (Cr)'!$C:$FB,67)</f>
        <v>735</v>
      </c>
      <c r="O96" s="5">
        <f>VLOOKUP($B96,'Data Vlaue (Cr)'!$C:$FB,68)</f>
        <v>754</v>
      </c>
      <c r="P96" s="5">
        <f t="shared" si="30"/>
        <v>-2.5850340136054419</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Realty</v>
      </c>
      <c r="B97" s="79" t="str">
        <f>'Data shares'!C92</f>
        <v>INDHOTEL</v>
      </c>
      <c r="C97" s="4">
        <f>VLOOKUP($B97,'Data shares'!$C:$FB,7)</f>
        <v>722</v>
      </c>
      <c r="D97" s="82">
        <f>VLOOKUP($B97,'Data shares'!$C:$FB,98)</f>
        <v>44430000</v>
      </c>
      <c r="E97" s="165">
        <f>VLOOKUP(B97,'Snapshot (Volume)'!$A$7:$G$168,7,0)</f>
        <v>44786000</v>
      </c>
      <c r="F97" s="165">
        <f t="shared" ref="F97:F105" si="32">D97-E97</f>
        <v>-356000</v>
      </c>
      <c r="G97" s="166">
        <f t="shared" ref="G97:G105" si="33">F97/E97</f>
        <v>-7.9489126066181401E-3</v>
      </c>
      <c r="H97" s="165">
        <f>VLOOKUP($B97,'Data shares'!$C:$FB,66)</f>
        <v>17548000</v>
      </c>
      <c r="I97" s="165">
        <f>VLOOKUP($B97,'Data shares'!$C:$FB,67)</f>
        <v>15794000</v>
      </c>
      <c r="J97" s="81">
        <f t="shared" ref="J97:J105" si="34">(H97-I97)/I97*100</f>
        <v>11.105483094846145</v>
      </c>
      <c r="K97" s="5">
        <f>VLOOKUP($B97,'Data Vlaue (Cr)'!$C:$FB,99)</f>
        <v>3217</v>
      </c>
      <c r="L97" s="81">
        <f>VLOOKUP(B97,'OI(Value)'!$A$7:$C$209,3,0)</f>
        <v>-26</v>
      </c>
      <c r="M97" s="33">
        <f t="shared" si="31"/>
        <v>-0.80820640348150452</v>
      </c>
      <c r="N97" s="5">
        <f>VLOOKUP($B97,'Data Vlaue (Cr)'!$C:$FB,67)</f>
        <v>1271</v>
      </c>
      <c r="O97" s="5">
        <f>VLOOKUP($B97,'Data Vlaue (Cr)'!$C:$FB,68)</f>
        <v>1144</v>
      </c>
      <c r="P97" s="5">
        <f t="shared" ref="P97:P105" si="35">(N97-O97)/N97*100</f>
        <v>9.99213217938631</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Banking</v>
      </c>
      <c r="B98" s="79" t="str">
        <f>'Data shares'!C93</f>
        <v>INDIANB</v>
      </c>
      <c r="C98" s="4">
        <f>VLOOKUP($B98,'Data shares'!$C:$FB,7)</f>
        <v>777.85</v>
      </c>
      <c r="D98" s="82">
        <f>VLOOKUP($B98,'Data shares'!$C:$FB,98)</f>
        <v>29105000</v>
      </c>
      <c r="E98" s="165">
        <f>VLOOKUP(B98,'Snapshot (Volume)'!$A$7:$G$168,7,0)</f>
        <v>29351000</v>
      </c>
      <c r="F98" s="165">
        <f t="shared" si="32"/>
        <v>-246000</v>
      </c>
      <c r="G98" s="166">
        <f t="shared" si="33"/>
        <v>-8.3813157984395769E-3</v>
      </c>
      <c r="H98" s="165">
        <f>VLOOKUP($B98,'Data shares'!$C:$FB,66)</f>
        <v>8069000</v>
      </c>
      <c r="I98" s="165">
        <f>VLOOKUP($B98,'Data shares'!$C:$FB,67)</f>
        <v>8025000</v>
      </c>
      <c r="J98" s="81">
        <f t="shared" si="34"/>
        <v>0.54828660436137078</v>
      </c>
      <c r="K98" s="5">
        <f>VLOOKUP($B98,'Data Vlaue (Cr)'!$C:$FB,99)</f>
        <v>2266</v>
      </c>
      <c r="L98" s="81">
        <f>VLOOKUP(B98,'OI(Value)'!$A$7:$C$209,3,0)</f>
        <v>-19</v>
      </c>
      <c r="M98" s="33">
        <f t="shared" si="31"/>
        <v>-0.83848190644307141</v>
      </c>
      <c r="N98" s="5">
        <f>VLOOKUP($B98,'Data Vlaue (Cr)'!$C:$FB,67)</f>
        <v>628</v>
      </c>
      <c r="O98" s="5">
        <f>VLOOKUP($B98,'Data Vlaue (Cr)'!$C:$FB,68)</f>
        <v>625</v>
      </c>
      <c r="P98" s="5">
        <f t="shared" si="35"/>
        <v>0.47770700636942676</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Index</v>
      </c>
      <c r="B99" s="79" t="str">
        <f>'Data shares'!C94</f>
        <v>INDIAVIX</v>
      </c>
      <c r="C99" s="4">
        <f>VLOOKUP($B99,'Data shares'!$C:$FB,7)</f>
        <v>9.7100000000000009</v>
      </c>
      <c r="D99" s="82">
        <f>VLOOKUP($B99,'Data shares'!$C:$FB,98)</f>
        <v>0</v>
      </c>
      <c r="E99" s="165">
        <f>VLOOKUP(B99,'Snapshot (Volume)'!$A$7:$G$168,7,0)</f>
        <v>0</v>
      </c>
      <c r="F99" s="165">
        <f t="shared" si="32"/>
        <v>0</v>
      </c>
      <c r="G99" s="166" t="e">
        <f t="shared" si="33"/>
        <v>#DIV/0!</v>
      </c>
      <c r="H99" s="165">
        <f>VLOOKUP($B99,'Data shares'!$C:$FB,66)</f>
        <v>0</v>
      </c>
      <c r="I99" s="165">
        <f>VLOOKUP($B99,'Data shares'!$C:$FB,67)</f>
        <v>0</v>
      </c>
      <c r="J99" s="81" t="e">
        <f t="shared" si="34"/>
        <v>#DIV/0!</v>
      </c>
      <c r="K99" s="5">
        <f>VLOOKUP($B99,'Data Vlaue (Cr)'!$C:$FB,99)</f>
        <v>0</v>
      </c>
      <c r="L99" s="81">
        <f>VLOOKUP(B99,'OI(Value)'!$A$7:$C$209,3,0)</f>
        <v>0</v>
      </c>
      <c r="M99" s="33" t="e">
        <f t="shared" si="31"/>
        <v>#DIV/0!</v>
      </c>
      <c r="N99" s="5">
        <f>VLOOKUP($B99,'Data Vlaue (Cr)'!$C:$FB,67)</f>
        <v>0</v>
      </c>
      <c r="O99" s="5">
        <f>VLOOKUP($B99,'Data Vlaue (Cr)'!$C:$FB,68)</f>
        <v>0</v>
      </c>
      <c r="P99" s="5" t="e">
        <f t="shared" si="35"/>
        <v>#DIV/0!</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Infrastructure</v>
      </c>
      <c r="B100" s="79" t="str">
        <f>'Data shares'!C95</f>
        <v>INDIGO</v>
      </c>
      <c r="C100" s="4">
        <f>VLOOKUP($B100,'Data shares'!$C:$FB,7)</f>
        <v>5115.5</v>
      </c>
      <c r="D100" s="82">
        <f>VLOOKUP($B100,'Data shares'!$C:$FB,98)</f>
        <v>36290700</v>
      </c>
      <c r="E100" s="165">
        <f>VLOOKUP(B100,'Snapshot (Volume)'!$A$7:$G$168,7,0)</f>
        <v>37648500</v>
      </c>
      <c r="F100" s="165">
        <f t="shared" si="32"/>
        <v>-1357800</v>
      </c>
      <c r="G100" s="166">
        <f t="shared" si="33"/>
        <v>-3.6065181879756165E-2</v>
      </c>
      <c r="H100" s="165">
        <f>VLOOKUP($B100,'Data shares'!$C:$FB,66)</f>
        <v>57352350</v>
      </c>
      <c r="I100" s="165">
        <f>VLOOKUP($B100,'Data shares'!$C:$FB,67)</f>
        <v>14007300</v>
      </c>
      <c r="J100" s="81">
        <f t="shared" si="34"/>
        <v>309.44614593818937</v>
      </c>
      <c r="K100" s="5">
        <f>VLOOKUP($B100,'Data Vlaue (Cr)'!$C:$FB,99)</f>
        <v>18619</v>
      </c>
      <c r="L100" s="81">
        <f>VLOOKUP(B100,'OI(Value)'!$A$7:$C$209,3,0)</f>
        <v>-697</v>
      </c>
      <c r="M100" s="33">
        <f t="shared" si="31"/>
        <v>-3.7434878350072505</v>
      </c>
      <c r="N100" s="5">
        <f>VLOOKUP($B100,'Data Vlaue (Cr)'!$C:$FB,67)</f>
        <v>29425</v>
      </c>
      <c r="O100" s="5">
        <f>VLOOKUP($B100,'Data Vlaue (Cr)'!$C:$FB,68)</f>
        <v>7186</v>
      </c>
      <c r="P100" s="5">
        <f t="shared" si="35"/>
        <v>75.578589634664411</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Banking</v>
      </c>
      <c r="B101" s="79" t="str">
        <f>'Data shares'!C96</f>
        <v>INDUSINDBK</v>
      </c>
      <c r="C101" s="4">
        <f>VLOOKUP($B101,'Data shares'!$C:$FB,7)</f>
        <v>834.9</v>
      </c>
      <c r="D101" s="82">
        <f>VLOOKUP($B101,'Data shares'!$C:$FB,98)</f>
        <v>70896000</v>
      </c>
      <c r="E101" s="165">
        <f>VLOOKUP(B101,'Snapshot (Volume)'!$A$7:$G$168,7,0)</f>
        <v>71937600</v>
      </c>
      <c r="F101" s="165">
        <f t="shared" si="32"/>
        <v>-1041600</v>
      </c>
      <c r="G101" s="166">
        <f t="shared" si="33"/>
        <v>-1.4479215319943952E-2</v>
      </c>
      <c r="H101" s="165">
        <f>VLOOKUP($B101,'Data shares'!$C:$FB,66)</f>
        <v>25594800</v>
      </c>
      <c r="I101" s="165">
        <f>VLOOKUP($B101,'Data shares'!$C:$FB,67)</f>
        <v>40085500</v>
      </c>
      <c r="J101" s="81">
        <f t="shared" si="34"/>
        <v>-36.149480485462327</v>
      </c>
      <c r="K101" s="5">
        <f>VLOOKUP($B101,'Data Vlaue (Cr)'!$C:$FB,99)</f>
        <v>5925</v>
      </c>
      <c r="L101" s="81">
        <f>VLOOKUP(B101,'OI(Value)'!$A$7:$C$209,3,0)</f>
        <v>-87</v>
      </c>
      <c r="M101" s="33">
        <f t="shared" si="31"/>
        <v>-1.4683544303797469</v>
      </c>
      <c r="N101" s="5">
        <f>VLOOKUP($B101,'Data Vlaue (Cr)'!$C:$FB,67)</f>
        <v>2139</v>
      </c>
      <c r="O101" s="5">
        <f>VLOOKUP($B101,'Data Vlaue (Cr)'!$C:$FB,68)</f>
        <v>3350</v>
      </c>
      <c r="P101" s="5">
        <f t="shared" si="35"/>
        <v>-56.615240766713413</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Telecom</v>
      </c>
      <c r="B102" s="79" t="str">
        <f>'Data shares'!C97</f>
        <v>INDUSTOWER</v>
      </c>
      <c r="C102" s="4">
        <f>VLOOKUP($B102,'Data shares'!$C:$FB,7)</f>
        <v>408.75</v>
      </c>
      <c r="D102" s="82">
        <f>VLOOKUP($B102,'Data shares'!$C:$FB,98)</f>
        <v>124822500</v>
      </c>
      <c r="E102" s="165">
        <f>VLOOKUP(B102,'Snapshot (Volume)'!$A$7:$G$168,7,0)</f>
        <v>126299800</v>
      </c>
      <c r="F102" s="165">
        <f t="shared" si="32"/>
        <v>-1477300</v>
      </c>
      <c r="G102" s="166">
        <f t="shared" si="33"/>
        <v>-1.1696772283091501E-2</v>
      </c>
      <c r="H102" s="165">
        <f>VLOOKUP($B102,'Data shares'!$C:$FB,66)</f>
        <v>35419500</v>
      </c>
      <c r="I102" s="165">
        <f>VLOOKUP($B102,'Data shares'!$C:$FB,67)</f>
        <v>27801800</v>
      </c>
      <c r="J102" s="81">
        <f t="shared" si="34"/>
        <v>27.400024458847987</v>
      </c>
      <c r="K102" s="5">
        <f>VLOOKUP($B102,'Data Vlaue (Cr)'!$C:$FB,99)</f>
        <v>5114</v>
      </c>
      <c r="L102" s="81">
        <f>VLOOKUP(B102,'OI(Value)'!$A$7:$C$209,3,0)</f>
        <v>-61</v>
      </c>
      <c r="M102" s="33">
        <f t="shared" si="31"/>
        <v>-1.1928040672663276</v>
      </c>
      <c r="N102" s="5">
        <f>VLOOKUP($B102,'Data Vlaue (Cr)'!$C:$FB,67)</f>
        <v>1451</v>
      </c>
      <c r="O102" s="5">
        <f>VLOOKUP($B102,'Data Vlaue (Cr)'!$C:$FB,68)</f>
        <v>1139</v>
      </c>
      <c r="P102" s="5">
        <f t="shared" si="35"/>
        <v>21.502412129565819</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Technology</v>
      </c>
      <c r="B103" s="79" t="str">
        <f>'Data shares'!C98</f>
        <v>INFY</v>
      </c>
      <c r="C103" s="4">
        <f>VLOOKUP($B103,'Data shares'!$C:$FB,7)</f>
        <v>1626.8</v>
      </c>
      <c r="D103" s="82">
        <f>VLOOKUP($B103,'Data shares'!$C:$FB,98)</f>
        <v>121290400</v>
      </c>
      <c r="E103" s="165">
        <f>VLOOKUP(B103,'Snapshot (Volume)'!$A$7:$G$168,7,0)</f>
        <v>116527200</v>
      </c>
      <c r="F103" s="165">
        <f t="shared" si="32"/>
        <v>4763200</v>
      </c>
      <c r="G103" s="166">
        <f t="shared" si="33"/>
        <v>4.0876293260286009E-2</v>
      </c>
      <c r="H103" s="165">
        <f>VLOOKUP($B103,'Data shares'!$C:$FB,66)</f>
        <v>87880800</v>
      </c>
      <c r="I103" s="165">
        <f>VLOOKUP($B103,'Data shares'!$C:$FB,67)</f>
        <v>43017200</v>
      </c>
      <c r="J103" s="81">
        <f t="shared" si="34"/>
        <v>104.29223659373459</v>
      </c>
      <c r="K103" s="5">
        <f>VLOOKUP($B103,'Data Vlaue (Cr)'!$C:$FB,99)</f>
        <v>19745</v>
      </c>
      <c r="L103" s="81">
        <f>VLOOKUP(B103,'OI(Value)'!$A$7:$C$209,3,0)</f>
        <v>775</v>
      </c>
      <c r="M103" s="33">
        <f t="shared" si="31"/>
        <v>3.9250443150164598</v>
      </c>
      <c r="N103" s="5">
        <f>VLOOKUP($B103,'Data Vlaue (Cr)'!$C:$FB,67)</f>
        <v>14306</v>
      </c>
      <c r="O103" s="5">
        <f>VLOOKUP($B103,'Data Vlaue (Cr)'!$C:$FB,68)</f>
        <v>7003</v>
      </c>
      <c r="P103" s="5">
        <f t="shared" si="35"/>
        <v>51.04851111421781</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Power</v>
      </c>
      <c r="B104" s="79" t="str">
        <f>'Data shares'!C99</f>
        <v>INOXWIND</v>
      </c>
      <c r="C104" s="4">
        <f>VLOOKUP($B104,'Data shares'!$C:$FB,7)</f>
        <v>124.21</v>
      </c>
      <c r="D104" s="82">
        <f>VLOOKUP($B104,'Data shares'!$C:$FB,98)</f>
        <v>157404801</v>
      </c>
      <c r="E104" s="165">
        <f>VLOOKUP(B104,'Snapshot (Volume)'!$A$7:$G$168,7,0)</f>
        <v>157497562</v>
      </c>
      <c r="F104" s="165">
        <f t="shared" si="32"/>
        <v>-92761</v>
      </c>
      <c r="G104" s="166">
        <f t="shared" si="33"/>
        <v>-5.8896784700705404E-4</v>
      </c>
      <c r="H104" s="165">
        <f>VLOOKUP($B104,'Data shares'!$C:$FB,66)</f>
        <v>35749872</v>
      </c>
      <c r="I104" s="165">
        <f>VLOOKUP($B104,'Data shares'!$C:$FB,67)</f>
        <v>23807072</v>
      </c>
      <c r="J104" s="81">
        <f t="shared" si="34"/>
        <v>50.164925783397472</v>
      </c>
      <c r="K104" s="5">
        <f>VLOOKUP($B104,'Data Vlaue (Cr)'!$C:$FB,99)</f>
        <v>1963</v>
      </c>
      <c r="L104" s="81">
        <f>VLOOKUP(B104,'OI(Value)'!$A$7:$C$209,3,0)</f>
        <v>-1</v>
      </c>
      <c r="M104" s="33">
        <f t="shared" si="31"/>
        <v>-5.094243504839531E-2</v>
      </c>
      <c r="N104" s="5">
        <f>VLOOKUP($B104,'Data Vlaue (Cr)'!$C:$FB,67)</f>
        <v>446</v>
      </c>
      <c r="O104" s="5">
        <f>VLOOKUP($B104,'Data Vlaue (Cr)'!$C:$FB,68)</f>
        <v>297</v>
      </c>
      <c r="P104" s="5">
        <f t="shared" si="35"/>
        <v>33.408071748878925</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Oil_Gas</v>
      </c>
      <c r="B105" s="79" t="str">
        <f>'Data shares'!C100</f>
        <v>IOC</v>
      </c>
      <c r="C105" s="4">
        <f>VLOOKUP($B105,'Data shares'!$C:$FB,7)</f>
        <v>161.75</v>
      </c>
      <c r="D105" s="82">
        <f>VLOOKUP($B105,'Data shares'!$C:$FB,98)</f>
        <v>201639750</v>
      </c>
      <c r="E105" s="165">
        <f>VLOOKUP(B105,'Snapshot (Volume)'!$A$7:$G$168,7,0)</f>
        <v>201781125</v>
      </c>
      <c r="F105" s="165">
        <f t="shared" si="32"/>
        <v>-141375</v>
      </c>
      <c r="G105" s="166">
        <f t="shared" si="33"/>
        <v>-7.0063540383175082E-4</v>
      </c>
      <c r="H105" s="165">
        <f>VLOOKUP($B105,'Data shares'!$C:$FB,66)</f>
        <v>127218000</v>
      </c>
      <c r="I105" s="165">
        <f>VLOOKUP($B105,'Data shares'!$C:$FB,67)</f>
        <v>170483625</v>
      </c>
      <c r="J105" s="81">
        <f t="shared" si="34"/>
        <v>-25.378170484115408</v>
      </c>
      <c r="K105" s="5">
        <f>VLOOKUP($B105,'Data Vlaue (Cr)'!$C:$FB,99)</f>
        <v>3270</v>
      </c>
      <c r="L105" s="81">
        <f>VLOOKUP(B105,'OI(Value)'!$A$7:$C$209,3,0)</f>
        <v>-2</v>
      </c>
      <c r="M105" s="33">
        <f t="shared" si="31"/>
        <v>-6.1162079510703363E-2</v>
      </c>
      <c r="N105" s="5">
        <f>VLOOKUP($B105,'Data Vlaue (Cr)'!$C:$FB,67)</f>
        <v>2063</v>
      </c>
      <c r="O105" s="5">
        <f>VLOOKUP($B105,'Data Vlaue (Cr)'!$C:$FB,68)</f>
        <v>2765</v>
      </c>
      <c r="P105" s="5">
        <f t="shared" si="35"/>
        <v>-34.028114396509942</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Infrastructure</v>
      </c>
      <c r="B106" s="79" t="str">
        <f>'Data shares'!C101</f>
        <v>IRCTC</v>
      </c>
      <c r="C106" s="79">
        <f>VLOOKUP($B106,'Data shares'!$C:$FB,7)</f>
        <v>663.85</v>
      </c>
      <c r="D106" s="80">
        <f>VLOOKUP($B106,'Data shares'!$C:$FB,98)</f>
        <v>37971500</v>
      </c>
      <c r="E106" s="165">
        <f>VLOOKUP(B106,'Snapshot (Volume)'!$A$7:$G$168,7,0)</f>
        <v>38381875</v>
      </c>
      <c r="F106" s="165">
        <f t="shared" ref="F106:F114" si="36">D106-E106</f>
        <v>-410375</v>
      </c>
      <c r="G106" s="166">
        <f t="shared" ref="G106:G114" si="37">F106/E106</f>
        <v>-1.0691895588738174E-2</v>
      </c>
      <c r="H106" s="165">
        <f>VLOOKUP($B106,'Data shares'!$C:$FB,66)</f>
        <v>10476375</v>
      </c>
      <c r="I106" s="165">
        <f>VLOOKUP($B106,'Data shares'!$C:$FB,67)</f>
        <v>10350375</v>
      </c>
      <c r="J106" s="81">
        <f t="shared" ref="J106:J114" si="38">(H106-I106)/I106*100</f>
        <v>1.2173471975653056</v>
      </c>
      <c r="K106" s="81">
        <f>VLOOKUP($B106,'Data Vlaue (Cr)'!$C:$FB,99)</f>
        <v>2527</v>
      </c>
      <c r="L106" s="81">
        <f>VLOOKUP(B106,'OI(Value)'!$A$7:$C$209,3,0)</f>
        <v>-27</v>
      </c>
      <c r="M106" s="81">
        <f t="shared" si="31"/>
        <v>-1.0684606252473288</v>
      </c>
      <c r="N106" s="81">
        <f>VLOOKUP($B106,'Data Vlaue (Cr)'!$C:$FB,67)</f>
        <v>697</v>
      </c>
      <c r="O106" s="81">
        <f>VLOOKUP($B106,'Data Vlaue (Cr)'!$C:$FB,68)</f>
        <v>689</v>
      </c>
      <c r="P106" s="81">
        <f t="shared" ref="P106:P114" si="39">(N106-O106)/N106*100</f>
        <v>1.1477761836441895</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Finance</v>
      </c>
      <c r="B107" s="79" t="str">
        <f>'Data shares'!C102</f>
        <v>IREDA</v>
      </c>
      <c r="C107" s="79">
        <f>VLOOKUP($B107,'Data shares'!$C:$FB,7)</f>
        <v>131.41999999999999</v>
      </c>
      <c r="D107" s="80">
        <f>VLOOKUP($B107,'Data shares'!$C:$FB,98)</f>
        <v>115385250</v>
      </c>
      <c r="E107" s="165">
        <f>VLOOKUP(B107,'Snapshot (Volume)'!$A$7:$G$168,7,0)</f>
        <v>112787400</v>
      </c>
      <c r="F107" s="165">
        <f t="shared" si="36"/>
        <v>2597850</v>
      </c>
      <c r="G107" s="166">
        <f t="shared" si="37"/>
        <v>2.3033157959133733E-2</v>
      </c>
      <c r="H107" s="165">
        <f>VLOOKUP($B107,'Data shares'!$C:$FB,66)</f>
        <v>34475850</v>
      </c>
      <c r="I107" s="165">
        <f>VLOOKUP($B107,'Data shares'!$C:$FB,67)</f>
        <v>29266350</v>
      </c>
      <c r="J107" s="81">
        <f t="shared" si="38"/>
        <v>17.80030649534363</v>
      </c>
      <c r="K107" s="81">
        <f>VLOOKUP($B107,'Data Vlaue (Cr)'!$C:$FB,99)</f>
        <v>1520</v>
      </c>
      <c r="L107" s="81">
        <f>VLOOKUP(B107,'OI(Value)'!$A$7:$C$209,3,0)</f>
        <v>34</v>
      </c>
      <c r="M107" s="81">
        <f t="shared" si="31"/>
        <v>2.236842105263158</v>
      </c>
      <c r="N107" s="81">
        <f>VLOOKUP($B107,'Data Vlaue (Cr)'!$C:$FB,67)</f>
        <v>454</v>
      </c>
      <c r="O107" s="81">
        <f>VLOOKUP($B107,'Data Vlaue (Cr)'!$C:$FB,68)</f>
        <v>385</v>
      </c>
      <c r="P107" s="81">
        <f t="shared" si="39"/>
        <v>15.198237885462554</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Infrastructure</v>
      </c>
      <c r="B108" s="79" t="str">
        <f>'Data shares'!C103</f>
        <v>IRFC</v>
      </c>
      <c r="C108" s="4">
        <f>VLOOKUP($B108,'Data shares'!$C:$FB,7)</f>
        <v>110.81</v>
      </c>
      <c r="D108" s="82">
        <f>VLOOKUP($B108,'Data shares'!$C:$FB,98)</f>
        <v>112880000</v>
      </c>
      <c r="E108" s="165">
        <f>VLOOKUP(B108,'Snapshot (Volume)'!$A$7:$G$168,7,0)</f>
        <v>112935250</v>
      </c>
      <c r="F108" s="165">
        <f t="shared" si="36"/>
        <v>-55250</v>
      </c>
      <c r="G108" s="166">
        <f t="shared" si="37"/>
        <v>-4.8921837955819816E-4</v>
      </c>
      <c r="H108" s="165">
        <f>VLOOKUP($B108,'Data shares'!$C:$FB,66)</f>
        <v>40239000</v>
      </c>
      <c r="I108" s="165">
        <f>VLOOKUP($B108,'Data shares'!$C:$FB,67)</f>
        <v>36435250</v>
      </c>
      <c r="J108" s="81">
        <f t="shared" si="38"/>
        <v>10.439752712002798</v>
      </c>
      <c r="K108" s="5">
        <f>VLOOKUP($B108,'Data Vlaue (Cr)'!$C:$FB,99)</f>
        <v>1255</v>
      </c>
      <c r="L108" s="81">
        <f>VLOOKUP(B108,'OI(Value)'!$A$7:$C$209,3,0)</f>
        <v>-1</v>
      </c>
      <c r="M108" s="33">
        <f t="shared" si="31"/>
        <v>-7.9681274900398405E-2</v>
      </c>
      <c r="N108" s="5">
        <f>VLOOKUP($B108,'Data Vlaue (Cr)'!$C:$FB,67)</f>
        <v>447</v>
      </c>
      <c r="O108" s="5">
        <f>VLOOKUP($B108,'Data Vlaue (Cr)'!$C:$FB,68)</f>
        <v>405</v>
      </c>
      <c r="P108" s="5">
        <f t="shared" si="39"/>
        <v>9.3959731543624159</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FMCG</v>
      </c>
      <c r="B109" s="79" t="str">
        <f>'Data shares'!C104</f>
        <v>ITC</v>
      </c>
      <c r="C109" s="4">
        <f>VLOOKUP($B109,'Data shares'!$C:$FB,7)</f>
        <v>400.4</v>
      </c>
      <c r="D109" s="82">
        <f>VLOOKUP($B109,'Data shares'!$C:$FB,98)</f>
        <v>275734400</v>
      </c>
      <c r="E109" s="165">
        <f>VLOOKUP(B109,'Snapshot (Volume)'!$A$7:$G$168,7,0)</f>
        <v>276201600</v>
      </c>
      <c r="F109" s="165">
        <f t="shared" si="36"/>
        <v>-467200</v>
      </c>
      <c r="G109" s="166">
        <f t="shared" si="37"/>
        <v>-1.6915180795476928E-3</v>
      </c>
      <c r="H109" s="165">
        <f>VLOOKUP($B109,'Data shares'!$C:$FB,66)</f>
        <v>64072000</v>
      </c>
      <c r="I109" s="165">
        <f>VLOOKUP($B109,'Data shares'!$C:$FB,67)</f>
        <v>72676800</v>
      </c>
      <c r="J109" s="81">
        <f t="shared" si="38"/>
        <v>-11.83981683288202</v>
      </c>
      <c r="K109" s="5">
        <f>VLOOKUP($B109,'Data Vlaue (Cr)'!$C:$FB,99)</f>
        <v>11064</v>
      </c>
      <c r="L109" s="81">
        <f>VLOOKUP(B109,'OI(Value)'!$A$7:$C$209,3,0)</f>
        <v>-19</v>
      </c>
      <c r="M109" s="33">
        <f t="shared" si="31"/>
        <v>-0.17172812725958062</v>
      </c>
      <c r="N109" s="5">
        <f>VLOOKUP($B109,'Data Vlaue (Cr)'!$C:$FB,67)</f>
        <v>2571</v>
      </c>
      <c r="O109" s="5">
        <f>VLOOKUP($B109,'Data Vlaue (Cr)'!$C:$FB,68)</f>
        <v>2916</v>
      </c>
      <c r="P109" s="5">
        <f t="shared" si="39"/>
        <v>-13.418903150525088</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Metals</v>
      </c>
      <c r="B110" s="79" t="str">
        <f>'Data shares'!C105</f>
        <v>JINDALSTEL</v>
      </c>
      <c r="C110" s="4">
        <f>VLOOKUP($B110,'Data shares'!$C:$FB,7)</f>
        <v>986</v>
      </c>
      <c r="D110" s="82">
        <f>VLOOKUP($B110,'Data shares'!$C:$FB,98)</f>
        <v>23138750</v>
      </c>
      <c r="E110" s="165">
        <f>VLOOKUP(B110,'Snapshot (Volume)'!$A$7:$G$168,7,0)</f>
        <v>22001250</v>
      </c>
      <c r="F110" s="165">
        <f t="shared" si="36"/>
        <v>1137500</v>
      </c>
      <c r="G110" s="166">
        <f t="shared" si="37"/>
        <v>5.1701607863189593E-2</v>
      </c>
      <c r="H110" s="165">
        <f>VLOOKUP($B110,'Data shares'!$C:$FB,66)</f>
        <v>17856875</v>
      </c>
      <c r="I110" s="165">
        <f>VLOOKUP($B110,'Data shares'!$C:$FB,67)</f>
        <v>8147500</v>
      </c>
      <c r="J110" s="81">
        <f t="shared" si="38"/>
        <v>119.16999079472231</v>
      </c>
      <c r="K110" s="5">
        <f>VLOOKUP($B110,'Data Vlaue (Cr)'!$C:$FB,99)</f>
        <v>2288</v>
      </c>
      <c r="L110" s="81">
        <f>VLOOKUP(B110,'OI(Value)'!$A$7:$C$209,3,0)</f>
        <v>112</v>
      </c>
      <c r="M110" s="33">
        <f t="shared" si="31"/>
        <v>4.895104895104895</v>
      </c>
      <c r="N110" s="5">
        <f>VLOOKUP($B110,'Data Vlaue (Cr)'!$C:$FB,67)</f>
        <v>1766</v>
      </c>
      <c r="O110" s="5">
        <f>VLOOKUP($B110,'Data Vlaue (Cr)'!$C:$FB,68)</f>
        <v>806</v>
      </c>
      <c r="P110" s="5">
        <f t="shared" si="39"/>
        <v>54.360135900339742</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Finance</v>
      </c>
      <c r="B111" s="79" t="str">
        <f>'Data shares'!C106</f>
        <v>JIOFIN</v>
      </c>
      <c r="C111" s="4">
        <f>VLOOKUP($B111,'Data shares'!$C:$FB,7)</f>
        <v>292.3</v>
      </c>
      <c r="D111" s="82">
        <f>VLOOKUP($B111,'Data shares'!$C:$FB,98)</f>
        <v>278623050</v>
      </c>
      <c r="E111" s="165">
        <f>VLOOKUP(B111,'Snapshot (Volume)'!$A$7:$G$168,7,0)</f>
        <v>274621000</v>
      </c>
      <c r="F111" s="165">
        <f t="shared" si="36"/>
        <v>4002050</v>
      </c>
      <c r="G111" s="166">
        <f t="shared" si="37"/>
        <v>1.4572993325346568E-2</v>
      </c>
      <c r="H111" s="165">
        <f>VLOOKUP($B111,'Data shares'!$C:$FB,66)</f>
        <v>75538400</v>
      </c>
      <c r="I111" s="165">
        <f>VLOOKUP($B111,'Data shares'!$C:$FB,67)</f>
        <v>59607750</v>
      </c>
      <c r="J111" s="81">
        <f t="shared" si="38"/>
        <v>26.725803272225505</v>
      </c>
      <c r="K111" s="5">
        <f>VLOOKUP($B111,'Data Vlaue (Cr)'!$C:$FB,99)</f>
        <v>8161</v>
      </c>
      <c r="L111" s="81">
        <f>VLOOKUP(B111,'OI(Value)'!$A$7:$C$209,3,0)</f>
        <v>117</v>
      </c>
      <c r="M111" s="33">
        <f t="shared" si="31"/>
        <v>1.4336478372748438</v>
      </c>
      <c r="N111" s="5">
        <f>VLOOKUP($B111,'Data Vlaue (Cr)'!$C:$FB,67)</f>
        <v>2213</v>
      </c>
      <c r="O111" s="5">
        <f>VLOOKUP($B111,'Data Vlaue (Cr)'!$C:$FB,68)</f>
        <v>1746</v>
      </c>
      <c r="P111" s="5">
        <f t="shared" si="39"/>
        <v>21.102575689109806</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Power</v>
      </c>
      <c r="B112" s="79" t="str">
        <f>'Data shares'!C107</f>
        <v>JSWENERGY</v>
      </c>
      <c r="C112" s="4">
        <f>VLOOKUP($B112,'Data shares'!$C:$FB,7)</f>
        <v>472</v>
      </c>
      <c r="D112" s="82">
        <f>VLOOKUP($B112,'Data shares'!$C:$FB,98)</f>
        <v>72092000</v>
      </c>
      <c r="E112" s="165">
        <f>VLOOKUP(B112,'Snapshot (Volume)'!$A$7:$G$168,7,0)</f>
        <v>73213000</v>
      </c>
      <c r="F112" s="165">
        <f t="shared" si="36"/>
        <v>-1121000</v>
      </c>
      <c r="G112" s="166">
        <f t="shared" si="37"/>
        <v>-1.5311488396869409E-2</v>
      </c>
      <c r="H112" s="165">
        <f>VLOOKUP($B112,'Data shares'!$C:$FB,66)</f>
        <v>17968000</v>
      </c>
      <c r="I112" s="165">
        <f>VLOOKUP($B112,'Data shares'!$C:$FB,67)</f>
        <v>19059000</v>
      </c>
      <c r="J112" s="81">
        <f t="shared" si="38"/>
        <v>-5.7243297129964841</v>
      </c>
      <c r="K112" s="5">
        <f>VLOOKUP($B112,'Data Vlaue (Cr)'!$C:$FB,99)</f>
        <v>3405</v>
      </c>
      <c r="L112" s="81">
        <f>VLOOKUP(B112,'OI(Value)'!$A$7:$C$209,3,0)</f>
        <v>-53</v>
      </c>
      <c r="M112" s="33">
        <f t="shared" si="31"/>
        <v>-1.5565345080763582</v>
      </c>
      <c r="N112" s="5">
        <f>VLOOKUP($B112,'Data Vlaue (Cr)'!$C:$FB,67)</f>
        <v>849</v>
      </c>
      <c r="O112" s="5">
        <f>VLOOKUP($B112,'Data Vlaue (Cr)'!$C:$FB,68)</f>
        <v>900</v>
      </c>
      <c r="P112" s="5">
        <f t="shared" si="39"/>
        <v>-6.0070671378091873</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Metals</v>
      </c>
      <c r="B113" s="79" t="str">
        <f>'Data shares'!C108</f>
        <v>JSWSTEEL</v>
      </c>
      <c r="C113" s="4">
        <f>VLOOKUP($B113,'Data shares'!$C:$FB,7)</f>
        <v>1082.2</v>
      </c>
      <c r="D113" s="82">
        <f>VLOOKUP($B113,'Data shares'!$C:$FB,98)</f>
        <v>80352000</v>
      </c>
      <c r="E113" s="165">
        <f>VLOOKUP(B113,'Snapshot (Volume)'!$A$7:$G$168,7,0)</f>
        <v>80272350</v>
      </c>
      <c r="F113" s="165">
        <f t="shared" si="36"/>
        <v>79650</v>
      </c>
      <c r="G113" s="166">
        <f t="shared" si="37"/>
        <v>9.9224701905450637E-4</v>
      </c>
      <c r="H113" s="165">
        <f>VLOOKUP($B113,'Data shares'!$C:$FB,66)</f>
        <v>28441800</v>
      </c>
      <c r="I113" s="165">
        <f>VLOOKUP($B113,'Data shares'!$C:$FB,67)</f>
        <v>22331025</v>
      </c>
      <c r="J113" s="81">
        <f t="shared" si="38"/>
        <v>27.364507450956683</v>
      </c>
      <c r="K113" s="5">
        <f>VLOOKUP($B113,'Data Vlaue (Cr)'!$C:$FB,99)</f>
        <v>8710</v>
      </c>
      <c r="L113" s="81">
        <f>VLOOKUP(B113,'OI(Value)'!$A$7:$C$209,3,0)</f>
        <v>9</v>
      </c>
      <c r="M113" s="33">
        <f t="shared" si="31"/>
        <v>0.10332950631458093</v>
      </c>
      <c r="N113" s="5">
        <f>VLOOKUP($B113,'Data Vlaue (Cr)'!$C:$FB,67)</f>
        <v>3083</v>
      </c>
      <c r="O113" s="5">
        <f>VLOOKUP($B113,'Data Vlaue (Cr)'!$C:$FB,68)</f>
        <v>2421</v>
      </c>
      <c r="P113" s="5">
        <f t="shared" si="39"/>
        <v>21.472591631527731</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FMCG</v>
      </c>
      <c r="B114" s="79" t="str">
        <f>'Data shares'!C109</f>
        <v>JUBLFOOD</v>
      </c>
      <c r="C114" s="4">
        <f>VLOOKUP($B114,'Data shares'!$C:$FB,7)</f>
        <v>558.70000000000005</v>
      </c>
      <c r="D114" s="82">
        <f>VLOOKUP($B114,'Data shares'!$C:$FB,98)</f>
        <v>44387500</v>
      </c>
      <c r="E114" s="165">
        <f>VLOOKUP(B114,'Snapshot (Volume)'!$A$7:$G$168,7,0)</f>
        <v>44898750</v>
      </c>
      <c r="F114" s="165">
        <f t="shared" si="36"/>
        <v>-511250</v>
      </c>
      <c r="G114" s="166">
        <f t="shared" si="37"/>
        <v>-1.1386731256438097E-2</v>
      </c>
      <c r="H114" s="165">
        <f>VLOOKUP($B114,'Data shares'!$C:$FB,66)</f>
        <v>19052500</v>
      </c>
      <c r="I114" s="165">
        <f>VLOOKUP($B114,'Data shares'!$C:$FB,67)</f>
        <v>27065000</v>
      </c>
      <c r="J114" s="81">
        <f t="shared" si="38"/>
        <v>-29.604655459079993</v>
      </c>
      <c r="K114" s="5">
        <f>VLOOKUP($B114,'Data Vlaue (Cr)'!$C:$FB,99)</f>
        <v>2481</v>
      </c>
      <c r="L114" s="81">
        <f>VLOOKUP(B114,'OI(Value)'!$A$7:$C$209,3,0)</f>
        <v>-29</v>
      </c>
      <c r="M114" s="33">
        <f t="shared" si="31"/>
        <v>-1.1688835147118097</v>
      </c>
      <c r="N114" s="5">
        <f>VLOOKUP($B114,'Data Vlaue (Cr)'!$C:$FB,67)</f>
        <v>1065</v>
      </c>
      <c r="O114" s="5">
        <f>VLOOKUP($B114,'Data Vlaue (Cr)'!$C:$FB,68)</f>
        <v>1513</v>
      </c>
      <c r="P114" s="5">
        <f t="shared" si="39"/>
        <v>-42.065727699530512</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KALYANKJIL</v>
      </c>
      <c r="C115" s="79">
        <f>VLOOKUP($B115,'Data shares'!$C:$FB,7)</f>
        <v>470.85</v>
      </c>
      <c r="D115" s="80">
        <f>VLOOKUP($B115,'Data shares'!$C:$FB,98)</f>
        <v>52312175</v>
      </c>
      <c r="E115" s="165">
        <f>VLOOKUP(B115,'Snapshot (Volume)'!$A$7:$G$168,7,0)</f>
        <v>51778725</v>
      </c>
      <c r="F115" s="165">
        <f t="shared" ref="F115:F126" si="40">D115-E115</f>
        <v>533450</v>
      </c>
      <c r="G115" s="166">
        <f t="shared" ref="G115:G126" si="41">F115/E115</f>
        <v>1.030249392969796E-2</v>
      </c>
      <c r="H115" s="165">
        <f>VLOOKUP($B115,'Data shares'!$C:$FB,66)</f>
        <v>13120050</v>
      </c>
      <c r="I115" s="165">
        <f>VLOOKUP($B115,'Data shares'!$C:$FB,67)</f>
        <v>19448600</v>
      </c>
      <c r="J115" s="81">
        <f t="shared" ref="J115:J126" si="42">(H115-I115)/I115*100</f>
        <v>-32.53987433542774</v>
      </c>
      <c r="K115" s="81">
        <f>VLOOKUP($B115,'Data Vlaue (Cr)'!$C:$FB,99)</f>
        <v>2469</v>
      </c>
      <c r="L115" s="81">
        <f>VLOOKUP(B115,'OI(Value)'!$A$7:$C$209,3,0)</f>
        <v>25</v>
      </c>
      <c r="M115" s="81">
        <f t="shared" si="31"/>
        <v>1.0125556905629809</v>
      </c>
      <c r="N115" s="81">
        <f>VLOOKUP($B115,'Data Vlaue (Cr)'!$C:$FB,67)</f>
        <v>619</v>
      </c>
      <c r="O115" s="81">
        <f>VLOOKUP($B115,'Data Vlaue (Cr)'!$C:$FB,68)</f>
        <v>918</v>
      </c>
      <c r="P115" s="81">
        <f t="shared" ref="P115:P126" si="43">(N115-O115)/N115*100</f>
        <v>-48.303715670436191</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Capital_Goods</v>
      </c>
      <c r="B116" s="79" t="str">
        <f>'Data shares'!C111</f>
        <v>KAYNES</v>
      </c>
      <c r="C116" s="4">
        <f>VLOOKUP($B116,'Data shares'!$C:$FB,7)</f>
        <v>4046.5</v>
      </c>
      <c r="D116" s="82">
        <f>VLOOKUP($B116,'Data shares'!$C:$FB,98)</f>
        <v>15138700</v>
      </c>
      <c r="E116" s="165">
        <f>VLOOKUP(B116,'Snapshot (Volume)'!$A$7:$G$168,7,0)</f>
        <v>15503000</v>
      </c>
      <c r="F116" s="165">
        <f t="shared" si="40"/>
        <v>-364300</v>
      </c>
      <c r="G116" s="166">
        <f t="shared" si="41"/>
        <v>-2.3498677675288654E-2</v>
      </c>
      <c r="H116" s="165">
        <f>VLOOKUP($B116,'Data shares'!$C:$FB,66)</f>
        <v>17476600</v>
      </c>
      <c r="I116" s="165">
        <f>VLOOKUP($B116,'Data shares'!$C:$FB,67)</f>
        <v>16644400</v>
      </c>
      <c r="J116" s="81">
        <f t="shared" si="42"/>
        <v>4.9998798394655255</v>
      </c>
      <c r="K116" s="5">
        <f>VLOOKUP($B116,'Data Vlaue (Cr)'!$C:$FB,99)</f>
        <v>6128</v>
      </c>
      <c r="L116" s="81">
        <f>VLOOKUP(B116,'OI(Value)'!$A$7:$C$209,3,0)</f>
        <v>-147</v>
      </c>
      <c r="M116" s="33">
        <f t="shared" si="31"/>
        <v>-2.3988250652741514</v>
      </c>
      <c r="N116" s="5">
        <f>VLOOKUP($B116,'Data Vlaue (Cr)'!$C:$FB,67)</f>
        <v>7075</v>
      </c>
      <c r="O116" s="5">
        <f>VLOOKUP($B116,'Data Vlaue (Cr)'!$C:$FB,68)</f>
        <v>6738</v>
      </c>
      <c r="P116" s="5">
        <f t="shared" si="43"/>
        <v>4.7632508833922262</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Power</v>
      </c>
      <c r="B117" s="79" t="str">
        <f>'Data shares'!C112</f>
        <v>KEI</v>
      </c>
      <c r="C117" s="4">
        <f>VLOOKUP($B117,'Data shares'!$C:$FB,7)</f>
        <v>4086.8</v>
      </c>
      <c r="D117" s="82">
        <f>VLOOKUP($B117,'Data shares'!$C:$FB,98)</f>
        <v>2308075</v>
      </c>
      <c r="E117" s="165">
        <f>VLOOKUP(B117,'Snapshot (Volume)'!$A$7:$G$168,7,0)</f>
        <v>2301425</v>
      </c>
      <c r="F117" s="165">
        <f t="shared" si="40"/>
        <v>6650</v>
      </c>
      <c r="G117" s="166">
        <f t="shared" si="41"/>
        <v>2.889514105391225E-3</v>
      </c>
      <c r="H117" s="165">
        <f>VLOOKUP($B117,'Data shares'!$C:$FB,66)</f>
        <v>1351875</v>
      </c>
      <c r="I117" s="165">
        <f>VLOOKUP($B117,'Data shares'!$C:$FB,67)</f>
        <v>2246825</v>
      </c>
      <c r="J117" s="81">
        <f t="shared" si="42"/>
        <v>-39.831762598333206</v>
      </c>
      <c r="K117" s="5">
        <f>VLOOKUP($B117,'Data Vlaue (Cr)'!$C:$FB,99)</f>
        <v>947</v>
      </c>
      <c r="L117" s="81">
        <f>VLOOKUP(B117,'OI(Value)'!$A$7:$C$209,3,0)</f>
        <v>3</v>
      </c>
      <c r="M117" s="33">
        <f t="shared" si="31"/>
        <v>0.31678986272439286</v>
      </c>
      <c r="N117" s="5">
        <f>VLOOKUP($B117,'Data Vlaue (Cr)'!$C:$FB,67)</f>
        <v>555</v>
      </c>
      <c r="O117" s="5">
        <f>VLOOKUP($B117,'Data Vlaue (Cr)'!$C:$FB,68)</f>
        <v>922</v>
      </c>
      <c r="P117" s="5">
        <f t="shared" si="43"/>
        <v>-66.126126126126124</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Finance</v>
      </c>
      <c r="B118" s="79" t="str">
        <f>'Data shares'!C113</f>
        <v>KFINTECH</v>
      </c>
      <c r="C118" s="4">
        <f>VLOOKUP($B118,'Data shares'!$C:$FB,7)</f>
        <v>1069</v>
      </c>
      <c r="D118" s="82">
        <f>VLOOKUP($B118,'Data shares'!$C:$FB,98)</f>
        <v>7960000</v>
      </c>
      <c r="E118" s="165">
        <f>VLOOKUP(B118,'Snapshot (Volume)'!$A$7:$G$168,7,0)</f>
        <v>8595300</v>
      </c>
      <c r="F118" s="165">
        <f t="shared" si="40"/>
        <v>-635300</v>
      </c>
      <c r="G118" s="166">
        <f t="shared" si="41"/>
        <v>-7.3912487056879916E-2</v>
      </c>
      <c r="H118" s="165">
        <f>VLOOKUP($B118,'Data shares'!$C:$FB,66)</f>
        <v>9537750</v>
      </c>
      <c r="I118" s="165">
        <f>VLOOKUP($B118,'Data shares'!$C:$FB,67)</f>
        <v>2422800</v>
      </c>
      <c r="J118" s="81">
        <f t="shared" si="42"/>
        <v>293.66641901931649</v>
      </c>
      <c r="K118" s="5">
        <f>VLOOKUP($B118,'Data Vlaue (Cr)'!$C:$FB,99)</f>
        <v>854</v>
      </c>
      <c r="L118" s="81">
        <f>VLOOKUP(B118,'OI(Value)'!$A$7:$C$209,3,0)</f>
        <v>-68</v>
      </c>
      <c r="M118" s="33">
        <f t="shared" si="31"/>
        <v>-7.9625292740046847</v>
      </c>
      <c r="N118" s="5">
        <f>VLOOKUP($B118,'Data Vlaue (Cr)'!$C:$FB,67)</f>
        <v>1023</v>
      </c>
      <c r="O118" s="5">
        <f>VLOOKUP($B118,'Data Vlaue (Cr)'!$C:$FB,68)</f>
        <v>260</v>
      </c>
      <c r="P118" s="5">
        <f t="shared" si="43"/>
        <v>74.584555229716514</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Banking</v>
      </c>
      <c r="B119" s="79" t="str">
        <f>'Data shares'!C114</f>
        <v>KOTAKBANK</v>
      </c>
      <c r="C119" s="4">
        <f>VLOOKUP($B119,'Data shares'!$C:$FB,7)</f>
        <v>2164.6</v>
      </c>
      <c r="D119" s="82">
        <f>VLOOKUP($B119,'Data shares'!$C:$FB,98)</f>
        <v>57247600</v>
      </c>
      <c r="E119" s="165">
        <f>VLOOKUP(B119,'Snapshot (Volume)'!$A$7:$G$168,7,0)</f>
        <v>57025600</v>
      </c>
      <c r="F119" s="165">
        <f t="shared" si="40"/>
        <v>222000</v>
      </c>
      <c r="G119" s="166">
        <f t="shared" si="41"/>
        <v>3.8929884122218795E-3</v>
      </c>
      <c r="H119" s="165">
        <f>VLOOKUP($B119,'Data shares'!$C:$FB,66)</f>
        <v>17344000</v>
      </c>
      <c r="I119" s="165">
        <f>VLOOKUP($B119,'Data shares'!$C:$FB,67)</f>
        <v>16645200</v>
      </c>
      <c r="J119" s="81">
        <f t="shared" si="42"/>
        <v>4.1982072909907959</v>
      </c>
      <c r="K119" s="5">
        <f>VLOOKUP($B119,'Data Vlaue (Cr)'!$C:$FB,99)</f>
        <v>12426</v>
      </c>
      <c r="L119" s="81">
        <f>VLOOKUP(B119,'OI(Value)'!$A$7:$C$209,3,0)</f>
        <v>48</v>
      </c>
      <c r="M119" s="33">
        <f t="shared" si="31"/>
        <v>0.38628681796233699</v>
      </c>
      <c r="N119" s="5">
        <f>VLOOKUP($B119,'Data Vlaue (Cr)'!$C:$FB,67)</f>
        <v>3765</v>
      </c>
      <c r="O119" s="5">
        <f>VLOOKUP($B119,'Data Vlaue (Cr)'!$C:$FB,68)</f>
        <v>3613</v>
      </c>
      <c r="P119" s="5">
        <f t="shared" si="43"/>
        <v>4.0371845949535192</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Technology</v>
      </c>
      <c r="B120" s="79" t="str">
        <f>'Data shares'!C115</f>
        <v>KPITTECH</v>
      </c>
      <c r="C120" s="4">
        <f>VLOOKUP($B120,'Data shares'!$C:$FB,7)</f>
        <v>1160.8</v>
      </c>
      <c r="D120" s="82">
        <f>VLOOKUP($B120,'Data shares'!$C:$FB,98)</f>
        <v>8216050</v>
      </c>
      <c r="E120" s="165">
        <f>VLOOKUP(B120,'Snapshot (Volume)'!$A$7:$G$168,7,0)</f>
        <v>8094650</v>
      </c>
      <c r="F120" s="165">
        <f t="shared" si="40"/>
        <v>121400</v>
      </c>
      <c r="G120" s="166">
        <f t="shared" si="41"/>
        <v>1.4997560116867313E-2</v>
      </c>
      <c r="H120" s="165">
        <f>VLOOKUP($B120,'Data shares'!$C:$FB,66)</f>
        <v>3902800</v>
      </c>
      <c r="I120" s="165">
        <f>VLOOKUP($B120,'Data shares'!$C:$FB,67)</f>
        <v>2969200</v>
      </c>
      <c r="J120" s="81">
        <f t="shared" si="42"/>
        <v>31.442812878889935</v>
      </c>
      <c r="K120" s="5">
        <f>VLOOKUP($B120,'Data Vlaue (Cr)'!$C:$FB,99)</f>
        <v>957</v>
      </c>
      <c r="L120" s="81">
        <f>VLOOKUP(B120,'OI(Value)'!$A$7:$C$209,3,0)</f>
        <v>14</v>
      </c>
      <c r="M120" s="33">
        <f t="shared" si="31"/>
        <v>1.4629049111807733</v>
      </c>
      <c r="N120" s="5">
        <f>VLOOKUP($B120,'Data Vlaue (Cr)'!$C:$FB,67)</f>
        <v>455</v>
      </c>
      <c r="O120" s="5">
        <f>VLOOKUP($B120,'Data Vlaue (Cr)'!$C:$FB,68)</f>
        <v>346</v>
      </c>
      <c r="P120" s="5">
        <f t="shared" si="43"/>
        <v>23.956043956043956</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Pharma</v>
      </c>
      <c r="B121" s="79" t="str">
        <f>'Data shares'!C116</f>
        <v>LAURUSLABS</v>
      </c>
      <c r="C121" s="4">
        <f>VLOOKUP($B121,'Data shares'!$C:$FB,7)</f>
        <v>1015.5</v>
      </c>
      <c r="D121" s="82">
        <f>VLOOKUP($B121,'Data shares'!$C:$FB,98)</f>
        <v>29672650</v>
      </c>
      <c r="E121" s="165">
        <f>VLOOKUP(B121,'Snapshot (Volume)'!$A$7:$G$168,7,0)</f>
        <v>30004150</v>
      </c>
      <c r="F121" s="165">
        <f t="shared" si="40"/>
        <v>-331500</v>
      </c>
      <c r="G121" s="166">
        <f t="shared" si="41"/>
        <v>-1.1048471628091448E-2</v>
      </c>
      <c r="H121" s="165">
        <f>VLOOKUP($B121,'Data shares'!$C:$FB,66)</f>
        <v>15785350</v>
      </c>
      <c r="I121" s="165">
        <f>VLOOKUP($B121,'Data shares'!$C:$FB,67)</f>
        <v>13636550</v>
      </c>
      <c r="J121" s="81">
        <f t="shared" si="42"/>
        <v>15.757651312098734</v>
      </c>
      <c r="K121" s="5">
        <f>VLOOKUP($B121,'Data Vlaue (Cr)'!$C:$FB,99)</f>
        <v>3023</v>
      </c>
      <c r="L121" s="81">
        <f>VLOOKUP(B121,'OI(Value)'!$A$7:$C$209,3,0)</f>
        <v>-34</v>
      </c>
      <c r="M121" s="33">
        <f t="shared" si="31"/>
        <v>-1.1247105524313596</v>
      </c>
      <c r="N121" s="5">
        <f>VLOOKUP($B121,'Data Vlaue (Cr)'!$C:$FB,67)</f>
        <v>1608</v>
      </c>
      <c r="O121" s="5">
        <f>VLOOKUP($B121,'Data Vlaue (Cr)'!$C:$FB,68)</f>
        <v>1389</v>
      </c>
      <c r="P121" s="5">
        <f t="shared" si="43"/>
        <v>13.619402985074627</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Finance</v>
      </c>
      <c r="B122" s="79" t="str">
        <f>'Data shares'!C117</f>
        <v>LICHSGFIN</v>
      </c>
      <c r="C122" s="4">
        <f>VLOOKUP($B122,'Data shares'!$C:$FB,7)</f>
        <v>528.1</v>
      </c>
      <c r="D122" s="82">
        <f>VLOOKUP($B122,'Data shares'!$C:$FB,98)</f>
        <v>54835000</v>
      </c>
      <c r="E122" s="165">
        <f>VLOOKUP(B122,'Snapshot (Volume)'!$A$7:$G$168,7,0)</f>
        <v>54515000</v>
      </c>
      <c r="F122" s="165">
        <f t="shared" si="40"/>
        <v>320000</v>
      </c>
      <c r="G122" s="166">
        <f t="shared" si="41"/>
        <v>5.8699440520957533E-3</v>
      </c>
      <c r="H122" s="165">
        <f>VLOOKUP($B122,'Data shares'!$C:$FB,66)</f>
        <v>11140000</v>
      </c>
      <c r="I122" s="165">
        <f>VLOOKUP($B122,'Data shares'!$C:$FB,67)</f>
        <v>9153000</v>
      </c>
      <c r="J122" s="81">
        <f t="shared" si="42"/>
        <v>21.708729378345897</v>
      </c>
      <c r="K122" s="5">
        <f>VLOOKUP($B122,'Data Vlaue (Cr)'!$C:$FB,99)</f>
        <v>2897</v>
      </c>
      <c r="L122" s="81">
        <f>VLOOKUP(B122,'OI(Value)'!$A$7:$C$209,3,0)</f>
        <v>17</v>
      </c>
      <c r="M122" s="33">
        <f t="shared" si="31"/>
        <v>0.58681394546082155</v>
      </c>
      <c r="N122" s="5">
        <f>VLOOKUP($B122,'Data Vlaue (Cr)'!$C:$FB,67)</f>
        <v>589</v>
      </c>
      <c r="O122" s="5">
        <f>VLOOKUP($B122,'Data Vlaue (Cr)'!$C:$FB,68)</f>
        <v>484</v>
      </c>
      <c r="P122" s="5">
        <f t="shared" si="43"/>
        <v>17.826825127334462</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LICI</v>
      </c>
      <c r="C123" s="4">
        <f>VLOOKUP($B123,'Data shares'!$C:$FB,7)</f>
        <v>847.4</v>
      </c>
      <c r="D123" s="82">
        <f>VLOOKUP($B123,'Data shares'!$C:$FB,98)</f>
        <v>26332600</v>
      </c>
      <c r="E123" s="165">
        <f>VLOOKUP(B123,'Snapshot (Volume)'!$A$7:$G$168,7,0)</f>
        <v>25594100</v>
      </c>
      <c r="F123" s="165">
        <f t="shared" si="40"/>
        <v>738500</v>
      </c>
      <c r="G123" s="166">
        <f t="shared" si="41"/>
        <v>2.8854306265897217E-2</v>
      </c>
      <c r="H123" s="165">
        <f>VLOOKUP($B123,'Data shares'!$C:$FB,66)</f>
        <v>18094300</v>
      </c>
      <c r="I123" s="165">
        <f>VLOOKUP($B123,'Data shares'!$C:$FB,67)</f>
        <v>8952300</v>
      </c>
      <c r="J123" s="81">
        <f t="shared" si="42"/>
        <v>102.11900852294941</v>
      </c>
      <c r="K123" s="5">
        <f>VLOOKUP($B123,'Data Vlaue (Cr)'!$C:$FB,99)</f>
        <v>2233</v>
      </c>
      <c r="L123" s="81">
        <f>VLOOKUP(B123,'OI(Value)'!$A$7:$C$209,3,0)</f>
        <v>63</v>
      </c>
      <c r="M123" s="33">
        <f t="shared" ref="M123:M144" si="44">L123/K123*100</f>
        <v>2.8213166144200628</v>
      </c>
      <c r="N123" s="5">
        <f>VLOOKUP($B123,'Data Vlaue (Cr)'!$C:$FB,67)</f>
        <v>1534</v>
      </c>
      <c r="O123" s="5">
        <f>VLOOKUP($B123,'Data Vlaue (Cr)'!$C:$FB,68)</f>
        <v>759</v>
      </c>
      <c r="P123" s="5">
        <f t="shared" si="43"/>
        <v>50.521512385919166</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Realty</v>
      </c>
      <c r="B124" s="79" t="str">
        <f>'Data shares'!C119</f>
        <v>LODHA</v>
      </c>
      <c r="C124" s="4">
        <f>VLOOKUP($B124,'Data shares'!$C:$FB,7)</f>
        <v>1069.0999999999999</v>
      </c>
      <c r="D124" s="82">
        <f>VLOOKUP($B124,'Data shares'!$C:$FB,98)</f>
        <v>20659950</v>
      </c>
      <c r="E124" s="165">
        <f>VLOOKUP(B124,'Snapshot (Volume)'!$A$7:$G$168,7,0)</f>
        <v>21223800</v>
      </c>
      <c r="F124" s="165">
        <f t="shared" si="40"/>
        <v>-563850</v>
      </c>
      <c r="G124" s="166">
        <f t="shared" si="41"/>
        <v>-2.6566873038758376E-2</v>
      </c>
      <c r="H124" s="165">
        <f>VLOOKUP($B124,'Data shares'!$C:$FB,66)</f>
        <v>7312500</v>
      </c>
      <c r="I124" s="165">
        <f>VLOOKUP($B124,'Data shares'!$C:$FB,67)</f>
        <v>11263050</v>
      </c>
      <c r="J124" s="81">
        <f t="shared" si="42"/>
        <v>-35.07531263734068</v>
      </c>
      <c r="K124" s="5">
        <f>VLOOKUP($B124,'Data Vlaue (Cr)'!$C:$FB,99)</f>
        <v>2213</v>
      </c>
      <c r="L124" s="81">
        <f>VLOOKUP(B124,'OI(Value)'!$A$7:$C$209,3,0)</f>
        <v>-60</v>
      </c>
      <c r="M124" s="33">
        <f t="shared" si="44"/>
        <v>-2.7112516945323089</v>
      </c>
      <c r="N124" s="5">
        <f>VLOOKUP($B124,'Data Vlaue (Cr)'!$C:$FB,67)</f>
        <v>783</v>
      </c>
      <c r="O124" s="5">
        <f>VLOOKUP($B124,'Data Vlaue (Cr)'!$C:$FB,68)</f>
        <v>1207</v>
      </c>
      <c r="P124" s="5">
        <f t="shared" si="43"/>
        <v>-54.1507024265645</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Capital_Goods</v>
      </c>
      <c r="B125" s="79" t="str">
        <f>'Data shares'!C120</f>
        <v>LT</v>
      </c>
      <c r="C125" s="4">
        <f>VLOOKUP($B125,'Data shares'!$C:$FB,7)</f>
        <v>4031.1</v>
      </c>
      <c r="D125" s="82">
        <f>VLOOKUP($B125,'Data shares'!$C:$FB,98)</f>
        <v>22728300</v>
      </c>
      <c r="E125" s="165">
        <f>VLOOKUP(B125,'Snapshot (Volume)'!$A$7:$G$168,7,0)</f>
        <v>22598275</v>
      </c>
      <c r="F125" s="165">
        <f t="shared" si="40"/>
        <v>130025</v>
      </c>
      <c r="G125" s="166">
        <f t="shared" si="41"/>
        <v>5.7537577536338506E-3</v>
      </c>
      <c r="H125" s="165">
        <f>VLOOKUP($B125,'Data shares'!$C:$FB,66)</f>
        <v>9133600</v>
      </c>
      <c r="I125" s="165">
        <f>VLOOKUP($B125,'Data shares'!$C:$FB,67)</f>
        <v>6798400</v>
      </c>
      <c r="J125" s="81">
        <f t="shared" si="42"/>
        <v>34.349258649093905</v>
      </c>
      <c r="K125" s="5">
        <f>VLOOKUP($B125,'Data Vlaue (Cr)'!$C:$FB,99)</f>
        <v>9183</v>
      </c>
      <c r="L125" s="81">
        <f>VLOOKUP(B125,'OI(Value)'!$A$7:$C$209,3,0)</f>
        <v>53</v>
      </c>
      <c r="M125" s="33">
        <f t="shared" si="44"/>
        <v>0.57715343569639554</v>
      </c>
      <c r="N125" s="5">
        <f>VLOOKUP($B125,'Data Vlaue (Cr)'!$C:$FB,67)</f>
        <v>3690</v>
      </c>
      <c r="O125" s="5">
        <f>VLOOKUP($B125,'Data Vlaue (Cr)'!$C:$FB,68)</f>
        <v>2747</v>
      </c>
      <c r="P125" s="5">
        <f t="shared" si="43"/>
        <v>25.555555555555554</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Finance</v>
      </c>
      <c r="B126" s="79" t="str">
        <f>'Data shares'!C121</f>
        <v>LTF</v>
      </c>
      <c r="C126" s="4">
        <f>VLOOKUP($B126,'Data shares'!$C:$FB,7)</f>
        <v>299.85000000000002</v>
      </c>
      <c r="D126" s="82">
        <f>VLOOKUP($B126,'Data shares'!$C:$FB,98)</f>
        <v>102761676</v>
      </c>
      <c r="E126" s="165">
        <f>VLOOKUP(B126,'Snapshot (Volume)'!$A$7:$G$168,7,0)</f>
        <v>102118206</v>
      </c>
      <c r="F126" s="165">
        <f t="shared" si="40"/>
        <v>643470</v>
      </c>
      <c r="G126" s="166">
        <f t="shared" si="41"/>
        <v>6.3012270309566543E-3</v>
      </c>
      <c r="H126" s="165">
        <f>VLOOKUP($B126,'Data shares'!$C:$FB,66)</f>
        <v>75314098</v>
      </c>
      <c r="I126" s="165">
        <f>VLOOKUP($B126,'Data shares'!$C:$FB,67)</f>
        <v>65127352</v>
      </c>
      <c r="J126" s="81">
        <f t="shared" si="42"/>
        <v>15.64127158125514</v>
      </c>
      <c r="K126" s="5">
        <f>VLOOKUP($B126,'Data Vlaue (Cr)'!$C:$FB,99)</f>
        <v>3091</v>
      </c>
      <c r="L126" s="81">
        <f>VLOOKUP(B126,'OI(Value)'!$A$7:$C$209,3,0)</f>
        <v>19</v>
      </c>
      <c r="M126" s="33">
        <f t="shared" si="44"/>
        <v>0.61468780329990291</v>
      </c>
      <c r="N126" s="5">
        <f>VLOOKUP($B126,'Data Vlaue (Cr)'!$C:$FB,67)</f>
        <v>2265</v>
      </c>
      <c r="O126" s="5">
        <f>VLOOKUP($B126,'Data Vlaue (Cr)'!$C:$FB,68)</f>
        <v>1959</v>
      </c>
      <c r="P126" s="5">
        <f t="shared" si="43"/>
        <v>13.509933774834437</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Technology</v>
      </c>
      <c r="B127" s="79" t="str">
        <f>'Data shares'!C122</f>
        <v>LTIM</v>
      </c>
      <c r="C127" s="4">
        <f>VLOOKUP($B127,'Data shares'!$C:$FB,7)</f>
        <v>6245</v>
      </c>
      <c r="D127" s="82">
        <f>VLOOKUP($B127,'Data shares'!$C:$FB,98)</f>
        <v>4157550</v>
      </c>
      <c r="E127" s="165">
        <f>VLOOKUP(B127,'Snapshot (Volume)'!$A$7:$G$168,7,0)</f>
        <v>3959850</v>
      </c>
      <c r="F127" s="165">
        <f>D127-E127</f>
        <v>197700</v>
      </c>
      <c r="G127" s="166">
        <f>F127/E127</f>
        <v>4.9926133565665366E-2</v>
      </c>
      <c r="H127" s="165">
        <f>VLOOKUP($B127,'Data shares'!$C:$FB,66)</f>
        <v>3282150</v>
      </c>
      <c r="I127" s="165">
        <f>VLOOKUP($B127,'Data shares'!$C:$FB,67)</f>
        <v>2610600</v>
      </c>
      <c r="J127" s="81">
        <f>(H127-I127)/I127*100</f>
        <v>25.72397150080441</v>
      </c>
      <c r="K127" s="5">
        <f>VLOOKUP($B127,'Data Vlaue (Cr)'!$C:$FB,99)</f>
        <v>2607</v>
      </c>
      <c r="L127" s="81">
        <f>VLOOKUP(B127,'OI(Value)'!$A$7:$C$209,3,0)</f>
        <v>124</v>
      </c>
      <c r="M127" s="33">
        <f t="shared" si="44"/>
        <v>4.7564250095895666</v>
      </c>
      <c r="N127" s="5">
        <f>VLOOKUP($B127,'Data Vlaue (Cr)'!$C:$FB,67)</f>
        <v>2058</v>
      </c>
      <c r="O127" s="5">
        <f>VLOOKUP($B127,'Data Vlaue (Cr)'!$C:$FB,68)</f>
        <v>1637</v>
      </c>
      <c r="P127" s="5">
        <f>(N127-O127)/N127*100</f>
        <v>20.456754130223516</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Pharma</v>
      </c>
      <c r="B128" s="79" t="str">
        <f>'Data shares'!C123</f>
        <v>LUPIN</v>
      </c>
      <c r="C128" s="4">
        <f>VLOOKUP($B128,'Data shares'!$C:$FB,7)</f>
        <v>2119.1</v>
      </c>
      <c r="D128" s="82">
        <f>VLOOKUP($B128,'Data shares'!$C:$FB,98)</f>
        <v>12431675</v>
      </c>
      <c r="E128" s="165">
        <f>VLOOKUP(B128,'Snapshot (Volume)'!$A$7:$G$168,7,0)</f>
        <v>12523475</v>
      </c>
      <c r="F128" s="165">
        <f>D128-E128</f>
        <v>-91800</v>
      </c>
      <c r="G128" s="166">
        <f>F128/E128</f>
        <v>-7.3302338208843789E-3</v>
      </c>
      <c r="H128" s="165">
        <f>VLOOKUP($B128,'Data shares'!$C:$FB,66)</f>
        <v>6707350</v>
      </c>
      <c r="I128" s="165">
        <f>VLOOKUP($B128,'Data shares'!$C:$FB,67)</f>
        <v>9213575</v>
      </c>
      <c r="J128" s="81">
        <f>(H128-I128)/I128*100</f>
        <v>-27.201439180774024</v>
      </c>
      <c r="K128" s="5">
        <f>VLOOKUP($B128,'Data Vlaue (Cr)'!$C:$FB,99)</f>
        <v>2635</v>
      </c>
      <c r="L128" s="81">
        <f>VLOOKUP(B128,'OI(Value)'!$A$7:$C$209,3,0)</f>
        <v>-19</v>
      </c>
      <c r="M128" s="33">
        <f t="shared" si="44"/>
        <v>-0.72106261859582543</v>
      </c>
      <c r="N128" s="5">
        <f>VLOOKUP($B128,'Data Vlaue (Cr)'!$C:$FB,67)</f>
        <v>1421</v>
      </c>
      <c r="O128" s="5">
        <f>VLOOKUP($B128,'Data Vlaue (Cr)'!$C:$FB,68)</f>
        <v>1953</v>
      </c>
      <c r="P128" s="5">
        <f>(N128-O128)/N128*100</f>
        <v>-37.438423645320199</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Automobile</v>
      </c>
      <c r="B129" s="79" t="str">
        <f>'Data shares'!C124</f>
        <v>M&amp;M</v>
      </c>
      <c r="C129" s="4">
        <f>VLOOKUP($B129,'Data shares'!$C:$FB,7)</f>
        <v>3586.6</v>
      </c>
      <c r="D129" s="82">
        <f>VLOOKUP($B129,'Data shares'!$C:$FB,98)</f>
        <v>29124800</v>
      </c>
      <c r="E129" s="165">
        <f>VLOOKUP(B129,'Snapshot (Volume)'!$A$7:$G$168,7,0)</f>
        <v>28718400</v>
      </c>
      <c r="F129" s="165">
        <f>D129-E129</f>
        <v>406400</v>
      </c>
      <c r="G129" s="166">
        <f>F129/E129</f>
        <v>1.4151206195331216E-2</v>
      </c>
      <c r="H129" s="165">
        <f>VLOOKUP($B129,'Data shares'!$C:$FB,66)</f>
        <v>18092600</v>
      </c>
      <c r="I129" s="165">
        <f>VLOOKUP($B129,'Data shares'!$C:$FB,67)</f>
        <v>8533200</v>
      </c>
      <c r="J129" s="81">
        <f>(H129-I129)/I129*100</f>
        <v>112.02596915576805</v>
      </c>
      <c r="K129" s="5">
        <f>VLOOKUP($B129,'Data Vlaue (Cr)'!$C:$FB,99)</f>
        <v>10465</v>
      </c>
      <c r="L129" s="81">
        <f>VLOOKUP(B129,'OI(Value)'!$A$7:$C$209,3,0)</f>
        <v>146</v>
      </c>
      <c r="M129" s="33">
        <f t="shared" si="44"/>
        <v>1.3951266125179169</v>
      </c>
      <c r="N129" s="5">
        <f>VLOOKUP($B129,'Data Vlaue (Cr)'!$C:$FB,67)</f>
        <v>6501</v>
      </c>
      <c r="O129" s="5">
        <f>VLOOKUP($B129,'Data Vlaue (Cr)'!$C:$FB,68)</f>
        <v>3066</v>
      </c>
      <c r="P129" s="5">
        <f>(N129-O129)/N129*100</f>
        <v>52.838024919243196</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Finance</v>
      </c>
      <c r="B130" s="79" t="str">
        <f>'Data shares'!C125</f>
        <v>MANAPPURAM</v>
      </c>
      <c r="C130" s="4">
        <f>VLOOKUP($B130,'Data shares'!$C:$FB,7)</f>
        <v>287.05</v>
      </c>
      <c r="D130" s="82">
        <f>VLOOKUP($B130,'Data shares'!$C:$FB,98)</f>
        <v>70836000</v>
      </c>
      <c r="E130" s="165">
        <f>VLOOKUP(B130,'Snapshot (Volume)'!$A$7:$G$168,7,0)</f>
        <v>69012000</v>
      </c>
      <c r="F130" s="165">
        <f>D130-E130</f>
        <v>1824000</v>
      </c>
      <c r="G130" s="166">
        <f>F130/E130</f>
        <v>2.6430186054599202E-2</v>
      </c>
      <c r="H130" s="165">
        <f>VLOOKUP($B130,'Data shares'!$C:$FB,66)</f>
        <v>63138000</v>
      </c>
      <c r="I130" s="165">
        <f>VLOOKUP($B130,'Data shares'!$C:$FB,67)</f>
        <v>26625000</v>
      </c>
      <c r="J130" s="81">
        <f>(H130-I130)/I130*100</f>
        <v>137.13802816901409</v>
      </c>
      <c r="K130" s="5">
        <f>VLOOKUP($B130,'Data Vlaue (Cr)'!$C:$FB,99)</f>
        <v>2036</v>
      </c>
      <c r="L130" s="81">
        <f>VLOOKUP(B130,'OI(Value)'!$A$7:$C$209,3,0)</f>
        <v>52</v>
      </c>
      <c r="M130" s="33">
        <f t="shared" si="44"/>
        <v>2.5540275049115913</v>
      </c>
      <c r="N130" s="5">
        <f>VLOOKUP($B130,'Data Vlaue (Cr)'!$C:$FB,67)</f>
        <v>1815</v>
      </c>
      <c r="O130" s="5">
        <f>VLOOKUP($B130,'Data Vlaue (Cr)'!$C:$FB,68)</f>
        <v>765</v>
      </c>
      <c r="P130" s="5">
        <f>(N130-O130)/N130*100</f>
        <v>57.851239669421481</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Pharma</v>
      </c>
      <c r="B131" s="79" t="str">
        <f>'Data shares'!C126</f>
        <v>MANKIND</v>
      </c>
      <c r="C131" s="4">
        <f>VLOOKUP($B131,'Data shares'!$C:$FB,7)</f>
        <v>2142</v>
      </c>
      <c r="D131" s="82">
        <f>VLOOKUP($B131,'Data shares'!$C:$FB,98)</f>
        <v>4274550</v>
      </c>
      <c r="E131" s="165">
        <f>VLOOKUP(B131,'Snapshot (Volume)'!$A$7:$G$168,7,0)</f>
        <v>4409100</v>
      </c>
      <c r="F131" s="165">
        <f>D131-E131</f>
        <v>-134550</v>
      </c>
      <c r="G131" s="166">
        <f>F131/E131</f>
        <v>-3.0516431924882629E-2</v>
      </c>
      <c r="H131" s="165">
        <f>VLOOKUP($B131,'Data shares'!$C:$FB,66)</f>
        <v>2174625</v>
      </c>
      <c r="I131" s="165">
        <f>VLOOKUP($B131,'Data shares'!$C:$FB,67)</f>
        <v>1764450</v>
      </c>
      <c r="J131" s="81">
        <f>(H131-I131)/I131*100</f>
        <v>23.246620760010199</v>
      </c>
      <c r="K131" s="5">
        <f>VLOOKUP($B131,'Data Vlaue (Cr)'!$C:$FB,99)</f>
        <v>918</v>
      </c>
      <c r="L131" s="81">
        <f>VLOOKUP(B131,'OI(Value)'!$A$7:$C$209,3,0)</f>
        <v>-29</v>
      </c>
      <c r="M131" s="33">
        <f t="shared" si="44"/>
        <v>-3.159041394335512</v>
      </c>
      <c r="N131" s="5">
        <f>VLOOKUP($B131,'Data Vlaue (Cr)'!$C:$FB,67)</f>
        <v>467</v>
      </c>
      <c r="O131" s="5">
        <f>VLOOKUP($B131,'Data Vlaue (Cr)'!$C:$FB,68)</f>
        <v>379</v>
      </c>
      <c r="P131" s="5">
        <f>(N131-O131)/N131*100</f>
        <v>18.843683083511777</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FMCG</v>
      </c>
      <c r="B132" s="79" t="str">
        <f>'Data shares'!C127</f>
        <v>MARICO</v>
      </c>
      <c r="C132" s="79">
        <f>VLOOKUP($B132,'Data shares'!$C:$FB,7)</f>
        <v>742.45</v>
      </c>
      <c r="D132" s="165">
        <f>VLOOKUP($B132,'Data shares'!$C:$FB,98)</f>
        <v>43657200</v>
      </c>
      <c r="E132" s="165">
        <f>VLOOKUP(B132,'Snapshot (Volume)'!$A$7:$G$168,7,0)</f>
        <v>44415600</v>
      </c>
      <c r="F132" s="165">
        <f t="shared" ref="F132:F139" si="45">D132-E132</f>
        <v>-758400</v>
      </c>
      <c r="G132" s="166">
        <f t="shared" ref="G132:G139" si="46">F132/E132</f>
        <v>-1.7075081728041498E-2</v>
      </c>
      <c r="H132" s="165">
        <f>VLOOKUP($B132,'Data shares'!$C:$FB,66)</f>
        <v>8433600</v>
      </c>
      <c r="I132" s="165">
        <f>VLOOKUP($B132,'Data shares'!$C:$FB,67)</f>
        <v>7419600</v>
      </c>
      <c r="J132" s="81">
        <f t="shared" ref="J132:J139" si="47">(H132-I132)/I132*100</f>
        <v>13.66650493288048</v>
      </c>
      <c r="K132" s="81">
        <f>VLOOKUP($B132,'Data Vlaue (Cr)'!$C:$FB,99)</f>
        <v>3244</v>
      </c>
      <c r="L132" s="81">
        <f>VLOOKUP(B132,'OI(Value)'!$A$7:$C$209,3,0)</f>
        <v>-56</v>
      </c>
      <c r="M132" s="81">
        <f t="shared" si="44"/>
        <v>-1.726263871763255</v>
      </c>
      <c r="N132" s="81">
        <f>VLOOKUP($B132,'Data Vlaue (Cr)'!$C:$FB,67)</f>
        <v>627</v>
      </c>
      <c r="O132" s="81">
        <f>VLOOKUP($B132,'Data Vlaue (Cr)'!$C:$FB,68)</f>
        <v>551</v>
      </c>
      <c r="P132" s="81">
        <f t="shared" ref="P132:P139" si="48">(N132-O132)/N132*100</f>
        <v>12.121212121212121</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Automobile</v>
      </c>
      <c r="B133" s="79" t="str">
        <f>'Data shares'!C128</f>
        <v>MARUTI</v>
      </c>
      <c r="C133" s="79">
        <f>VLOOKUP($B133,'Data shares'!$C:$FB,7)</f>
        <v>16329</v>
      </c>
      <c r="D133" s="165">
        <f>VLOOKUP($B133,'Data shares'!$C:$FB,98)</f>
        <v>5947500</v>
      </c>
      <c r="E133" s="165">
        <f>VLOOKUP(B133,'Snapshot (Volume)'!$A$7:$G$168,7,0)</f>
        <v>6002100</v>
      </c>
      <c r="F133" s="165">
        <f t="shared" si="45"/>
        <v>-54600</v>
      </c>
      <c r="G133" s="166">
        <f t="shared" si="46"/>
        <v>-9.0968161143599735E-3</v>
      </c>
      <c r="H133" s="165">
        <f>VLOOKUP($B133,'Data shares'!$C:$FB,66)</f>
        <v>5651100</v>
      </c>
      <c r="I133" s="165">
        <f>VLOOKUP($B133,'Data shares'!$C:$FB,67)</f>
        <v>3743800</v>
      </c>
      <c r="J133" s="81">
        <f t="shared" si="47"/>
        <v>50.945563331374544</v>
      </c>
      <c r="K133" s="81">
        <f>VLOOKUP($B133,'Data Vlaue (Cr)'!$C:$FB,99)</f>
        <v>9734</v>
      </c>
      <c r="L133" s="81">
        <f>VLOOKUP(B133,'OI(Value)'!$A$7:$C$209,3,0)</f>
        <v>-89</v>
      </c>
      <c r="M133" s="81">
        <f t="shared" si="44"/>
        <v>-0.91432093692212868</v>
      </c>
      <c r="N133" s="81">
        <f>VLOOKUP($B133,'Data Vlaue (Cr)'!$C:$FB,67)</f>
        <v>9249</v>
      </c>
      <c r="O133" s="81">
        <f>VLOOKUP($B133,'Data Vlaue (Cr)'!$C:$FB,68)</f>
        <v>6127</v>
      </c>
      <c r="P133" s="81">
        <f t="shared" si="48"/>
        <v>33.755000540598985</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Pharma</v>
      </c>
      <c r="B134" s="79" t="str">
        <f>'Data shares'!C129</f>
        <v>MAXHEALTH</v>
      </c>
      <c r="C134" s="4">
        <f>VLOOKUP($B134,'Data shares'!$C:$FB,7)</f>
        <v>1048.5</v>
      </c>
      <c r="D134" s="82">
        <f>VLOOKUP($B134,'Data shares'!$C:$FB,98)</f>
        <v>30499875</v>
      </c>
      <c r="E134" s="165">
        <f>VLOOKUP(B134,'Snapshot (Volume)'!$A$7:$G$168,7,0)</f>
        <v>30875250</v>
      </c>
      <c r="F134" s="165">
        <f t="shared" si="45"/>
        <v>-375375</v>
      </c>
      <c r="G134" s="166">
        <f t="shared" si="46"/>
        <v>-1.2157796293147423E-2</v>
      </c>
      <c r="H134" s="165">
        <f>VLOOKUP($B134,'Data shares'!$C:$FB,66)</f>
        <v>24296475</v>
      </c>
      <c r="I134" s="165">
        <f>VLOOKUP($B134,'Data shares'!$C:$FB,67)</f>
        <v>37061325</v>
      </c>
      <c r="J134" s="81">
        <f t="shared" si="47"/>
        <v>-34.442508464012015</v>
      </c>
      <c r="K134" s="5">
        <f>VLOOKUP($B134,'Data Vlaue (Cr)'!$C:$FB,99)</f>
        <v>3209</v>
      </c>
      <c r="L134" s="81">
        <f>VLOOKUP(B134,'OI(Value)'!$A$7:$C$209,3,0)</f>
        <v>-39</v>
      </c>
      <c r="M134" s="33">
        <f t="shared" si="44"/>
        <v>-1.2153318790900591</v>
      </c>
      <c r="N134" s="5">
        <f>VLOOKUP($B134,'Data Vlaue (Cr)'!$C:$FB,67)</f>
        <v>2556</v>
      </c>
      <c r="O134" s="5">
        <f>VLOOKUP($B134,'Data Vlaue (Cr)'!$C:$FB,68)</f>
        <v>3899</v>
      </c>
      <c r="P134" s="5">
        <f t="shared" si="48"/>
        <v>-52.543035993740219</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Infrastructure</v>
      </c>
      <c r="B135" s="79" t="str">
        <f>'Data shares'!C130</f>
        <v>MAZDOCK</v>
      </c>
      <c r="C135" s="4">
        <f>VLOOKUP($B135,'Data shares'!$C:$FB,7)</f>
        <v>2358</v>
      </c>
      <c r="D135" s="82">
        <f>VLOOKUP($B135,'Data shares'!$C:$FB,98)</f>
        <v>10519150</v>
      </c>
      <c r="E135" s="165">
        <f>VLOOKUP(B135,'Snapshot (Volume)'!$A$7:$G$168,7,0)</f>
        <v>10580050</v>
      </c>
      <c r="F135" s="165">
        <f t="shared" si="45"/>
        <v>-60900</v>
      </c>
      <c r="G135" s="166">
        <f t="shared" si="46"/>
        <v>-5.7561164644779565E-3</v>
      </c>
      <c r="H135" s="165">
        <f>VLOOKUP($B135,'Data shares'!$C:$FB,66)</f>
        <v>5486425</v>
      </c>
      <c r="I135" s="165">
        <f>VLOOKUP($B135,'Data shares'!$C:$FB,67)</f>
        <v>6462575</v>
      </c>
      <c r="J135" s="81">
        <f t="shared" si="47"/>
        <v>-15.104660294077826</v>
      </c>
      <c r="K135" s="5">
        <f>VLOOKUP($B135,'Data Vlaue (Cr)'!$C:$FB,99)</f>
        <v>2489</v>
      </c>
      <c r="L135" s="81">
        <f>VLOOKUP(B135,'OI(Value)'!$A$7:$C$209,3,0)</f>
        <v>-14</v>
      </c>
      <c r="M135" s="33">
        <f t="shared" si="44"/>
        <v>-0.56247488951386093</v>
      </c>
      <c r="N135" s="5">
        <f>VLOOKUP($B135,'Data Vlaue (Cr)'!$C:$FB,67)</f>
        <v>1298</v>
      </c>
      <c r="O135" s="5">
        <f>VLOOKUP($B135,'Data Vlaue (Cr)'!$C:$FB,68)</f>
        <v>1529</v>
      </c>
      <c r="P135" s="5">
        <f t="shared" si="48"/>
        <v>-17.796610169491526</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Finance</v>
      </c>
      <c r="B136" s="79" t="str">
        <f>'Data shares'!C131</f>
        <v>MCX</v>
      </c>
      <c r="C136" s="4">
        <f>VLOOKUP($B136,'Data shares'!$C:$FB,7)</f>
        <v>10172</v>
      </c>
      <c r="D136" s="82">
        <f>VLOOKUP($B136,'Data shares'!$C:$FB,98)</f>
        <v>7756500</v>
      </c>
      <c r="E136" s="165">
        <f>VLOOKUP(B136,'Snapshot (Volume)'!$A$7:$G$168,7,0)</f>
        <v>8026500</v>
      </c>
      <c r="F136" s="165">
        <f t="shared" si="45"/>
        <v>-270000</v>
      </c>
      <c r="G136" s="166">
        <f t="shared" si="46"/>
        <v>-3.3638572229489815E-2</v>
      </c>
      <c r="H136" s="165">
        <f>VLOOKUP($B136,'Data shares'!$C:$FB,66)</f>
        <v>10834875</v>
      </c>
      <c r="I136" s="165">
        <f>VLOOKUP($B136,'Data shares'!$C:$FB,67)</f>
        <v>6345000</v>
      </c>
      <c r="J136" s="81">
        <f t="shared" si="47"/>
        <v>70.762411347517727</v>
      </c>
      <c r="K136" s="5">
        <f>VLOOKUP($B136,'Data Vlaue (Cr)'!$C:$FB,99)</f>
        <v>7907</v>
      </c>
      <c r="L136" s="81">
        <f>VLOOKUP(B136,'OI(Value)'!$A$7:$C$209,3,0)</f>
        <v>-275</v>
      </c>
      <c r="M136" s="33">
        <f t="shared" si="44"/>
        <v>-3.4779309472619193</v>
      </c>
      <c r="N136" s="5">
        <f>VLOOKUP($B136,'Data Vlaue (Cr)'!$C:$FB,67)</f>
        <v>11045</v>
      </c>
      <c r="O136" s="5">
        <f>VLOOKUP($B136,'Data Vlaue (Cr)'!$C:$FB,68)</f>
        <v>6468</v>
      </c>
      <c r="P136" s="5">
        <f t="shared" si="48"/>
        <v>41.439565414214577</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MFSL</v>
      </c>
      <c r="C137" s="4">
        <f>VLOOKUP($B137,'Data shares'!$C:$FB,7)</f>
        <v>1686.6</v>
      </c>
      <c r="D137" s="82">
        <f>VLOOKUP($B137,'Data shares'!$C:$FB,98)</f>
        <v>10818400</v>
      </c>
      <c r="E137" s="165">
        <f>VLOOKUP(B137,'Snapshot (Volume)'!$A$7:$G$168,7,0)</f>
        <v>10808800</v>
      </c>
      <c r="F137" s="165">
        <f t="shared" si="45"/>
        <v>9600</v>
      </c>
      <c r="G137" s="166">
        <f t="shared" si="46"/>
        <v>8.8816519872696317E-4</v>
      </c>
      <c r="H137" s="165">
        <f>VLOOKUP($B137,'Data shares'!$C:$FB,66)</f>
        <v>2933600</v>
      </c>
      <c r="I137" s="165">
        <f>VLOOKUP($B137,'Data shares'!$C:$FB,67)</f>
        <v>3749600</v>
      </c>
      <c r="J137" s="81">
        <f t="shared" si="47"/>
        <v>-21.762321314273521</v>
      </c>
      <c r="K137" s="5">
        <f>VLOOKUP($B137,'Data Vlaue (Cr)'!$C:$FB,99)</f>
        <v>1827</v>
      </c>
      <c r="L137" s="81">
        <f>VLOOKUP(B137,'OI(Value)'!$A$7:$C$209,3,0)</f>
        <v>2</v>
      </c>
      <c r="M137" s="33">
        <f t="shared" si="44"/>
        <v>0.10946907498631638</v>
      </c>
      <c r="N137" s="5">
        <f>VLOOKUP($B137,'Data Vlaue (Cr)'!$C:$FB,67)</f>
        <v>495</v>
      </c>
      <c r="O137" s="5">
        <f>VLOOKUP($B137,'Data Vlaue (Cr)'!$C:$FB,68)</f>
        <v>633</v>
      </c>
      <c r="P137" s="5">
        <f t="shared" si="48"/>
        <v>-27.878787878787882</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Index</v>
      </c>
      <c r="B138" s="79" t="str">
        <f>'Data shares'!C133</f>
        <v>MIDCPNIFTY</v>
      </c>
      <c r="C138" s="4">
        <f>VLOOKUP($B138,'Data shares'!$C:$FB,7)</f>
        <v>13745.15</v>
      </c>
      <c r="D138" s="82">
        <f>VLOOKUP($B138,'Data shares'!$C:$FB,98)</f>
        <v>22409540</v>
      </c>
      <c r="E138" s="165">
        <f>VLOOKUP(B138,'Snapshot (Volume)'!$A$7:$G$168,7,0)</f>
        <v>22432160</v>
      </c>
      <c r="F138" s="165">
        <f t="shared" si="45"/>
        <v>-22620</v>
      </c>
      <c r="G138" s="166">
        <f t="shared" si="46"/>
        <v>-1.0083736920564047E-3</v>
      </c>
      <c r="H138" s="165">
        <f>VLOOKUP($B138,'Data shares'!$C:$FB,66)</f>
        <v>53968460</v>
      </c>
      <c r="I138" s="165">
        <f>VLOOKUP($B138,'Data shares'!$C:$FB,67)</f>
        <v>43679300</v>
      </c>
      <c r="J138" s="81">
        <f t="shared" si="47"/>
        <v>23.556146733120723</v>
      </c>
      <c r="K138" s="5">
        <f>VLOOKUP($B138,'Data Vlaue (Cr)'!$C:$FB,99)</f>
        <v>30875</v>
      </c>
      <c r="L138" s="81">
        <f>VLOOKUP(B138,'OI(Value)'!$A$7:$C$209,3,0)</f>
        <v>-31</v>
      </c>
      <c r="M138" s="33">
        <f t="shared" si="44"/>
        <v>-0.10040485829959514</v>
      </c>
      <c r="N138" s="5">
        <f>VLOOKUP($B138,'Data Vlaue (Cr)'!$C:$FB,67)</f>
        <v>74355</v>
      </c>
      <c r="O138" s="5">
        <f>VLOOKUP($B138,'Data Vlaue (Cr)'!$C:$FB,68)</f>
        <v>60179</v>
      </c>
      <c r="P138" s="5">
        <f t="shared" si="48"/>
        <v>19.065294869208525</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Automobile</v>
      </c>
      <c r="B139" s="79" t="str">
        <f>'Data shares'!C134</f>
        <v>MOTHERSON</v>
      </c>
      <c r="C139" s="4">
        <f>VLOOKUP($B139,'Data shares'!$C:$FB,7)</f>
        <v>117.15</v>
      </c>
      <c r="D139" s="82">
        <f>VLOOKUP($B139,'Data shares'!$C:$FB,98)</f>
        <v>291270150</v>
      </c>
      <c r="E139" s="165">
        <f>VLOOKUP(B139,'Snapshot (Volume)'!$A$7:$G$168,7,0)</f>
        <v>299191350</v>
      </c>
      <c r="F139" s="165">
        <f t="shared" si="45"/>
        <v>-7921200</v>
      </c>
      <c r="G139" s="166">
        <f t="shared" si="46"/>
        <v>-2.6475364344590843E-2</v>
      </c>
      <c r="H139" s="165">
        <f>VLOOKUP($B139,'Data shares'!$C:$FB,66)</f>
        <v>155238300</v>
      </c>
      <c r="I139" s="165">
        <f>VLOOKUP($B139,'Data shares'!$C:$FB,67)</f>
        <v>71260050</v>
      </c>
      <c r="J139" s="81">
        <f t="shared" si="47"/>
        <v>117.84758781392941</v>
      </c>
      <c r="K139" s="5">
        <f>VLOOKUP($B139,'Data Vlaue (Cr)'!$C:$FB,99)</f>
        <v>3419</v>
      </c>
      <c r="L139" s="81">
        <f>VLOOKUP(B139,'OI(Value)'!$A$7:$C$209,3,0)</f>
        <v>-93</v>
      </c>
      <c r="M139" s="33">
        <f t="shared" si="44"/>
        <v>-2.7200935946183096</v>
      </c>
      <c r="N139" s="5">
        <f>VLOOKUP($B139,'Data Vlaue (Cr)'!$C:$FB,67)</f>
        <v>1822</v>
      </c>
      <c r="O139" s="5">
        <f>VLOOKUP($B139,'Data Vlaue (Cr)'!$C:$FB,68)</f>
        <v>837</v>
      </c>
      <c r="P139" s="5">
        <f t="shared" si="48"/>
        <v>54.061470911086715</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Technology</v>
      </c>
      <c r="B140" s="79" t="str">
        <f>'Data shares'!C135</f>
        <v>MPHASIS</v>
      </c>
      <c r="C140" s="79">
        <f>VLOOKUP($B140,'Data shares'!$C:$FB,7)</f>
        <v>2887.9</v>
      </c>
      <c r="D140" s="165">
        <f>VLOOKUP($B140,'Data shares'!$C:$FB,98)</f>
        <v>9034850</v>
      </c>
      <c r="E140" s="165">
        <f>VLOOKUP(B140,'Snapshot (Volume)'!$A$7:$G$168,7,0)</f>
        <v>8825300</v>
      </c>
      <c r="F140" s="165">
        <f>D140-E140</f>
        <v>209550</v>
      </c>
      <c r="G140" s="166">
        <f>F140/E140</f>
        <v>2.3744235323445096E-2</v>
      </c>
      <c r="H140" s="165">
        <f>VLOOKUP($B140,'Data shares'!$C:$FB,66)</f>
        <v>5243975</v>
      </c>
      <c r="I140" s="165">
        <f>VLOOKUP($B140,'Data shares'!$C:$FB,67)</f>
        <v>2127125</v>
      </c>
      <c r="J140" s="81">
        <f>(H140-I140)/I140*100</f>
        <v>146.52876535229476</v>
      </c>
      <c r="K140" s="81">
        <f>VLOOKUP($B140,'Data Vlaue (Cr)'!$C:$FB,99)</f>
        <v>2612</v>
      </c>
      <c r="L140" s="81">
        <f>VLOOKUP(B140,'OI(Value)'!$A$7:$C$209,3,0)</f>
        <v>61</v>
      </c>
      <c r="M140" s="81">
        <f t="shared" si="44"/>
        <v>2.335375191424196</v>
      </c>
      <c r="N140" s="81">
        <f>VLOOKUP($B140,'Data Vlaue (Cr)'!$C:$FB,67)</f>
        <v>1516</v>
      </c>
      <c r="O140" s="81">
        <f>VLOOKUP($B140,'Data Vlaue (Cr)'!$C:$FB,68)</f>
        <v>615</v>
      </c>
      <c r="P140" s="81">
        <f>(N140-O140)/N140*100</f>
        <v>59.432717678100268</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Finance</v>
      </c>
      <c r="B141" s="79" t="str">
        <f>'Data shares'!C136</f>
        <v>MUTHOOTFIN</v>
      </c>
      <c r="C141" s="4">
        <f>VLOOKUP($B141,'Data shares'!$C:$FB,7)</f>
        <v>3749.9</v>
      </c>
      <c r="D141" s="82">
        <f>VLOOKUP($B141,'Data shares'!$C:$FB,98)</f>
        <v>8539025</v>
      </c>
      <c r="E141" s="165">
        <f>VLOOKUP(B141,'Snapshot (Volume)'!$A$7:$G$168,7,0)</f>
        <v>8446075</v>
      </c>
      <c r="F141" s="165">
        <f>D141-E141</f>
        <v>92950</v>
      </c>
      <c r="G141" s="166">
        <f>F141/E141</f>
        <v>1.1005111841891057E-2</v>
      </c>
      <c r="H141" s="165">
        <f>VLOOKUP($B141,'Data shares'!$C:$FB,66)</f>
        <v>7396400</v>
      </c>
      <c r="I141" s="165">
        <f>VLOOKUP($B141,'Data shares'!$C:$FB,67)</f>
        <v>11112750</v>
      </c>
      <c r="J141" s="81">
        <f>(H141-I141)/I141*100</f>
        <v>-33.442217272952242</v>
      </c>
      <c r="K141" s="5">
        <f>VLOOKUP($B141,'Data Vlaue (Cr)'!$C:$FB,99)</f>
        <v>3203</v>
      </c>
      <c r="L141" s="81">
        <f>VLOOKUP(B141,'OI(Value)'!$A$7:$C$209,3,0)</f>
        <v>35</v>
      </c>
      <c r="M141" s="33">
        <f t="shared" si="44"/>
        <v>1.0927255697783327</v>
      </c>
      <c r="N141" s="5">
        <f>VLOOKUP($B141,'Data Vlaue (Cr)'!$C:$FB,67)</f>
        <v>2774</v>
      </c>
      <c r="O141" s="5">
        <f>VLOOKUP($B141,'Data Vlaue (Cr)'!$C:$FB,68)</f>
        <v>4168</v>
      </c>
      <c r="P141" s="5">
        <f>(N141-O141)/N141*100</f>
        <v>-50.25234318673396</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Metals</v>
      </c>
      <c r="B142" s="79" t="str">
        <f>'Data shares'!C137</f>
        <v>NATIONALUM</v>
      </c>
      <c r="C142" s="4">
        <f>VLOOKUP($B142,'Data shares'!$C:$FB,7)</f>
        <v>279.25</v>
      </c>
      <c r="D142" s="82">
        <f>VLOOKUP($B142,'Data shares'!$C:$FB,98)</f>
        <v>120483750</v>
      </c>
      <c r="E142" s="165">
        <f>VLOOKUP(B142,'Snapshot (Volume)'!$A$7:$G$168,7,0)</f>
        <v>121065000</v>
      </c>
      <c r="F142" s="165">
        <f>D142-E142</f>
        <v>-581250</v>
      </c>
      <c r="G142" s="166">
        <f>F142/E142</f>
        <v>-4.8011398835336389E-3</v>
      </c>
      <c r="H142" s="165">
        <f>VLOOKUP($B142,'Data shares'!$C:$FB,66)</f>
        <v>98685000</v>
      </c>
      <c r="I142" s="165">
        <f>VLOOKUP($B142,'Data shares'!$C:$FB,67)</f>
        <v>98197500</v>
      </c>
      <c r="J142" s="81">
        <f>(H142-I142)/I142*100</f>
        <v>0.4964484839227068</v>
      </c>
      <c r="K142" s="5">
        <f>VLOOKUP($B142,'Data Vlaue (Cr)'!$C:$FB,99)</f>
        <v>3368</v>
      </c>
      <c r="L142" s="81">
        <f>VLOOKUP(B142,'OI(Value)'!$A$7:$C$209,3,0)</f>
        <v>-16</v>
      </c>
      <c r="M142" s="33">
        <f t="shared" si="44"/>
        <v>-0.47505938242280288</v>
      </c>
      <c r="N142" s="5">
        <f>VLOOKUP($B142,'Data Vlaue (Cr)'!$C:$FB,67)</f>
        <v>2759</v>
      </c>
      <c r="O142" s="5">
        <f>VLOOKUP($B142,'Data Vlaue (Cr)'!$C:$FB,68)</f>
        <v>2745</v>
      </c>
      <c r="P142" s="5">
        <f>(N142-O142)/N142*100</f>
        <v>0.50743022834360274</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New_Age</v>
      </c>
      <c r="B143" s="79" t="str">
        <f>'Data shares'!C138</f>
        <v>NAUKRI</v>
      </c>
      <c r="C143" s="4">
        <f>VLOOKUP($B143,'Data shares'!$C:$FB,7)</f>
        <v>1333.7</v>
      </c>
      <c r="D143" s="82">
        <f>VLOOKUP($B143,'Data shares'!$C:$FB,98)</f>
        <v>13563750</v>
      </c>
      <c r="E143" s="165">
        <f>VLOOKUP(B143,'Snapshot (Volume)'!$A$7:$G$168,7,0)</f>
        <v>13599000</v>
      </c>
      <c r="F143" s="165">
        <f>D143-E143</f>
        <v>-35250</v>
      </c>
      <c r="G143" s="166">
        <f>F143/E143</f>
        <v>-2.5921023604676815E-3</v>
      </c>
      <c r="H143" s="165">
        <f>VLOOKUP($B143,'Data shares'!$C:$FB,66)</f>
        <v>3292125</v>
      </c>
      <c r="I143" s="165">
        <f>VLOOKUP($B143,'Data shares'!$C:$FB,67)</f>
        <v>3103125</v>
      </c>
      <c r="J143" s="81">
        <f>(H143-I143)/I143*100</f>
        <v>6.0906344410876132</v>
      </c>
      <c r="K143" s="5">
        <f>VLOOKUP($B143,'Data Vlaue (Cr)'!$C:$FB,99)</f>
        <v>1813</v>
      </c>
      <c r="L143" s="81">
        <f>VLOOKUP(B143,'OI(Value)'!$A$7:$C$209,3,0)</f>
        <v>-5</v>
      </c>
      <c r="M143" s="33">
        <f t="shared" si="44"/>
        <v>-0.27578599007170435</v>
      </c>
      <c r="N143" s="5">
        <f>VLOOKUP($B143,'Data Vlaue (Cr)'!$C:$FB,67)</f>
        <v>440</v>
      </c>
      <c r="O143" s="5">
        <f>VLOOKUP($B143,'Data Vlaue (Cr)'!$C:$FB,68)</f>
        <v>415</v>
      </c>
      <c r="P143" s="5">
        <f>(N143-O143)/N143*100</f>
        <v>5.6818181818181817</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Realty</v>
      </c>
      <c r="B144" s="79" t="str">
        <f>'Data shares'!C139</f>
        <v>NBCC</v>
      </c>
      <c r="C144" s="4">
        <f>VLOOKUP($B144,'Data shares'!$C:$FB,7)</f>
        <v>108.26</v>
      </c>
      <c r="D144" s="82">
        <f>VLOOKUP($B144,'Data shares'!$C:$FB,98)</f>
        <v>176254000</v>
      </c>
      <c r="E144" s="165">
        <f>VLOOKUP(B144,'Snapshot (Volume)'!$A$7:$G$168,7,0)</f>
        <v>169097500</v>
      </c>
      <c r="F144" s="165">
        <f>D144-E144</f>
        <v>7156500</v>
      </c>
      <c r="G144" s="166">
        <f>F144/E144</f>
        <v>4.2321737459158175E-2</v>
      </c>
      <c r="H144" s="165">
        <f>VLOOKUP($B144,'Data shares'!$C:$FB,66)</f>
        <v>79163500</v>
      </c>
      <c r="I144" s="165">
        <f>VLOOKUP($B144,'Data shares'!$C:$FB,67)</f>
        <v>79319500</v>
      </c>
      <c r="J144" s="81">
        <f>(H144-I144)/I144*100</f>
        <v>-0.1966729492747685</v>
      </c>
      <c r="K144" s="5">
        <f>VLOOKUP($B144,'Data Vlaue (Cr)'!$C:$FB,99)</f>
        <v>1910</v>
      </c>
      <c r="L144" s="81">
        <f>VLOOKUP(B144,'OI(Value)'!$A$7:$C$209,3,0)</f>
        <v>78</v>
      </c>
      <c r="M144" s="33">
        <f t="shared" si="44"/>
        <v>4.0837696335078535</v>
      </c>
      <c r="N144" s="5">
        <f>VLOOKUP($B144,'Data Vlaue (Cr)'!$C:$FB,67)</f>
        <v>858</v>
      </c>
      <c r="O144" s="5">
        <f>VLOOKUP($B144,'Data Vlaue (Cr)'!$C:$FB,68)</f>
        <v>860</v>
      </c>
      <c r="P144" s="5">
        <f>(N144-O144)/N144*100</f>
        <v>-0.23310023310023309</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Infrastructure</v>
      </c>
      <c r="B145" s="79" t="str">
        <f>'Data shares'!C140</f>
        <v>NCC</v>
      </c>
      <c r="C145" s="4">
        <f>VLOOKUP($B145,'Data shares'!$C:$FB,7)</f>
        <v>153.07</v>
      </c>
      <c r="D145" s="82">
        <f>VLOOKUP($B145,'Data shares'!$C:$FB,98)</f>
        <v>56192400</v>
      </c>
      <c r="E145" s="165">
        <f>VLOOKUP(B145,'Snapshot (Volume)'!$A$7:$G$168,7,0)</f>
        <v>55995300</v>
      </c>
      <c r="F145" s="165">
        <f t="shared" ref="F145:F152" si="49">D145-E145</f>
        <v>197100</v>
      </c>
      <c r="G145" s="166">
        <f t="shared" ref="G145:G153" si="50">F145/E145</f>
        <v>3.5199382805342593E-3</v>
      </c>
      <c r="H145" s="165">
        <f>VLOOKUP($B145,'Data shares'!$C:$FB,66)</f>
        <v>21486600</v>
      </c>
      <c r="I145" s="165">
        <f>VLOOKUP($B145,'Data shares'!$C:$FB,67)</f>
        <v>20160900</v>
      </c>
      <c r="J145" s="81">
        <f t="shared" ref="J145:J153" si="51">(H145-I145)/I145*100</f>
        <v>6.5755993036025178</v>
      </c>
      <c r="K145" s="5">
        <f>VLOOKUP($B145,'Data Vlaue (Cr)'!$C:$FB,99)</f>
        <v>861</v>
      </c>
      <c r="L145" s="81">
        <f>VLOOKUP(B145,'OI(Value)'!$A$7:$C$209,3,0)</f>
        <v>3</v>
      </c>
      <c r="M145" s="33">
        <f t="shared" ref="M145:M153" si="52">L145/K145*100</f>
        <v>0.34843205574912894</v>
      </c>
      <c r="N145" s="5">
        <f>VLOOKUP($B145,'Data Vlaue (Cr)'!$C:$FB,67)</f>
        <v>329</v>
      </c>
      <c r="O145" s="5">
        <f>VLOOKUP($B145,'Data Vlaue (Cr)'!$C:$FB,68)</f>
        <v>309</v>
      </c>
      <c r="P145" s="5">
        <f t="shared" ref="P145:P152" si="53">(N145-O145)/N145*100</f>
        <v>6.0790273556231007</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FMCG</v>
      </c>
      <c r="B146" s="79" t="str">
        <f>'Data shares'!C141</f>
        <v>NESTLEIND</v>
      </c>
      <c r="C146" s="4">
        <f>VLOOKUP($B146,'Data shares'!$C:$FB,7)</f>
        <v>1233.5</v>
      </c>
      <c r="D146" s="82">
        <f>VLOOKUP($B146,'Data shares'!$C:$FB,98)</f>
        <v>26131500</v>
      </c>
      <c r="E146" s="165">
        <f>VLOOKUP(B146,'Snapshot (Volume)'!$A$7:$G$168,7,0)</f>
        <v>26070000</v>
      </c>
      <c r="F146" s="165">
        <f t="shared" si="49"/>
        <v>61500</v>
      </c>
      <c r="G146" s="166">
        <f t="shared" si="50"/>
        <v>2.3590333716915993E-3</v>
      </c>
      <c r="H146" s="165">
        <f>VLOOKUP($B146,'Data shares'!$C:$FB,66)</f>
        <v>5881500</v>
      </c>
      <c r="I146" s="165">
        <f>VLOOKUP($B146,'Data shares'!$C:$FB,67)</f>
        <v>8468000</v>
      </c>
      <c r="J146" s="81">
        <f t="shared" si="51"/>
        <v>-30.544402456306091</v>
      </c>
      <c r="K146" s="5">
        <f>VLOOKUP($B146,'Data Vlaue (Cr)'!$C:$FB,99)</f>
        <v>3232</v>
      </c>
      <c r="L146" s="81">
        <f>VLOOKUP(B146,'OI(Value)'!$A$7:$C$209,3,0)</f>
        <v>8</v>
      </c>
      <c r="M146" s="33">
        <f t="shared" si="52"/>
        <v>0.24752475247524752</v>
      </c>
      <c r="N146" s="5">
        <f>VLOOKUP($B146,'Data Vlaue (Cr)'!$C:$FB,67)</f>
        <v>727</v>
      </c>
      <c r="O146" s="5">
        <f>VLOOKUP($B146,'Data Vlaue (Cr)'!$C:$FB,68)</f>
        <v>1047</v>
      </c>
      <c r="P146" s="5">
        <f t="shared" si="53"/>
        <v>-44.016506189821179</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Power</v>
      </c>
      <c r="B147" s="79" t="str">
        <f>'Data shares'!C142</f>
        <v>NHPC</v>
      </c>
      <c r="C147" s="4">
        <f>VLOOKUP($B147,'Data shares'!$C:$FB,7)</f>
        <v>75.040000000000006</v>
      </c>
      <c r="D147" s="82">
        <f>VLOOKUP($B147,'Data shares'!$C:$FB,98)</f>
        <v>143923200</v>
      </c>
      <c r="E147" s="165">
        <f>VLOOKUP(B147,'Snapshot (Volume)'!$A$7:$G$168,7,0)</f>
        <v>141932800</v>
      </c>
      <c r="F147" s="165">
        <f t="shared" si="49"/>
        <v>1990400</v>
      </c>
      <c r="G147" s="166">
        <f t="shared" si="50"/>
        <v>1.4023537899625738E-2</v>
      </c>
      <c r="H147" s="165">
        <f>VLOOKUP($B147,'Data shares'!$C:$FB,66)</f>
        <v>42611200</v>
      </c>
      <c r="I147" s="165">
        <f>VLOOKUP($B147,'Data shares'!$C:$FB,67)</f>
        <v>38329600</v>
      </c>
      <c r="J147" s="81">
        <f t="shared" si="51"/>
        <v>11.170479211888463</v>
      </c>
      <c r="K147" s="5">
        <f>VLOOKUP($B147,'Data Vlaue (Cr)'!$C:$FB,99)</f>
        <v>1083</v>
      </c>
      <c r="L147" s="81">
        <f>VLOOKUP(B147,'OI(Value)'!$A$7:$C$209,3,0)</f>
        <v>15</v>
      </c>
      <c r="M147" s="33">
        <f t="shared" si="52"/>
        <v>1.3850415512465373</v>
      </c>
      <c r="N147" s="5">
        <f>VLOOKUP($B147,'Data Vlaue (Cr)'!$C:$FB,67)</f>
        <v>321</v>
      </c>
      <c r="O147" s="5">
        <f>VLOOKUP($B147,'Data Vlaue (Cr)'!$C:$FB,68)</f>
        <v>288</v>
      </c>
      <c r="P147" s="5">
        <f t="shared" si="53"/>
        <v>10.2803738317757</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Index</v>
      </c>
      <c r="B148" s="79" t="str">
        <f>'Data shares'!C143</f>
        <v>NIFTY</v>
      </c>
      <c r="C148" s="4">
        <f>VLOOKUP($B148,'Data shares'!$C:$FB,7)</f>
        <v>25815.55</v>
      </c>
      <c r="D148" s="82">
        <f>VLOOKUP($B148,'Data shares'!$C:$FB,98)</f>
        <v>486108005</v>
      </c>
      <c r="E148" s="165">
        <f>VLOOKUP(B148,'Snapshot (Volume)'!$A$7:$G$168,7,0)</f>
        <v>453053130</v>
      </c>
      <c r="F148" s="165">
        <f t="shared" si="49"/>
        <v>33054875</v>
      </c>
      <c r="G148" s="166">
        <f t="shared" si="50"/>
        <v>7.2960261857146866E-2</v>
      </c>
      <c r="H148" s="165">
        <f>VLOOKUP($B148,'Data shares'!$C:$FB,66)</f>
        <v>4192861200</v>
      </c>
      <c r="I148" s="165">
        <f>VLOOKUP($B148,'Data shares'!$C:$FB,67)</f>
        <v>3543722625</v>
      </c>
      <c r="J148" s="81">
        <f t="shared" si="51"/>
        <v>18.317984890253651</v>
      </c>
      <c r="K148" s="5">
        <f>VLOOKUP($B148,'Data Vlaue (Cr)'!$C:$FB,99)</f>
        <v>1258077</v>
      </c>
      <c r="L148" s="81">
        <f>VLOOKUP(B148,'OI(Value)'!$A$7:$C$209,3,0)</f>
        <v>85548</v>
      </c>
      <c r="M148" s="33">
        <f t="shared" si="52"/>
        <v>6.7999017548210485</v>
      </c>
      <c r="N148" s="5">
        <f>VLOOKUP($B148,'Data Vlaue (Cr)'!$C:$FB,67)</f>
        <v>10851376</v>
      </c>
      <c r="O148" s="5">
        <f>VLOOKUP($B148,'Data Vlaue (Cr)'!$C:$FB,68)</f>
        <v>9171367</v>
      </c>
      <c r="P148" s="5">
        <f t="shared" si="53"/>
        <v>15.48199048673643</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Index</v>
      </c>
      <c r="B149" s="79" t="str">
        <f>'Data shares'!C144</f>
        <v>NIFTYNXT50</v>
      </c>
      <c r="C149" s="4">
        <f>VLOOKUP($B149,'Data shares'!$C:$FB,7)</f>
        <v>67830.25</v>
      </c>
      <c r="D149" s="82">
        <f>VLOOKUP($B149,'Data shares'!$C:$FB,98)</f>
        <v>64875</v>
      </c>
      <c r="E149" s="165">
        <f>VLOOKUP(B149,'Snapshot (Volume)'!$A$7:$G$168,7,0)</f>
        <v>60700</v>
      </c>
      <c r="F149" s="165">
        <f t="shared" si="49"/>
        <v>4175</v>
      </c>
      <c r="G149" s="166">
        <f t="shared" si="50"/>
        <v>6.8780889621087318E-2</v>
      </c>
      <c r="H149" s="165">
        <f>VLOOKUP($B149,'Data shares'!$C:$FB,66)</f>
        <v>39125</v>
      </c>
      <c r="I149" s="165">
        <f>VLOOKUP($B149,'Data shares'!$C:$FB,67)</f>
        <v>26775</v>
      </c>
      <c r="J149" s="81">
        <f t="shared" si="51"/>
        <v>46.125116713352007</v>
      </c>
      <c r="K149" s="5">
        <f>VLOOKUP($B149,'Data Vlaue (Cr)'!$C:$FB,99)</f>
        <v>440</v>
      </c>
      <c r="L149" s="81">
        <f>VLOOKUP(B149,'OI(Value)'!$A$7:$C$209,3,0)</f>
        <v>28</v>
      </c>
      <c r="M149" s="33">
        <f t="shared" si="52"/>
        <v>6.3636363636363633</v>
      </c>
      <c r="N149" s="5">
        <f>VLOOKUP($B149,'Data Vlaue (Cr)'!$C:$FB,67)</f>
        <v>266</v>
      </c>
      <c r="O149" s="5">
        <f>VLOOKUP($B149,'Data Vlaue (Cr)'!$C:$FB,68)</f>
        <v>182</v>
      </c>
      <c r="P149" s="5">
        <f t="shared" si="53"/>
        <v>31.578947368421051</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Metals</v>
      </c>
      <c r="B150" s="79" t="str">
        <f>'Data shares'!C145</f>
        <v>NMDC</v>
      </c>
      <c r="C150" s="4">
        <f>VLOOKUP($B150,'Data shares'!$C:$FB,7)</f>
        <v>76.510000000000005</v>
      </c>
      <c r="D150" s="82">
        <f>VLOOKUP($B150,'Data shares'!$C:$FB,98)</f>
        <v>519237000</v>
      </c>
      <c r="E150" s="165">
        <f>VLOOKUP(B150,'Snapshot (Volume)'!$A$7:$G$168,7,0)</f>
        <v>517880250</v>
      </c>
      <c r="F150" s="165">
        <f t="shared" si="49"/>
        <v>1356750</v>
      </c>
      <c r="G150" s="166">
        <f t="shared" si="50"/>
        <v>2.6198141365692167E-3</v>
      </c>
      <c r="H150" s="165">
        <f>VLOOKUP($B150,'Data shares'!$C:$FB,66)</f>
        <v>101412000</v>
      </c>
      <c r="I150" s="165">
        <f>VLOOKUP($B150,'Data shares'!$C:$FB,67)</f>
        <v>122688000</v>
      </c>
      <c r="J150" s="81">
        <f t="shared" si="51"/>
        <v>-17.341549295774648</v>
      </c>
      <c r="K150" s="5">
        <f>VLOOKUP($B150,'Data Vlaue (Cr)'!$C:$FB,99)</f>
        <v>3984</v>
      </c>
      <c r="L150" s="81">
        <f>VLOOKUP(B150,'OI(Value)'!$A$7:$C$209,3,0)</f>
        <v>10</v>
      </c>
      <c r="M150" s="33">
        <f t="shared" si="52"/>
        <v>0.25100401606425704</v>
      </c>
      <c r="N150" s="5">
        <f>VLOOKUP($B150,'Data Vlaue (Cr)'!$C:$FB,67)</f>
        <v>778</v>
      </c>
      <c r="O150" s="5">
        <f>VLOOKUP($B150,'Data Vlaue (Cr)'!$C:$FB,68)</f>
        <v>941</v>
      </c>
      <c r="P150" s="5">
        <f t="shared" si="53"/>
        <v>-20.951156812339331</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Power</v>
      </c>
      <c r="B151" s="79" t="str">
        <f>'Data shares'!C146</f>
        <v>NTPC</v>
      </c>
      <c r="C151" s="4">
        <f>VLOOKUP($B151,'Data shares'!$C:$FB,7)</f>
        <v>318.5</v>
      </c>
      <c r="D151" s="82">
        <f>VLOOKUP($B151,'Data shares'!$C:$FB,98)</f>
        <v>150919500</v>
      </c>
      <c r="E151" s="165">
        <f>VLOOKUP(B151,'Snapshot (Volume)'!$A$7:$G$168,7,0)</f>
        <v>148477500</v>
      </c>
      <c r="F151" s="165">
        <f t="shared" si="49"/>
        <v>2442000</v>
      </c>
      <c r="G151" s="166">
        <f t="shared" si="50"/>
        <v>1.6446936404505733E-2</v>
      </c>
      <c r="H151" s="165">
        <f>VLOOKUP($B151,'Data shares'!$C:$FB,66)</f>
        <v>45489000</v>
      </c>
      <c r="I151" s="165">
        <f>VLOOKUP($B151,'Data shares'!$C:$FB,67)</f>
        <v>27538500</v>
      </c>
      <c r="J151" s="81">
        <f t="shared" si="51"/>
        <v>65.183288850155236</v>
      </c>
      <c r="K151" s="5">
        <f>VLOOKUP($B151,'Data Vlaue (Cr)'!$C:$FB,99)</f>
        <v>4816</v>
      </c>
      <c r="L151" s="81">
        <f>VLOOKUP(B151,'OI(Value)'!$A$7:$C$209,3,0)</f>
        <v>78</v>
      </c>
      <c r="M151" s="33">
        <f t="shared" si="52"/>
        <v>1.6196013289036544</v>
      </c>
      <c r="N151" s="5">
        <f>VLOOKUP($B151,'Data Vlaue (Cr)'!$C:$FB,67)</f>
        <v>1452</v>
      </c>
      <c r="O151" s="5">
        <f>VLOOKUP($B151,'Data Vlaue (Cr)'!$C:$FB,68)</f>
        <v>879</v>
      </c>
      <c r="P151" s="5">
        <f t="shared" si="53"/>
        <v>39.462809917355372</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Finance</v>
      </c>
      <c r="B152" s="79" t="str">
        <f>'Data shares'!C147</f>
        <v>NUVAMA</v>
      </c>
      <c r="C152" s="4">
        <f>VLOOKUP($B152,'Data shares'!$C:$FB,7)</f>
        <v>7301.5</v>
      </c>
      <c r="D152" s="82">
        <f>VLOOKUP($B152,'Data shares'!$C:$FB,98)</f>
        <v>1108075</v>
      </c>
      <c r="E152" s="165">
        <f>VLOOKUP(B152,'Snapshot (Volume)'!$A$7:$G$168,7,0)</f>
        <v>882575</v>
      </c>
      <c r="F152" s="165">
        <f t="shared" si="49"/>
        <v>225500</v>
      </c>
      <c r="G152" s="166">
        <f t="shared" si="50"/>
        <v>0.25550236523808173</v>
      </c>
      <c r="H152" s="165">
        <f>VLOOKUP($B152,'Data shares'!$C:$FB,66)</f>
        <v>5335350</v>
      </c>
      <c r="I152" s="165">
        <f>VLOOKUP($B152,'Data shares'!$C:$FB,67)</f>
        <v>553725</v>
      </c>
      <c r="J152" s="81">
        <f t="shared" si="51"/>
        <v>863.53785723960448</v>
      </c>
      <c r="K152" s="5">
        <f>VLOOKUP($B152,'Data Vlaue (Cr)'!$C:$FB,99)</f>
        <v>812</v>
      </c>
      <c r="L152" s="81">
        <f>VLOOKUP(B152,'OI(Value)'!$A$7:$C$209,3,0)</f>
        <v>165</v>
      </c>
      <c r="M152" s="33">
        <f t="shared" si="52"/>
        <v>20.320197044334975</v>
      </c>
      <c r="N152" s="5">
        <f>VLOOKUP($B152,'Data Vlaue (Cr)'!$C:$FB,67)</f>
        <v>3912</v>
      </c>
      <c r="O152" s="5">
        <f>VLOOKUP($B152,'Data Vlaue (Cr)'!$C:$FB,68)</f>
        <v>406</v>
      </c>
      <c r="P152" s="5">
        <f t="shared" si="53"/>
        <v>89.621676891615536</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New_Age</v>
      </c>
      <c r="B153" s="79" t="str">
        <f>'Data shares'!C148</f>
        <v>NYKAA</v>
      </c>
      <c r="C153" s="4">
        <f>VLOOKUP($B153,'Data shares'!$C:$FB,7)</f>
        <v>244.1</v>
      </c>
      <c r="D153" s="82">
        <f>VLOOKUP($B153,'Data shares'!$C:$FB,98)</f>
        <v>89521875</v>
      </c>
      <c r="E153" s="165">
        <f>VLOOKUP(B153,'Snapshot (Volume)'!$A$7:$G$168,7,0)</f>
        <v>88103125</v>
      </c>
      <c r="F153" s="165">
        <f>D153-E153</f>
        <v>1418750</v>
      </c>
      <c r="G153" s="166">
        <f t="shared" si="50"/>
        <v>1.6103288050225234E-2</v>
      </c>
      <c r="H153" s="165">
        <f>VLOOKUP($B153,'Data shares'!$C:$FB,66)</f>
        <v>34593750</v>
      </c>
      <c r="I153" s="165">
        <f>VLOOKUP($B153,'Data shares'!$C:$FB,67)</f>
        <v>21200000</v>
      </c>
      <c r="J153" s="81">
        <f t="shared" si="51"/>
        <v>63.178066037735846</v>
      </c>
      <c r="K153" s="5">
        <f>VLOOKUP($B153,'Data Vlaue (Cr)'!$C:$FB,99)</f>
        <v>2194</v>
      </c>
      <c r="L153" s="81">
        <f>VLOOKUP(B153,'OI(Value)'!$A$7:$C$209,3,0)</f>
        <v>35</v>
      </c>
      <c r="M153" s="33">
        <f t="shared" si="52"/>
        <v>1.5952597994530537</v>
      </c>
      <c r="N153" s="5">
        <f>VLOOKUP($B153,'Data Vlaue (Cr)'!$C:$FB,67)</f>
        <v>848</v>
      </c>
      <c r="O153" s="5">
        <f>VLOOKUP($B153,'Data Vlaue (Cr)'!$C:$FB,68)</f>
        <v>520</v>
      </c>
      <c r="P153" s="5">
        <f>(N153-O153)/N153*100</f>
        <v>38.679245283018872</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Realty</v>
      </c>
      <c r="B154" s="79" t="str">
        <f>'Data shares'!C149</f>
        <v>OBEROIRLTY</v>
      </c>
      <c r="C154" s="4">
        <f>VLOOKUP($B154,'Data shares'!$C:$FB,7)</f>
        <v>1658.2</v>
      </c>
      <c r="D154" s="82">
        <f>VLOOKUP($B154,'Data shares'!$C:$FB,98)</f>
        <v>8097250</v>
      </c>
      <c r="E154" s="165">
        <f>VLOOKUP(B154,'Snapshot (Volume)'!$A$7:$G$168,7,0)</f>
        <v>8207150</v>
      </c>
      <c r="F154" s="165">
        <f t="shared" ref="F154:F166" si="54">D154-E154</f>
        <v>-109900</v>
      </c>
      <c r="G154" s="166">
        <f t="shared" ref="G154:G166" si="55">F154/E154</f>
        <v>-1.3390762932321209E-2</v>
      </c>
      <c r="H154" s="165">
        <f>VLOOKUP($B154,'Data shares'!$C:$FB,66)</f>
        <v>6038900</v>
      </c>
      <c r="I154" s="165">
        <f>VLOOKUP($B154,'Data shares'!$C:$FB,67)</f>
        <v>2490600</v>
      </c>
      <c r="J154" s="81">
        <f t="shared" ref="J154:J166" si="56">(H154-I154)/I154*100</f>
        <v>142.46767847105116</v>
      </c>
      <c r="K154" s="5">
        <f>VLOOKUP($B154,'Data Vlaue (Cr)'!$C:$FB,99)</f>
        <v>1339</v>
      </c>
      <c r="L154" s="81">
        <f>VLOOKUP(B154,'OI(Value)'!$A$7:$C$209,3,0)</f>
        <v>-18</v>
      </c>
      <c r="M154" s="33">
        <f t="shared" ref="M154:M166" si="57">L154/K154*100</f>
        <v>-1.344286781179985</v>
      </c>
      <c r="N154" s="5">
        <f>VLOOKUP($B154,'Data Vlaue (Cr)'!$C:$FB,67)</f>
        <v>999</v>
      </c>
      <c r="O154" s="5">
        <f>VLOOKUP($B154,'Data Vlaue (Cr)'!$C:$FB,68)</f>
        <v>412</v>
      </c>
      <c r="P154" s="5">
        <f t="shared" ref="P154:P161" si="58">(N154-O154)/N154*100</f>
        <v>58.758758758758759</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Technology</v>
      </c>
      <c r="B155" s="79" t="str">
        <f>'Data shares'!C150</f>
        <v>OFSS</v>
      </c>
      <c r="C155" s="4">
        <f>VLOOKUP($B155,'Data shares'!$C:$FB,7)</f>
        <v>7662.5</v>
      </c>
      <c r="D155" s="82">
        <f>VLOOKUP($B155,'Data shares'!$C:$FB,98)</f>
        <v>2834475</v>
      </c>
      <c r="E155" s="165">
        <f>VLOOKUP(B155,'Snapshot (Volume)'!$A$7:$G$168,7,0)</f>
        <v>2753925</v>
      </c>
      <c r="F155" s="165">
        <f t="shared" si="54"/>
        <v>80550</v>
      </c>
      <c r="G155" s="166">
        <f t="shared" si="55"/>
        <v>2.9249162558893215E-2</v>
      </c>
      <c r="H155" s="165">
        <f>VLOOKUP($B155,'Data shares'!$C:$FB,66)</f>
        <v>2095575</v>
      </c>
      <c r="I155" s="165">
        <f>VLOOKUP($B155,'Data shares'!$C:$FB,67)</f>
        <v>1397925</v>
      </c>
      <c r="J155" s="81">
        <f t="shared" si="56"/>
        <v>49.906110842856378</v>
      </c>
      <c r="K155" s="5">
        <f>VLOOKUP($B155,'Data Vlaue (Cr)'!$C:$FB,99)</f>
        <v>2178</v>
      </c>
      <c r="L155" s="81">
        <f>VLOOKUP(B155,'OI(Value)'!$A$7:$C$209,3,0)</f>
        <v>62</v>
      </c>
      <c r="M155" s="33">
        <f t="shared" si="57"/>
        <v>2.8466483011937558</v>
      </c>
      <c r="N155" s="5">
        <f>VLOOKUP($B155,'Data Vlaue (Cr)'!$C:$FB,67)</f>
        <v>1610</v>
      </c>
      <c r="O155" s="5">
        <f>VLOOKUP($B155,'Data Vlaue (Cr)'!$C:$FB,68)</f>
        <v>1074</v>
      </c>
      <c r="P155" s="5">
        <f t="shared" si="58"/>
        <v>33.29192546583851</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Oil_Gas</v>
      </c>
      <c r="B156" s="79" t="str">
        <f>'Data shares'!C151</f>
        <v>OIL</v>
      </c>
      <c r="C156" s="4">
        <f>VLOOKUP($B156,'Data shares'!$C:$FB,7)</f>
        <v>399.85</v>
      </c>
      <c r="D156" s="82">
        <f>VLOOKUP($B156,'Data shares'!$C:$FB,98)</f>
        <v>22040200</v>
      </c>
      <c r="E156" s="165">
        <f>VLOOKUP(B156,'Snapshot (Volume)'!$A$7:$G$168,7,0)</f>
        <v>22303400</v>
      </c>
      <c r="F156" s="165">
        <f t="shared" si="54"/>
        <v>-263200</v>
      </c>
      <c r="G156" s="166">
        <f t="shared" si="55"/>
        <v>-1.1800891343920658E-2</v>
      </c>
      <c r="H156" s="165">
        <f>VLOOKUP($B156,'Data shares'!$C:$FB,66)</f>
        <v>5482400</v>
      </c>
      <c r="I156" s="165">
        <f>VLOOKUP($B156,'Data shares'!$C:$FB,67)</f>
        <v>6237000</v>
      </c>
      <c r="J156" s="81">
        <f t="shared" si="56"/>
        <v>-12.098765432098766</v>
      </c>
      <c r="K156" s="5">
        <f>VLOOKUP($B156,'Data Vlaue (Cr)'!$C:$FB,99)</f>
        <v>885</v>
      </c>
      <c r="L156" s="81">
        <f>VLOOKUP(B156,'OI(Value)'!$A$7:$C$209,3,0)</f>
        <v>-11</v>
      </c>
      <c r="M156" s="33">
        <f t="shared" si="57"/>
        <v>-1.2429378531073447</v>
      </c>
      <c r="N156" s="5">
        <f>VLOOKUP($B156,'Data Vlaue (Cr)'!$C:$FB,67)</f>
        <v>220</v>
      </c>
      <c r="O156" s="5">
        <f>VLOOKUP($B156,'Data Vlaue (Cr)'!$C:$FB,68)</f>
        <v>250</v>
      </c>
      <c r="P156" s="5">
        <f t="shared" si="58"/>
        <v>-13.636363636363635</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Oil_Gas</v>
      </c>
      <c r="B157" s="79" t="str">
        <f>'Data shares'!C152</f>
        <v>ONGC</v>
      </c>
      <c r="C157" s="4">
        <f>VLOOKUP($B157,'Data shares'!$C:$FB,7)</f>
        <v>232</v>
      </c>
      <c r="D157" s="82">
        <f>VLOOKUP($B157,'Data shares'!$C:$FB,98)</f>
        <v>191391750</v>
      </c>
      <c r="E157" s="165">
        <f>VLOOKUP(B157,'Snapshot (Volume)'!$A$7:$G$168,7,0)</f>
        <v>191153250</v>
      </c>
      <c r="F157" s="165">
        <f t="shared" si="54"/>
        <v>238500</v>
      </c>
      <c r="G157" s="166">
        <f t="shared" si="55"/>
        <v>1.2476900078863425E-3</v>
      </c>
      <c r="H157" s="165">
        <f>VLOOKUP($B157,'Data shares'!$C:$FB,66)</f>
        <v>54828000</v>
      </c>
      <c r="I157" s="165">
        <f>VLOOKUP($B157,'Data shares'!$C:$FB,67)</f>
        <v>68886000</v>
      </c>
      <c r="J157" s="81">
        <f t="shared" si="56"/>
        <v>-20.407629997386987</v>
      </c>
      <c r="K157" s="5">
        <f>VLOOKUP($B157,'Data Vlaue (Cr)'!$C:$FB,99)</f>
        <v>4444</v>
      </c>
      <c r="L157" s="81">
        <f>VLOOKUP(B157,'OI(Value)'!$A$7:$C$209,3,0)</f>
        <v>6</v>
      </c>
      <c r="M157" s="33">
        <f t="shared" si="57"/>
        <v>0.13501350135013501</v>
      </c>
      <c r="N157" s="5">
        <f>VLOOKUP($B157,'Data Vlaue (Cr)'!$C:$FB,67)</f>
        <v>1273</v>
      </c>
      <c r="O157" s="5">
        <f>VLOOKUP($B157,'Data Vlaue (Cr)'!$C:$FB,68)</f>
        <v>1600</v>
      </c>
      <c r="P157" s="5">
        <f t="shared" si="58"/>
        <v>-25.687352710133542</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Textile</v>
      </c>
      <c r="B158" s="79" t="str">
        <f>'Data shares'!C153</f>
        <v>PAGEIND</v>
      </c>
      <c r="C158" s="4">
        <f>VLOOKUP($B158,'Data shares'!$C:$FB,7)</f>
        <v>35695</v>
      </c>
      <c r="D158" s="82">
        <f>VLOOKUP($B158,'Data shares'!$C:$FB,98)</f>
        <v>460755</v>
      </c>
      <c r="E158" s="165">
        <f>VLOOKUP(B158,'Snapshot (Volume)'!$A$7:$G$168,7,0)</f>
        <v>455415</v>
      </c>
      <c r="F158" s="165">
        <f t="shared" si="54"/>
        <v>5340</v>
      </c>
      <c r="G158" s="166">
        <f t="shared" si="55"/>
        <v>1.1725568986528771E-2</v>
      </c>
      <c r="H158" s="165">
        <f>VLOOKUP($B158,'Data shares'!$C:$FB,66)</f>
        <v>300825</v>
      </c>
      <c r="I158" s="165">
        <f>VLOOKUP($B158,'Data shares'!$C:$FB,67)</f>
        <v>216180</v>
      </c>
      <c r="J158" s="81">
        <f t="shared" si="56"/>
        <v>39.154870940882596</v>
      </c>
      <c r="K158" s="5">
        <f>VLOOKUP($B158,'Data Vlaue (Cr)'!$C:$FB,99)</f>
        <v>1651</v>
      </c>
      <c r="L158" s="81">
        <f>VLOOKUP(B158,'OI(Value)'!$A$7:$C$209,3,0)</f>
        <v>19</v>
      </c>
      <c r="M158" s="33">
        <f t="shared" si="57"/>
        <v>1.1508176862507571</v>
      </c>
      <c r="N158" s="5">
        <f>VLOOKUP($B158,'Data Vlaue (Cr)'!$C:$FB,67)</f>
        <v>1078</v>
      </c>
      <c r="O158" s="5">
        <f>VLOOKUP($B158,'Data Vlaue (Cr)'!$C:$FB,68)</f>
        <v>775</v>
      </c>
      <c r="P158" s="5">
        <f t="shared" si="58"/>
        <v>28.107606679035253</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FMCG</v>
      </c>
      <c r="B159" s="79" t="str">
        <f>'Data shares'!C154</f>
        <v>PATANJALI</v>
      </c>
      <c r="C159" s="4">
        <f>VLOOKUP($B159,'Data shares'!$C:$FB,7)</f>
        <v>550.29999999999995</v>
      </c>
      <c r="D159" s="82">
        <f>VLOOKUP($B159,'Data shares'!$C:$FB,98)</f>
        <v>49893300</v>
      </c>
      <c r="E159" s="165">
        <f>VLOOKUP(B159,'Snapshot (Volume)'!$A$7:$G$168,7,0)</f>
        <v>49038300</v>
      </c>
      <c r="F159" s="165">
        <f t="shared" si="54"/>
        <v>855000</v>
      </c>
      <c r="G159" s="166">
        <f t="shared" si="55"/>
        <v>1.7435351551746289E-2</v>
      </c>
      <c r="H159" s="165">
        <f>VLOOKUP($B159,'Data shares'!$C:$FB,66)</f>
        <v>39901500</v>
      </c>
      <c r="I159" s="165">
        <f>VLOOKUP($B159,'Data shares'!$C:$FB,67)</f>
        <v>24479100</v>
      </c>
      <c r="J159" s="81">
        <f t="shared" si="56"/>
        <v>63.002316261627264</v>
      </c>
      <c r="K159" s="5">
        <f>VLOOKUP($B159,'Data Vlaue (Cr)'!$C:$FB,99)</f>
        <v>2755</v>
      </c>
      <c r="L159" s="81">
        <f>VLOOKUP(B159,'OI(Value)'!$A$7:$C$209,3,0)</f>
        <v>47</v>
      </c>
      <c r="M159" s="33">
        <f t="shared" si="57"/>
        <v>1.7059891107078042</v>
      </c>
      <c r="N159" s="5">
        <f>VLOOKUP($B159,'Data Vlaue (Cr)'!$C:$FB,67)</f>
        <v>2203</v>
      </c>
      <c r="O159" s="5">
        <f>VLOOKUP($B159,'Data Vlaue (Cr)'!$C:$FB,68)</f>
        <v>1352</v>
      </c>
      <c r="P159" s="5">
        <f t="shared" si="58"/>
        <v>38.6291420789832</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New_Age</v>
      </c>
      <c r="B160" s="79" t="str">
        <f>'Data shares'!C155</f>
        <v>PAYTM</v>
      </c>
      <c r="C160" s="4">
        <f>VLOOKUP($B160,'Data shares'!$C:$FB,7)</f>
        <v>1286.0999999999999</v>
      </c>
      <c r="D160" s="82">
        <f>VLOOKUP($B160,'Data shares'!$C:$FB,98)</f>
        <v>35764975</v>
      </c>
      <c r="E160" s="165">
        <f>VLOOKUP(B160,'Snapshot (Volume)'!$A$7:$G$168,7,0)</f>
        <v>35577200</v>
      </c>
      <c r="F160" s="165">
        <f t="shared" si="54"/>
        <v>187775</v>
      </c>
      <c r="G160" s="166">
        <f t="shared" si="55"/>
        <v>5.2779589175089665E-3</v>
      </c>
      <c r="H160" s="165">
        <f>VLOOKUP($B160,'Data shares'!$C:$FB,66)</f>
        <v>27848700</v>
      </c>
      <c r="I160" s="165">
        <f>VLOOKUP($B160,'Data shares'!$C:$FB,67)</f>
        <v>15566475</v>
      </c>
      <c r="J160" s="81">
        <f t="shared" si="56"/>
        <v>78.9017744865167</v>
      </c>
      <c r="K160" s="5">
        <f>VLOOKUP($B160,'Data Vlaue (Cr)'!$C:$FB,99)</f>
        <v>4615</v>
      </c>
      <c r="L160" s="81">
        <f>VLOOKUP(B160,'OI(Value)'!$A$7:$C$209,3,0)</f>
        <v>24</v>
      </c>
      <c r="M160" s="33">
        <f t="shared" si="57"/>
        <v>0.52004333694474547</v>
      </c>
      <c r="N160" s="5">
        <f>VLOOKUP($B160,'Data Vlaue (Cr)'!$C:$FB,67)</f>
        <v>3594</v>
      </c>
      <c r="O160" s="5">
        <f>VLOOKUP($B160,'Data Vlaue (Cr)'!$C:$FB,68)</f>
        <v>2009</v>
      </c>
      <c r="P160" s="5">
        <f t="shared" si="58"/>
        <v>44.101279910962717</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Technology</v>
      </c>
      <c r="B161" s="79" t="str">
        <f>'Data shares'!C156</f>
        <v>PERSISTENT</v>
      </c>
      <c r="C161" s="4">
        <f>VLOOKUP($B161,'Data shares'!$C:$FB,7)</f>
        <v>6318.5</v>
      </c>
      <c r="D161" s="82">
        <f>VLOOKUP($B161,'Data shares'!$C:$FB,98)</f>
        <v>4073600</v>
      </c>
      <c r="E161" s="165">
        <f>VLOOKUP(B161,'Snapshot (Volume)'!$A$7:$G$168,7,0)</f>
        <v>4053400</v>
      </c>
      <c r="F161" s="165">
        <f t="shared" si="54"/>
        <v>20200</v>
      </c>
      <c r="G161" s="166">
        <f t="shared" si="55"/>
        <v>4.9834706666008781E-3</v>
      </c>
      <c r="H161" s="165">
        <f>VLOOKUP($B161,'Data shares'!$C:$FB,66)</f>
        <v>2845900</v>
      </c>
      <c r="I161" s="165">
        <f>VLOOKUP($B161,'Data shares'!$C:$FB,67)</f>
        <v>2317100</v>
      </c>
      <c r="J161" s="81">
        <f t="shared" si="56"/>
        <v>22.821630486383842</v>
      </c>
      <c r="K161" s="5">
        <f>VLOOKUP($B161,'Data Vlaue (Cr)'!$C:$FB,99)</f>
        <v>2582</v>
      </c>
      <c r="L161" s="81">
        <f>VLOOKUP(B161,'OI(Value)'!$A$7:$C$209,3,0)</f>
        <v>13</v>
      </c>
      <c r="M161" s="33">
        <f t="shared" si="57"/>
        <v>0.50348567002323785</v>
      </c>
      <c r="N161" s="5">
        <f>VLOOKUP($B161,'Data Vlaue (Cr)'!$C:$FB,67)</f>
        <v>1804</v>
      </c>
      <c r="O161" s="5">
        <f>VLOOKUP($B161,'Data Vlaue (Cr)'!$C:$FB,68)</f>
        <v>1469</v>
      </c>
      <c r="P161" s="5">
        <f t="shared" si="58"/>
        <v>18.569844789356985</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Oil_Gas</v>
      </c>
      <c r="B162" s="79" t="str">
        <f>'Data shares'!C157</f>
        <v>PETRONET</v>
      </c>
      <c r="C162" s="4">
        <f>VLOOKUP($B162,'Data shares'!$C:$FB,7)</f>
        <v>268.8</v>
      </c>
      <c r="D162" s="82">
        <f>VLOOKUP($B162,'Data shares'!$C:$FB,98)</f>
        <v>82166300</v>
      </c>
      <c r="E162" s="165">
        <f>VLOOKUP(B162,'Snapshot (Volume)'!$A$7:$G$168,7,0)</f>
        <v>81948200</v>
      </c>
      <c r="F162" s="165">
        <f t="shared" si="54"/>
        <v>218100</v>
      </c>
      <c r="G162" s="166">
        <f t="shared" si="55"/>
        <v>2.6614373470070117E-3</v>
      </c>
      <c r="H162" s="165">
        <f>VLOOKUP($B162,'Data shares'!$C:$FB,66)</f>
        <v>11691000</v>
      </c>
      <c r="I162" s="165">
        <f>VLOOKUP($B162,'Data shares'!$C:$FB,67)</f>
        <v>13039200</v>
      </c>
      <c r="J162" s="81">
        <f t="shared" si="56"/>
        <v>-10.3395913859746</v>
      </c>
      <c r="K162" s="5">
        <f>VLOOKUP($B162,'Data Vlaue (Cr)'!$C:$FB,99)</f>
        <v>2215</v>
      </c>
      <c r="L162" s="81">
        <f>VLOOKUP(B162,'OI(Value)'!$A$7:$C$209,3,0)</f>
        <v>6</v>
      </c>
      <c r="M162" s="33">
        <f t="shared" si="57"/>
        <v>0.27088036117381487</v>
      </c>
      <c r="N162" s="5">
        <f>VLOOKUP($B162,'Data Vlaue (Cr)'!$C:$FB,67)</f>
        <v>315</v>
      </c>
      <c r="O162" s="5">
        <f>VLOOKUP($B162,'Data Vlaue (Cr)'!$C:$FB,68)</f>
        <v>352</v>
      </c>
      <c r="P162" s="5">
        <f>(N162-O162)/N162*100</f>
        <v>-11.746031746031745</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Finance</v>
      </c>
      <c r="B163" s="79" t="str">
        <f>'Data shares'!C158</f>
        <v>PFC</v>
      </c>
      <c r="C163" s="4">
        <f>VLOOKUP($B163,'Data shares'!$C:$FB,7)</f>
        <v>335.05</v>
      </c>
      <c r="D163" s="82">
        <f>VLOOKUP($B163,'Data shares'!$C:$FB,98)</f>
        <v>168389000</v>
      </c>
      <c r="E163" s="165">
        <f>VLOOKUP(B163,'Snapshot (Volume)'!$A$7:$G$168,7,0)</f>
        <v>165958000</v>
      </c>
      <c r="F163" s="165">
        <f t="shared" si="54"/>
        <v>2431000</v>
      </c>
      <c r="G163" s="166">
        <f t="shared" si="55"/>
        <v>1.4648284505718314E-2</v>
      </c>
      <c r="H163" s="165">
        <f>VLOOKUP($B163,'Data shares'!$C:$FB,66)</f>
        <v>69291300</v>
      </c>
      <c r="I163" s="165">
        <f>VLOOKUP($B163,'Data shares'!$C:$FB,67)</f>
        <v>41528500</v>
      </c>
      <c r="J163" s="81">
        <f t="shared" si="56"/>
        <v>66.852402566911877</v>
      </c>
      <c r="K163" s="5">
        <f>VLOOKUP($B163,'Data Vlaue (Cr)'!$C:$FB,99)</f>
        <v>5660</v>
      </c>
      <c r="L163" s="81">
        <f>VLOOKUP(B163,'OI(Value)'!$A$7:$C$209,3,0)</f>
        <v>82</v>
      </c>
      <c r="M163" s="33">
        <f t="shared" si="57"/>
        <v>1.4487632508833921</v>
      </c>
      <c r="N163" s="5">
        <f>VLOOKUP($B163,'Data Vlaue (Cr)'!$C:$FB,67)</f>
        <v>2329</v>
      </c>
      <c r="O163" s="5">
        <f>VLOOKUP($B163,'Data Vlaue (Cr)'!$C:$FB,68)</f>
        <v>1396</v>
      </c>
      <c r="P163" s="5">
        <f>(N163-O163)/N163*100</f>
        <v>40.060111635895232</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Capital_Goods</v>
      </c>
      <c r="B164" s="79" t="str">
        <f>'Data shares'!C159</f>
        <v>PGEL</v>
      </c>
      <c r="C164" s="4">
        <f>VLOOKUP($B164,'Data shares'!$C:$FB,7)</f>
        <v>566.35</v>
      </c>
      <c r="D164" s="82">
        <f>VLOOKUP($B164,'Data shares'!$C:$FB,98)</f>
        <v>24250200</v>
      </c>
      <c r="E164" s="165">
        <f>VLOOKUP(B164,'Snapshot (Volume)'!$A$7:$G$168,7,0)</f>
        <v>24563650</v>
      </c>
      <c r="F164" s="165">
        <f t="shared" si="54"/>
        <v>-313450</v>
      </c>
      <c r="G164" s="166">
        <f t="shared" si="55"/>
        <v>-1.2760725706480918E-2</v>
      </c>
      <c r="H164" s="165">
        <f>VLOOKUP($B164,'Data shares'!$C:$FB,66)</f>
        <v>10602900</v>
      </c>
      <c r="I164" s="165">
        <f>VLOOKUP($B164,'Data shares'!$C:$FB,67)</f>
        <v>11981200</v>
      </c>
      <c r="J164" s="81">
        <f t="shared" si="56"/>
        <v>-11.503856041131105</v>
      </c>
      <c r="K164" s="5">
        <f>VLOOKUP($B164,'Data Vlaue (Cr)'!$C:$FB,99)</f>
        <v>1373</v>
      </c>
      <c r="L164" s="81">
        <f>VLOOKUP(B164,'OI(Value)'!$A$7:$C$209,3,0)</f>
        <v>-18</v>
      </c>
      <c r="M164" s="33">
        <f t="shared" si="57"/>
        <v>-1.3109978150036417</v>
      </c>
      <c r="N164" s="5">
        <f>VLOOKUP($B164,'Data Vlaue (Cr)'!$C:$FB,67)</f>
        <v>600</v>
      </c>
      <c r="O164" s="5">
        <f>VLOOKUP($B164,'Data Vlaue (Cr)'!$C:$FB,68)</f>
        <v>678</v>
      </c>
      <c r="P164" s="5">
        <f>(N164-O164)/N164*100</f>
        <v>-13</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VLOOKUP(B165,'OI(Value)'!$A$7:$C$209,3,0)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shares'!B215</f>
        <v>Pharma</v>
      </c>
      <c r="B166" s="79" t="str">
        <f>'Data shares'!C215</f>
        <v>ZYDUSLIFE</v>
      </c>
      <c r="C166" s="4">
        <f>VLOOKUP($B166,'Data shares'!$C:$FB,7)</f>
        <v>913.65</v>
      </c>
      <c r="D166" s="82">
        <f>VLOOKUP($B166,'Data shares'!$C:$FB,98)</f>
        <v>19059300</v>
      </c>
      <c r="E166" s="165" t="e">
        <f>VLOOKUP(B166,'Snapshot (Volume)'!$A$7:$G$168,7,0)</f>
        <v>#N/A</v>
      </c>
      <c r="F166" s="165" t="e">
        <f t="shared" si="54"/>
        <v>#N/A</v>
      </c>
      <c r="G166" s="166" t="e">
        <f t="shared" si="55"/>
        <v>#N/A</v>
      </c>
      <c r="H166" s="165">
        <f>VLOOKUP($B166,'Data shares'!$C:$FB,66)</f>
        <v>3979800</v>
      </c>
      <c r="I166" s="165">
        <f>VLOOKUP($B166,'Data shares'!$C:$FB,67)</f>
        <v>3155400</v>
      </c>
      <c r="J166" s="81">
        <f t="shared" si="56"/>
        <v>26.126640045636051</v>
      </c>
      <c r="K166" s="5">
        <f>VLOOKUP($B166,'Data Vlaue (Cr)'!$C:$FB,99)</f>
        <v>1746</v>
      </c>
      <c r="L166" s="81">
        <f>VLOOKUP(B166,'OI(Value)'!$A$7:$C$209,3,0)</f>
        <v>14</v>
      </c>
      <c r="M166" s="33">
        <f t="shared" si="57"/>
        <v>0.80183276059564712</v>
      </c>
      <c r="N166" s="5">
        <f>VLOOKUP($B166,'Data Vlaue (Cr)'!$C:$FB,67)</f>
        <v>365</v>
      </c>
      <c r="O166" s="5">
        <f>VLOOKUP($B166,'Data Vlaue (Cr)'!$C:$FB,68)</f>
        <v>289</v>
      </c>
      <c r="P166" s="5">
        <f>(N166-O166)/N166*100</f>
        <v>20.82191780821918</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zoomScale="85" zoomScaleNormal="85" workbookViewId="0">
      <pane ySplit="6" topLeftCell="A142" activePane="bottomLeft" state="frozen"/>
      <selection pane="bottomLeft" activeCell="A148" sqref="A148"/>
    </sheetView>
  </sheetViews>
  <sheetFormatPr defaultRowHeight="15" x14ac:dyDescent="0.25"/>
  <cols>
    <col min="1" max="1" width="14.5703125" style="74" bestFit="1" customWidth="1"/>
    <col min="2" max="2" width="11" bestFit="1" customWidth="1"/>
    <col min="3" max="3" width="9.42578125" bestFit="1" customWidth="1"/>
    <col min="5" max="5" width="11" customWidth="1"/>
    <col min="8" max="8" width="11" customWidth="1"/>
    <col min="11" max="11" width="10.7109375" customWidth="1"/>
    <col min="14" max="14" width="11"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46009</v>
      </c>
      <c r="C6" s="71" t="s">
        <v>333</v>
      </c>
      <c r="D6" s="71" t="s">
        <v>328</v>
      </c>
      <c r="E6" s="66">
        <f>B6</f>
        <v>46009</v>
      </c>
      <c r="F6" s="71" t="s">
        <v>333</v>
      </c>
      <c r="G6" s="71" t="s">
        <v>328</v>
      </c>
      <c r="H6" s="66">
        <f>B6</f>
        <v>46009</v>
      </c>
      <c r="I6" s="71" t="s">
        <v>333</v>
      </c>
      <c r="J6" s="71" t="s">
        <v>328</v>
      </c>
      <c r="K6" s="66">
        <f>B6</f>
        <v>46009</v>
      </c>
      <c r="L6" s="71" t="s">
        <v>333</v>
      </c>
      <c r="M6" s="71" t="s">
        <v>328</v>
      </c>
      <c r="N6" s="71" t="s">
        <v>339</v>
      </c>
      <c r="O6" s="71" t="s">
        <v>328</v>
      </c>
    </row>
    <row r="7" spans="1:15" x14ac:dyDescent="0.25">
      <c r="A7" s="100" t="str">
        <f>'OI(Value)'!A7</f>
        <v>360ONE</v>
      </c>
      <c r="B7" s="82">
        <f>VLOOKUP(A7,'Data shares'!$C$2:$CV$215,98,0)</f>
        <v>4730000</v>
      </c>
      <c r="C7" s="82">
        <f>VLOOKUP(A7,'Data shares'!$C$2:$CX$215,100,0)</f>
        <v>-3500</v>
      </c>
      <c r="D7" s="141">
        <f>VLOOKUP(A7,'Data shares'!$C$2:$CY$538,101,0)</f>
        <v>-6.9999999999999999E-4</v>
      </c>
      <c r="E7" s="86">
        <f>VLOOKUP($A7,'Data shares'!$C:$FA,74)</f>
        <v>1876500</v>
      </c>
      <c r="F7" s="86">
        <f>VLOOKUP($A7,'Data shares'!$C:$FA,76)</f>
        <v>-50000</v>
      </c>
      <c r="G7" s="87">
        <f>VLOOKUP(A7,'Data shares'!$C$2:$CA$215,77,0)</f>
        <v>-2.5999999999999999E-2</v>
      </c>
      <c r="H7" s="86">
        <f>VLOOKUP($A7,'Data shares'!$C:$FA,90)</f>
        <v>1796500</v>
      </c>
      <c r="I7" s="86">
        <f>VLOOKUP($A7,'Data shares'!$C:$FA,92)</f>
        <v>74500</v>
      </c>
      <c r="J7" s="87">
        <f>VLOOKUP($A7,'Data shares'!$C:$FA,93)</f>
        <v>4.3299999999999998E-2</v>
      </c>
      <c r="K7" s="86">
        <f>VLOOKUP($A7,'Data shares'!$C:$FA,94)</f>
        <v>1057000</v>
      </c>
      <c r="L7" s="86">
        <f>VLOOKUP($A7,'Data shares'!$C:$FA,96)</f>
        <v>-28000</v>
      </c>
      <c r="M7" s="87">
        <f>VLOOKUP($A7,'Data shares'!$C:$FA,97)</f>
        <v>-2.58E-2</v>
      </c>
      <c r="N7" s="86">
        <f>VLOOKUP($A7,'Data shares'!$C:$FA,78)</f>
        <v>1754500</v>
      </c>
      <c r="O7" s="87">
        <f>VLOOKUP($A7,'Data shares'!$C:$FA,81)</f>
        <v>-2.8199999999999999E-2</v>
      </c>
    </row>
    <row r="8" spans="1:15" x14ac:dyDescent="0.25">
      <c r="A8" s="100" t="str">
        <f>'OI(Value)'!A8</f>
        <v>ABB</v>
      </c>
      <c r="B8" s="82">
        <f>VLOOKUP(A8,'Data shares'!$C$2:$CV$215,98,0)</f>
        <v>4169000</v>
      </c>
      <c r="C8" s="82">
        <f>VLOOKUP(A8,'Data shares'!$C$2:$CX$215,100,0)</f>
        <v>115875</v>
      </c>
      <c r="D8" s="141">
        <f>VLOOKUP(A8,'Data shares'!$C$2:$CY$538,101,0)</f>
        <v>2.86E-2</v>
      </c>
      <c r="E8" s="86">
        <f>VLOOKUP($A8,'Data shares'!$C:$FA,74)</f>
        <v>2512875</v>
      </c>
      <c r="F8" s="86">
        <f>VLOOKUP($A8,'Data shares'!$C:$FA,76)</f>
        <v>7625</v>
      </c>
      <c r="G8" s="87">
        <f>VLOOKUP(A8,'Data shares'!$C$2:$CA$215,77,0)</f>
        <v>3.0000000000000001E-3</v>
      </c>
      <c r="H8" s="86">
        <f>VLOOKUP($A8,'Data shares'!$C:$FA,90)</f>
        <v>941500</v>
      </c>
      <c r="I8" s="86">
        <f>VLOOKUP($A8,'Data shares'!$C:$FA,92)</f>
        <v>69625</v>
      </c>
      <c r="J8" s="87">
        <f>VLOOKUP($A8,'Data shares'!$C:$FA,93)</f>
        <v>7.9899999999999999E-2</v>
      </c>
      <c r="K8" s="86">
        <f>VLOOKUP($A8,'Data shares'!$C:$FA,94)</f>
        <v>714625</v>
      </c>
      <c r="L8" s="86">
        <f>VLOOKUP($A8,'Data shares'!$C:$FA,96)</f>
        <v>38625</v>
      </c>
      <c r="M8" s="87">
        <f>VLOOKUP($A8,'Data shares'!$C:$FA,97)</f>
        <v>5.7099999999999998E-2</v>
      </c>
      <c r="N8" s="86">
        <f>VLOOKUP($A8,'Data shares'!$C:$FA,78)</f>
        <v>2204125</v>
      </c>
      <c r="O8" s="87">
        <f>VLOOKUP($A8,'Data shares'!$C:$FA,81)</f>
        <v>-7.6E-3</v>
      </c>
    </row>
    <row r="9" spans="1:15" x14ac:dyDescent="0.25">
      <c r="A9" s="100" t="str">
        <f>'OI(Value)'!A9</f>
        <v>ABCAPITAL</v>
      </c>
      <c r="B9" s="82">
        <f>VLOOKUP(A9,'Data shares'!$C$2:$CV$215,98,0)</f>
        <v>120180800</v>
      </c>
      <c r="C9" s="82">
        <f>VLOOKUP(A9,'Data shares'!$C$2:$CX$215,100,0)</f>
        <v>176700</v>
      </c>
      <c r="D9" s="141">
        <f>VLOOKUP(A9,'Data shares'!$C$2:$CY$538,101,0)</f>
        <v>1.5E-3</v>
      </c>
      <c r="E9" s="86">
        <f>VLOOKUP($A9,'Data shares'!$C:$FA,74)</f>
        <v>75199800</v>
      </c>
      <c r="F9" s="86">
        <f>VLOOKUP($A9,'Data shares'!$C:$FA,76)</f>
        <v>142600</v>
      </c>
      <c r="G9" s="87">
        <f>VLOOKUP(A9,'Data shares'!$C$2:$CA$215,77,0)</f>
        <v>1.9E-3</v>
      </c>
      <c r="H9" s="86">
        <f>VLOOKUP($A9,'Data shares'!$C:$FA,90)</f>
        <v>27782200</v>
      </c>
      <c r="I9" s="86">
        <f>VLOOKUP($A9,'Data shares'!$C:$FA,92)</f>
        <v>607600</v>
      </c>
      <c r="J9" s="87">
        <f>VLOOKUP($A9,'Data shares'!$C:$FA,93)</f>
        <v>2.24E-2</v>
      </c>
      <c r="K9" s="86">
        <f>VLOOKUP($A9,'Data shares'!$C:$FA,94)</f>
        <v>17198800</v>
      </c>
      <c r="L9" s="86">
        <f>VLOOKUP($A9,'Data shares'!$C:$FA,96)</f>
        <v>-573500</v>
      </c>
      <c r="M9" s="87">
        <f>VLOOKUP($A9,'Data shares'!$C:$FA,97)</f>
        <v>-3.2300000000000002E-2</v>
      </c>
      <c r="N9" s="86">
        <f>VLOOKUP($A9,'Data shares'!$C:$FA,78)</f>
        <v>71901400</v>
      </c>
      <c r="O9" s="87">
        <f>VLOOKUP($A9,'Data shares'!$C:$FA,81)</f>
        <v>-1.5E-3</v>
      </c>
    </row>
    <row r="10" spans="1:15" x14ac:dyDescent="0.25">
      <c r="A10" s="100" t="str">
        <f>'OI(Value)'!A10</f>
        <v>ADANIENSOL</v>
      </c>
      <c r="B10" s="82">
        <f>VLOOKUP(A10,'Data shares'!$C$2:$CV$215,98,0)</f>
        <v>24382350</v>
      </c>
      <c r="C10" s="82">
        <f>VLOOKUP(A10,'Data shares'!$C$2:$CX$215,100,0)</f>
        <v>-22950</v>
      </c>
      <c r="D10" s="141">
        <f>VLOOKUP(A10,'Data shares'!$C$2:$CY$538,101,0)</f>
        <v>-8.9999999999999998E-4</v>
      </c>
      <c r="E10" s="86">
        <f>VLOOKUP($A10,'Data shares'!$C:$FA,74)</f>
        <v>17960400</v>
      </c>
      <c r="F10" s="86">
        <f>VLOOKUP($A10,'Data shares'!$C:$FA,76)</f>
        <v>-99900</v>
      </c>
      <c r="G10" s="87">
        <f>VLOOKUP(A10,'Data shares'!$C$2:$CA$215,77,0)</f>
        <v>-5.4999999999999997E-3</v>
      </c>
      <c r="H10" s="86">
        <f>VLOOKUP($A10,'Data shares'!$C:$FA,90)</f>
        <v>4177575</v>
      </c>
      <c r="I10" s="86">
        <f>VLOOKUP($A10,'Data shares'!$C:$FA,92)</f>
        <v>120825</v>
      </c>
      <c r="J10" s="87">
        <f>VLOOKUP($A10,'Data shares'!$C:$FA,93)</f>
        <v>2.98E-2</v>
      </c>
      <c r="K10" s="86">
        <f>VLOOKUP($A10,'Data shares'!$C:$FA,94)</f>
        <v>2244375</v>
      </c>
      <c r="L10" s="86">
        <f>VLOOKUP($A10,'Data shares'!$C:$FA,96)</f>
        <v>-43875</v>
      </c>
      <c r="M10" s="87">
        <f>VLOOKUP($A10,'Data shares'!$C:$FA,97)</f>
        <v>-1.9199999999999998E-2</v>
      </c>
      <c r="N10" s="86">
        <f>VLOOKUP($A10,'Data shares'!$C:$FA,78)</f>
        <v>17556075</v>
      </c>
      <c r="O10" s="87">
        <f>VLOOKUP($A10,'Data shares'!$C:$FA,81)</f>
        <v>-5.4999999999999997E-3</v>
      </c>
    </row>
    <row r="11" spans="1:15" x14ac:dyDescent="0.25">
      <c r="A11" s="100" t="str">
        <f>'OI(Value)'!A11</f>
        <v>ADANIENT</v>
      </c>
      <c r="B11" s="82">
        <f>VLOOKUP(A11,'Data shares'!$C$2:$CV$215,98,0)</f>
        <v>45801525</v>
      </c>
      <c r="C11" s="82">
        <f>VLOOKUP(A11,'Data shares'!$C$2:$CX$215,100,0)</f>
        <v>50985</v>
      </c>
      <c r="D11" s="141">
        <f>VLOOKUP(A11,'Data shares'!$C$2:$CY$538,101,0)</f>
        <v>1.1000000000000001E-3</v>
      </c>
      <c r="E11" s="86">
        <f>VLOOKUP($A11,'Data shares'!$C:$FA,74)</f>
        <v>22764339</v>
      </c>
      <c r="F11" s="86">
        <f>VLOOKUP($A11,'Data shares'!$C:$FA,76)</f>
        <v>147084</v>
      </c>
      <c r="G11" s="87">
        <f>VLOOKUP(A11,'Data shares'!$C$2:$CA$215,77,0)</f>
        <v>6.4999999999999997E-3</v>
      </c>
      <c r="H11" s="86">
        <f>VLOOKUP($A11,'Data shares'!$C:$FA,90)</f>
        <v>14251698</v>
      </c>
      <c r="I11" s="86">
        <f>VLOOKUP($A11,'Data shares'!$C:$FA,92)</f>
        <v>-123600</v>
      </c>
      <c r="J11" s="87">
        <f>VLOOKUP($A11,'Data shares'!$C:$FA,93)</f>
        <v>-8.6E-3</v>
      </c>
      <c r="K11" s="86">
        <f>VLOOKUP($A11,'Data shares'!$C:$FA,94)</f>
        <v>8785488</v>
      </c>
      <c r="L11" s="86">
        <f>VLOOKUP($A11,'Data shares'!$C:$FA,96)</f>
        <v>27501</v>
      </c>
      <c r="M11" s="87">
        <f>VLOOKUP($A11,'Data shares'!$C:$FA,97)</f>
        <v>3.0999999999999999E-3</v>
      </c>
      <c r="N11" s="86">
        <f>VLOOKUP($A11,'Data shares'!$C:$FA,78)</f>
        <v>19951203</v>
      </c>
      <c r="O11" s="87">
        <f>VLOOKUP($A11,'Data shares'!$C:$FA,81)</f>
        <v>-1.5E-3</v>
      </c>
    </row>
    <row r="12" spans="1:15" x14ac:dyDescent="0.25">
      <c r="A12" s="100" t="str">
        <f>'OI(Value)'!A12</f>
        <v>ADANIGREEN</v>
      </c>
      <c r="B12" s="82">
        <f>VLOOKUP(A12,'Data shares'!$C$2:$CV$215,98,0)</f>
        <v>44374200</v>
      </c>
      <c r="C12" s="82">
        <f>VLOOKUP(A12,'Data shares'!$C$2:$CX$215,100,0)</f>
        <v>-756000</v>
      </c>
      <c r="D12" s="141">
        <f>VLOOKUP(A12,'Data shares'!$C$2:$CY$538,101,0)</f>
        <v>-1.6799999999999999E-2</v>
      </c>
      <c r="E12" s="86">
        <f>VLOOKUP($A12,'Data shares'!$C:$FA,74)</f>
        <v>25506600</v>
      </c>
      <c r="F12" s="86">
        <f>VLOOKUP($A12,'Data shares'!$C:$FA,76)</f>
        <v>-115800</v>
      </c>
      <c r="G12" s="87">
        <f>VLOOKUP(A12,'Data shares'!$C$2:$CA$215,77,0)</f>
        <v>-4.4999999999999997E-3</v>
      </c>
      <c r="H12" s="86">
        <f>VLOOKUP($A12,'Data shares'!$C:$FA,90)</f>
        <v>12261000</v>
      </c>
      <c r="I12" s="86">
        <f>VLOOKUP($A12,'Data shares'!$C:$FA,92)</f>
        <v>-438600</v>
      </c>
      <c r="J12" s="87">
        <f>VLOOKUP($A12,'Data shares'!$C:$FA,93)</f>
        <v>-3.4500000000000003E-2</v>
      </c>
      <c r="K12" s="86">
        <f>VLOOKUP($A12,'Data shares'!$C:$FA,94)</f>
        <v>6606600</v>
      </c>
      <c r="L12" s="86">
        <f>VLOOKUP($A12,'Data shares'!$C:$FA,96)</f>
        <v>-201600</v>
      </c>
      <c r="M12" s="87">
        <f>VLOOKUP($A12,'Data shares'!$C:$FA,97)</f>
        <v>-2.9600000000000001E-2</v>
      </c>
      <c r="N12" s="86">
        <f>VLOOKUP($A12,'Data shares'!$C:$FA,78)</f>
        <v>24111000</v>
      </c>
      <c r="O12" s="87">
        <f>VLOOKUP($A12,'Data shares'!$C:$FA,81)</f>
        <v>-9.1000000000000004E-3</v>
      </c>
    </row>
    <row r="13" spans="1:15" x14ac:dyDescent="0.25">
      <c r="A13" s="100" t="str">
        <f>'OI(Value)'!A13</f>
        <v>ADANIPORTS</v>
      </c>
      <c r="B13" s="82">
        <f>VLOOKUP(A13,'Data shares'!$C$2:$CV$215,98,0)</f>
        <v>38268850</v>
      </c>
      <c r="C13" s="82">
        <f>VLOOKUP(A13,'Data shares'!$C$2:$CX$215,100,0)</f>
        <v>471200</v>
      </c>
      <c r="D13" s="141">
        <f>VLOOKUP(A13,'Data shares'!$C$2:$CY$538,101,0)</f>
        <v>1.2500000000000001E-2</v>
      </c>
      <c r="E13" s="86">
        <f>VLOOKUP($A13,'Data shares'!$C:$FA,74)</f>
        <v>24121450</v>
      </c>
      <c r="F13" s="86">
        <f>VLOOKUP($A13,'Data shares'!$C:$FA,76)</f>
        <v>345800</v>
      </c>
      <c r="G13" s="87">
        <f>VLOOKUP(A13,'Data shares'!$C$2:$CA$215,77,0)</f>
        <v>1.4500000000000001E-2</v>
      </c>
      <c r="H13" s="86">
        <f>VLOOKUP($A13,'Data shares'!$C:$FA,90)</f>
        <v>9401675</v>
      </c>
      <c r="I13" s="86">
        <f>VLOOKUP($A13,'Data shares'!$C:$FA,92)</f>
        <v>-9025</v>
      </c>
      <c r="J13" s="87">
        <f>VLOOKUP($A13,'Data shares'!$C:$FA,93)</f>
        <v>-1E-3</v>
      </c>
      <c r="K13" s="86">
        <f>VLOOKUP($A13,'Data shares'!$C:$FA,94)</f>
        <v>4745725</v>
      </c>
      <c r="L13" s="86">
        <f>VLOOKUP($A13,'Data shares'!$C:$FA,96)</f>
        <v>134425</v>
      </c>
      <c r="M13" s="87">
        <f>VLOOKUP($A13,'Data shares'!$C:$FA,97)</f>
        <v>2.92E-2</v>
      </c>
      <c r="N13" s="86">
        <f>VLOOKUP($A13,'Data shares'!$C:$FA,78)</f>
        <v>21422025</v>
      </c>
      <c r="O13" s="87">
        <f>VLOOKUP($A13,'Data shares'!$C:$FA,81)</f>
        <v>-2.0999999999999999E-3</v>
      </c>
    </row>
    <row r="14" spans="1:15" x14ac:dyDescent="0.25">
      <c r="A14" s="100" t="str">
        <f>'OI(Value)'!A14</f>
        <v>ALKEM</v>
      </c>
      <c r="B14" s="82">
        <f>VLOOKUP(A14,'Data shares'!$C$2:$CV$215,98,0)</f>
        <v>2030875</v>
      </c>
      <c r="C14" s="82">
        <f>VLOOKUP(A14,'Data shares'!$C$2:$CX$215,100,0)</f>
        <v>19500</v>
      </c>
      <c r="D14" s="141">
        <f>VLOOKUP(A14,'Data shares'!$C$2:$CY$538,101,0)</f>
        <v>9.7000000000000003E-3</v>
      </c>
      <c r="E14" s="86">
        <f>VLOOKUP($A14,'Data shares'!$C:$FA,74)</f>
        <v>1591125</v>
      </c>
      <c r="F14" s="86">
        <f>VLOOKUP($A14,'Data shares'!$C:$FA,76)</f>
        <v>-4250</v>
      </c>
      <c r="G14" s="87">
        <f>VLOOKUP(A14,'Data shares'!$C$2:$CA$215,77,0)</f>
        <v>-2.7000000000000001E-3</v>
      </c>
      <c r="H14" s="86">
        <f>VLOOKUP($A14,'Data shares'!$C:$FA,90)</f>
        <v>272500</v>
      </c>
      <c r="I14" s="86">
        <f>VLOOKUP($A14,'Data shares'!$C:$FA,92)</f>
        <v>19875</v>
      </c>
      <c r="J14" s="87">
        <f>VLOOKUP($A14,'Data shares'!$C:$FA,93)</f>
        <v>7.8700000000000006E-2</v>
      </c>
      <c r="K14" s="86">
        <f>VLOOKUP($A14,'Data shares'!$C:$FA,94)</f>
        <v>167250</v>
      </c>
      <c r="L14" s="86">
        <f>VLOOKUP($A14,'Data shares'!$C:$FA,96)</f>
        <v>3875</v>
      </c>
      <c r="M14" s="87">
        <f>VLOOKUP($A14,'Data shares'!$C:$FA,97)</f>
        <v>2.3699999999999999E-2</v>
      </c>
      <c r="N14" s="86">
        <f>VLOOKUP($A14,'Data shares'!$C:$FA,78)</f>
        <v>1508250</v>
      </c>
      <c r="O14" s="87">
        <f>VLOOKUP($A14,'Data shares'!$C:$FA,81)</f>
        <v>-1.89E-2</v>
      </c>
    </row>
    <row r="15" spans="1:15" x14ac:dyDescent="0.25">
      <c r="A15" s="100" t="str">
        <f>'OI(Value)'!A15</f>
        <v>AMBER</v>
      </c>
      <c r="B15" s="82">
        <f>VLOOKUP(A15,'Data shares'!$C$2:$CV$215,98,0)</f>
        <v>3127800</v>
      </c>
      <c r="C15" s="82">
        <f>VLOOKUP(A15,'Data shares'!$C$2:$CX$215,100,0)</f>
        <v>-7500</v>
      </c>
      <c r="D15" s="141">
        <f>VLOOKUP(A15,'Data shares'!$C$2:$CY$538,101,0)</f>
        <v>-2.3999999999999998E-3</v>
      </c>
      <c r="E15" s="86">
        <f>VLOOKUP($A15,'Data shares'!$C:$FA,74)</f>
        <v>1157500</v>
      </c>
      <c r="F15" s="86">
        <f>VLOOKUP($A15,'Data shares'!$C:$FA,76)</f>
        <v>-18200</v>
      </c>
      <c r="G15" s="87">
        <f>VLOOKUP(A15,'Data shares'!$C$2:$CA$215,77,0)</f>
        <v>-1.55E-2</v>
      </c>
      <c r="H15" s="86">
        <f>VLOOKUP($A15,'Data shares'!$C:$FA,90)</f>
        <v>1169100</v>
      </c>
      <c r="I15" s="86">
        <f>VLOOKUP($A15,'Data shares'!$C:$FA,92)</f>
        <v>-9000</v>
      </c>
      <c r="J15" s="87">
        <f>VLOOKUP($A15,'Data shares'!$C:$FA,93)</f>
        <v>-7.6E-3</v>
      </c>
      <c r="K15" s="86">
        <f>VLOOKUP($A15,'Data shares'!$C:$FA,94)</f>
        <v>801200</v>
      </c>
      <c r="L15" s="86">
        <f>VLOOKUP($A15,'Data shares'!$C:$FA,96)</f>
        <v>19700</v>
      </c>
      <c r="M15" s="87">
        <f>VLOOKUP($A15,'Data shares'!$C:$FA,97)</f>
        <v>2.52E-2</v>
      </c>
      <c r="N15" s="86">
        <f>VLOOKUP($A15,'Data shares'!$C:$FA,78)</f>
        <v>976200</v>
      </c>
      <c r="O15" s="87">
        <f>VLOOKUP($A15,'Data shares'!$C:$FA,81)</f>
        <v>-2.9000000000000001E-2</v>
      </c>
    </row>
    <row r="16" spans="1:15" x14ac:dyDescent="0.25">
      <c r="A16" s="100" t="str">
        <f>'OI(Value)'!A16</f>
        <v>AMBUJACEM</v>
      </c>
      <c r="B16" s="82">
        <f>VLOOKUP(A16,'Data shares'!$C$2:$CV$215,98,0)</f>
        <v>70615650</v>
      </c>
      <c r="C16" s="82">
        <f>VLOOKUP(A16,'Data shares'!$C$2:$CX$215,100,0)</f>
        <v>1065750</v>
      </c>
      <c r="D16" s="141">
        <f>VLOOKUP(A16,'Data shares'!$C$2:$CY$538,101,0)</f>
        <v>1.5299999999999999E-2</v>
      </c>
      <c r="E16" s="86">
        <f>VLOOKUP($A16,'Data shares'!$C:$FA,74)</f>
        <v>48437550</v>
      </c>
      <c r="F16" s="86">
        <f>VLOOKUP($A16,'Data shares'!$C:$FA,76)</f>
        <v>393750</v>
      </c>
      <c r="G16" s="87">
        <f>VLOOKUP(A16,'Data shares'!$C$2:$CA$215,77,0)</f>
        <v>8.2000000000000007E-3</v>
      </c>
      <c r="H16" s="86">
        <f>VLOOKUP($A16,'Data shares'!$C:$FA,90)</f>
        <v>12600000</v>
      </c>
      <c r="I16" s="86">
        <f>VLOOKUP($A16,'Data shares'!$C:$FA,92)</f>
        <v>735000</v>
      </c>
      <c r="J16" s="87">
        <f>VLOOKUP($A16,'Data shares'!$C:$FA,93)</f>
        <v>6.1899999999999997E-2</v>
      </c>
      <c r="K16" s="86">
        <f>VLOOKUP($A16,'Data shares'!$C:$FA,94)</f>
        <v>9578100</v>
      </c>
      <c r="L16" s="86">
        <f>VLOOKUP($A16,'Data shares'!$C:$FA,96)</f>
        <v>-63000</v>
      </c>
      <c r="M16" s="87">
        <f>VLOOKUP($A16,'Data shares'!$C:$FA,97)</f>
        <v>-6.4999999999999997E-3</v>
      </c>
      <c r="N16" s="86">
        <f>VLOOKUP($A16,'Data shares'!$C:$FA,78)</f>
        <v>46232550</v>
      </c>
      <c r="O16" s="87">
        <f>VLOOKUP($A16,'Data shares'!$C:$FA,81)</f>
        <v>-2E-3</v>
      </c>
    </row>
    <row r="17" spans="1:15" x14ac:dyDescent="0.25">
      <c r="A17" s="100" t="str">
        <f>'OI(Value)'!A17</f>
        <v>ANGELONE</v>
      </c>
      <c r="B17" s="82">
        <f>VLOOKUP(A17,'Data shares'!$C$2:$CV$215,98,0)</f>
        <v>11926750</v>
      </c>
      <c r="C17" s="82">
        <f>VLOOKUP(A17,'Data shares'!$C$2:$CX$215,100,0)</f>
        <v>480000</v>
      </c>
      <c r="D17" s="141">
        <f>VLOOKUP(A17,'Data shares'!$C$2:$CY$538,101,0)</f>
        <v>4.19E-2</v>
      </c>
      <c r="E17" s="86">
        <f>VLOOKUP($A17,'Data shares'!$C:$FA,74)</f>
        <v>4278250</v>
      </c>
      <c r="F17" s="86">
        <f>VLOOKUP($A17,'Data shares'!$C:$FA,76)</f>
        <v>67000</v>
      </c>
      <c r="G17" s="87">
        <f>VLOOKUP(A17,'Data shares'!$C$2:$CA$215,77,0)</f>
        <v>1.5900000000000001E-2</v>
      </c>
      <c r="H17" s="86">
        <f>VLOOKUP($A17,'Data shares'!$C:$FA,90)</f>
        <v>5492500</v>
      </c>
      <c r="I17" s="86">
        <f>VLOOKUP($A17,'Data shares'!$C:$FA,92)</f>
        <v>352500</v>
      </c>
      <c r="J17" s="87">
        <f>VLOOKUP($A17,'Data shares'!$C:$FA,93)</f>
        <v>6.8599999999999994E-2</v>
      </c>
      <c r="K17" s="86">
        <f>VLOOKUP($A17,'Data shares'!$C:$FA,94)</f>
        <v>2156000</v>
      </c>
      <c r="L17" s="86">
        <f>VLOOKUP($A17,'Data shares'!$C:$FA,96)</f>
        <v>60500</v>
      </c>
      <c r="M17" s="87">
        <f>VLOOKUP($A17,'Data shares'!$C:$FA,97)</f>
        <v>2.8899999999999999E-2</v>
      </c>
      <c r="N17" s="86">
        <f>VLOOKUP($A17,'Data shares'!$C:$FA,78)</f>
        <v>3635000</v>
      </c>
      <c r="O17" s="87">
        <f>VLOOKUP($A17,'Data shares'!$C:$FA,81)</f>
        <v>1E-4</v>
      </c>
    </row>
    <row r="18" spans="1:15" x14ac:dyDescent="0.25">
      <c r="A18" s="100" t="str">
        <f>'OI(Value)'!A18</f>
        <v>APLAPOLLO</v>
      </c>
      <c r="B18" s="82">
        <f>VLOOKUP(A18,'Data shares'!$C$2:$CV$215,98,0)</f>
        <v>9653700</v>
      </c>
      <c r="C18" s="82">
        <f>VLOOKUP(A18,'Data shares'!$C$2:$CX$215,100,0)</f>
        <v>-204400</v>
      </c>
      <c r="D18" s="141">
        <f>VLOOKUP(A18,'Data shares'!$C$2:$CY$538,101,0)</f>
        <v>-2.07E-2</v>
      </c>
      <c r="E18" s="86">
        <f>VLOOKUP($A18,'Data shares'!$C:$FA,74)</f>
        <v>7788550</v>
      </c>
      <c r="F18" s="86">
        <f>VLOOKUP($A18,'Data shares'!$C:$FA,76)</f>
        <v>-64750</v>
      </c>
      <c r="G18" s="87">
        <f>VLOOKUP(A18,'Data shares'!$C$2:$CA$215,77,0)</f>
        <v>-8.2000000000000007E-3</v>
      </c>
      <c r="H18" s="86">
        <f>VLOOKUP($A18,'Data shares'!$C:$FA,90)</f>
        <v>1015350</v>
      </c>
      <c r="I18" s="86">
        <f>VLOOKUP($A18,'Data shares'!$C:$FA,92)</f>
        <v>-127400</v>
      </c>
      <c r="J18" s="87">
        <f>VLOOKUP($A18,'Data shares'!$C:$FA,93)</f>
        <v>-0.1115</v>
      </c>
      <c r="K18" s="86">
        <f>VLOOKUP($A18,'Data shares'!$C:$FA,94)</f>
        <v>849800</v>
      </c>
      <c r="L18" s="86">
        <f>VLOOKUP($A18,'Data shares'!$C:$FA,96)</f>
        <v>-12250</v>
      </c>
      <c r="M18" s="87">
        <f>VLOOKUP($A18,'Data shares'!$C:$FA,97)</f>
        <v>-1.4200000000000001E-2</v>
      </c>
      <c r="N18" s="86">
        <f>VLOOKUP($A18,'Data shares'!$C:$FA,78)</f>
        <v>7415450</v>
      </c>
      <c r="O18" s="87">
        <f>VLOOKUP($A18,'Data shares'!$C:$FA,81)</f>
        <v>-1.8599999999999998E-2</v>
      </c>
    </row>
    <row r="19" spans="1:15" x14ac:dyDescent="0.25">
      <c r="A19" s="100" t="str">
        <f>'OI(Value)'!A19</f>
        <v>APOLLOHOSP</v>
      </c>
      <c r="B19" s="82">
        <f>VLOOKUP(A19,'Data shares'!$C$2:$CV$215,98,0)</f>
        <v>6982125</v>
      </c>
      <c r="C19" s="82">
        <f>VLOOKUP(A19,'Data shares'!$C$2:$CX$215,100,0)</f>
        <v>19750</v>
      </c>
      <c r="D19" s="141">
        <f>VLOOKUP(A19,'Data shares'!$C$2:$CY$538,101,0)</f>
        <v>2.8E-3</v>
      </c>
      <c r="E19" s="86">
        <f>VLOOKUP($A19,'Data shares'!$C:$FA,74)</f>
        <v>3426375</v>
      </c>
      <c r="F19" s="86">
        <f>VLOOKUP($A19,'Data shares'!$C:$FA,76)</f>
        <v>10875</v>
      </c>
      <c r="G19" s="87">
        <f>VLOOKUP(A19,'Data shares'!$C$2:$CA$215,77,0)</f>
        <v>3.2000000000000002E-3</v>
      </c>
      <c r="H19" s="86">
        <f>VLOOKUP($A19,'Data shares'!$C:$FA,90)</f>
        <v>2403000</v>
      </c>
      <c r="I19" s="86">
        <f>VLOOKUP($A19,'Data shares'!$C:$FA,92)</f>
        <v>-11750</v>
      </c>
      <c r="J19" s="87">
        <f>VLOOKUP($A19,'Data shares'!$C:$FA,93)</f>
        <v>-4.8999999999999998E-3</v>
      </c>
      <c r="K19" s="86">
        <f>VLOOKUP($A19,'Data shares'!$C:$FA,94)</f>
        <v>1152750</v>
      </c>
      <c r="L19" s="86">
        <f>VLOOKUP($A19,'Data shares'!$C:$FA,96)</f>
        <v>20625</v>
      </c>
      <c r="M19" s="87">
        <f>VLOOKUP($A19,'Data shares'!$C:$FA,97)</f>
        <v>1.8200000000000001E-2</v>
      </c>
      <c r="N19" s="86">
        <f>VLOOKUP($A19,'Data shares'!$C:$FA,78)</f>
        <v>2970875</v>
      </c>
      <c r="O19" s="87">
        <f>VLOOKUP($A19,'Data shares'!$C:$FA,81)</f>
        <v>-6.2700000000000006E-2</v>
      </c>
    </row>
    <row r="20" spans="1:15" x14ac:dyDescent="0.25">
      <c r="A20" s="100" t="str">
        <f>'OI(Value)'!A20</f>
        <v>ASHOKLEY</v>
      </c>
      <c r="B20" s="82">
        <f>VLOOKUP(A20,'Data shares'!$C$2:$CV$215,98,0)</f>
        <v>317360000</v>
      </c>
      <c r="C20" s="82">
        <f>VLOOKUP(A20,'Data shares'!$C$2:$CX$215,100,0)</f>
        <v>23510000</v>
      </c>
      <c r="D20" s="141">
        <f>VLOOKUP(A20,'Data shares'!$C$2:$CY$538,101,0)</f>
        <v>0.08</v>
      </c>
      <c r="E20" s="86">
        <f>VLOOKUP($A20,'Data shares'!$C:$FA,74)</f>
        <v>170450000</v>
      </c>
      <c r="F20" s="86">
        <f>VLOOKUP($A20,'Data shares'!$C:$FA,76)</f>
        <v>10600000</v>
      </c>
      <c r="G20" s="87">
        <f>VLOOKUP(A20,'Data shares'!$C$2:$CA$215,77,0)</f>
        <v>6.6299999999999998E-2</v>
      </c>
      <c r="H20" s="86">
        <f>VLOOKUP($A20,'Data shares'!$C:$FA,90)</f>
        <v>73490000</v>
      </c>
      <c r="I20" s="86">
        <f>VLOOKUP($A20,'Data shares'!$C:$FA,92)</f>
        <v>5665000</v>
      </c>
      <c r="J20" s="87">
        <f>VLOOKUP($A20,'Data shares'!$C:$FA,93)</f>
        <v>8.3500000000000005E-2</v>
      </c>
      <c r="K20" s="86">
        <f>VLOOKUP($A20,'Data shares'!$C:$FA,94)</f>
        <v>73420000</v>
      </c>
      <c r="L20" s="86">
        <f>VLOOKUP($A20,'Data shares'!$C:$FA,96)</f>
        <v>7245000</v>
      </c>
      <c r="M20" s="87">
        <f>VLOOKUP($A20,'Data shares'!$C:$FA,97)</f>
        <v>0.1095</v>
      </c>
      <c r="N20" s="86">
        <f>VLOOKUP($A20,'Data shares'!$C:$FA,78)</f>
        <v>146040000</v>
      </c>
      <c r="O20" s="87">
        <f>VLOOKUP($A20,'Data shares'!$C:$FA,81)</f>
        <v>3.6299999999999999E-2</v>
      </c>
    </row>
    <row r="21" spans="1:15" x14ac:dyDescent="0.25">
      <c r="A21" s="100" t="str">
        <f>'OI(Value)'!A21</f>
        <v>ASIANPAINT</v>
      </c>
      <c r="B21" s="82">
        <f>VLOOKUP(A21,'Data shares'!$C$2:$CV$215,98,0)</f>
        <v>25786250</v>
      </c>
      <c r="C21" s="82">
        <f>VLOOKUP(A21,'Data shares'!$C$2:$CX$215,100,0)</f>
        <v>158000</v>
      </c>
      <c r="D21" s="141">
        <f>VLOOKUP(A21,'Data shares'!$C$2:$CY$538,101,0)</f>
        <v>6.1999999999999998E-3</v>
      </c>
      <c r="E21" s="86">
        <f>VLOOKUP($A21,'Data shares'!$C:$FA,74)</f>
        <v>12255500</v>
      </c>
      <c r="F21" s="86">
        <f>VLOOKUP($A21,'Data shares'!$C:$FA,76)</f>
        <v>45750</v>
      </c>
      <c r="G21" s="87">
        <f>VLOOKUP(A21,'Data shares'!$C$2:$CA$215,77,0)</f>
        <v>3.7000000000000002E-3</v>
      </c>
      <c r="H21" s="86">
        <f>VLOOKUP($A21,'Data shares'!$C:$FA,90)</f>
        <v>9059250</v>
      </c>
      <c r="I21" s="86">
        <f>VLOOKUP($A21,'Data shares'!$C:$FA,92)</f>
        <v>176000</v>
      </c>
      <c r="J21" s="87">
        <f>VLOOKUP($A21,'Data shares'!$C:$FA,93)</f>
        <v>1.9800000000000002E-2</v>
      </c>
      <c r="K21" s="86">
        <f>VLOOKUP($A21,'Data shares'!$C:$FA,94)</f>
        <v>4471500</v>
      </c>
      <c r="L21" s="86">
        <f>VLOOKUP($A21,'Data shares'!$C:$FA,96)</f>
        <v>-63750</v>
      </c>
      <c r="M21" s="87">
        <f>VLOOKUP($A21,'Data shares'!$C:$FA,97)</f>
        <v>-1.41E-2</v>
      </c>
      <c r="N21" s="86">
        <f>VLOOKUP($A21,'Data shares'!$C:$FA,78)</f>
        <v>11543250</v>
      </c>
      <c r="O21" s="87">
        <f>VLOOKUP($A21,'Data shares'!$C:$FA,81)</f>
        <v>-6.7999999999999996E-3</v>
      </c>
    </row>
    <row r="22" spans="1:15" x14ac:dyDescent="0.25">
      <c r="A22" s="100" t="str">
        <f>'OI(Value)'!A22</f>
        <v>ASTRAL</v>
      </c>
      <c r="B22" s="82">
        <f>VLOOKUP(A22,'Data shares'!$C$2:$CV$215,98,0)</f>
        <v>13478875</v>
      </c>
      <c r="C22" s="82">
        <f>VLOOKUP(A22,'Data shares'!$C$2:$CX$215,100,0)</f>
        <v>260950</v>
      </c>
      <c r="D22" s="141">
        <f>VLOOKUP(A22,'Data shares'!$C$2:$CY$538,101,0)</f>
        <v>1.9699999999999999E-2</v>
      </c>
      <c r="E22" s="86">
        <f>VLOOKUP($A22,'Data shares'!$C:$FA,74)</f>
        <v>7770275</v>
      </c>
      <c r="F22" s="86">
        <f>VLOOKUP($A22,'Data shares'!$C:$FA,76)</f>
        <v>149600</v>
      </c>
      <c r="G22" s="87">
        <f>VLOOKUP(A22,'Data shares'!$C$2:$CA$215,77,0)</f>
        <v>1.9599999999999999E-2</v>
      </c>
      <c r="H22" s="86">
        <f>VLOOKUP($A22,'Data shares'!$C:$FA,90)</f>
        <v>3734900</v>
      </c>
      <c r="I22" s="86">
        <f>VLOOKUP($A22,'Data shares'!$C:$FA,92)</f>
        <v>17000</v>
      </c>
      <c r="J22" s="87">
        <f>VLOOKUP($A22,'Data shares'!$C:$FA,93)</f>
        <v>4.5999999999999999E-3</v>
      </c>
      <c r="K22" s="86">
        <f>VLOOKUP($A22,'Data shares'!$C:$FA,94)</f>
        <v>1973700</v>
      </c>
      <c r="L22" s="86">
        <f>VLOOKUP($A22,'Data shares'!$C:$FA,96)</f>
        <v>94350</v>
      </c>
      <c r="M22" s="87">
        <f>VLOOKUP($A22,'Data shares'!$C:$FA,97)</f>
        <v>5.0200000000000002E-2</v>
      </c>
      <c r="N22" s="86">
        <f>VLOOKUP($A22,'Data shares'!$C:$FA,78)</f>
        <v>7008675</v>
      </c>
      <c r="O22" s="87">
        <f>VLOOKUP($A22,'Data shares'!$C:$FA,81)</f>
        <v>1.4500000000000001E-2</v>
      </c>
    </row>
    <row r="23" spans="1:15" x14ac:dyDescent="0.25">
      <c r="A23" s="100" t="str">
        <f>'OI(Value)'!A23</f>
        <v>AUBANK</v>
      </c>
      <c r="B23" s="82">
        <f>VLOOKUP(A23,'Data shares'!$C$2:$CV$215,98,0)</f>
        <v>37884000</v>
      </c>
      <c r="C23" s="82">
        <f>VLOOKUP(A23,'Data shares'!$C$2:$CX$215,100,0)</f>
        <v>875000</v>
      </c>
      <c r="D23" s="141">
        <f>VLOOKUP(A23,'Data shares'!$C$2:$CY$538,101,0)</f>
        <v>2.3599999999999999E-2</v>
      </c>
      <c r="E23" s="86">
        <f>VLOOKUP($A23,'Data shares'!$C:$FA,74)</f>
        <v>22427000</v>
      </c>
      <c r="F23" s="86">
        <f>VLOOKUP($A23,'Data shares'!$C:$FA,76)</f>
        <v>1104000</v>
      </c>
      <c r="G23" s="87">
        <f>VLOOKUP(A23,'Data shares'!$C$2:$CA$215,77,0)</f>
        <v>5.1799999999999999E-2</v>
      </c>
      <c r="H23" s="86">
        <f>VLOOKUP($A23,'Data shares'!$C:$FA,90)</f>
        <v>8455000</v>
      </c>
      <c r="I23" s="86">
        <f>VLOOKUP($A23,'Data shares'!$C:$FA,92)</f>
        <v>-206000</v>
      </c>
      <c r="J23" s="87">
        <f>VLOOKUP($A23,'Data shares'!$C:$FA,93)</f>
        <v>-2.3800000000000002E-2</v>
      </c>
      <c r="K23" s="86">
        <f>VLOOKUP($A23,'Data shares'!$C:$FA,94)</f>
        <v>7002000</v>
      </c>
      <c r="L23" s="86">
        <f>VLOOKUP($A23,'Data shares'!$C:$FA,96)</f>
        <v>-23000</v>
      </c>
      <c r="M23" s="87">
        <f>VLOOKUP($A23,'Data shares'!$C:$FA,97)</f>
        <v>-3.3E-3</v>
      </c>
      <c r="N23" s="86">
        <f>VLOOKUP($A23,'Data shares'!$C:$FA,78)</f>
        <v>18817000</v>
      </c>
      <c r="O23" s="87">
        <f>VLOOKUP($A23,'Data shares'!$C:$FA,81)</f>
        <v>8.9999999999999993E-3</v>
      </c>
    </row>
    <row r="24" spans="1:15" x14ac:dyDescent="0.25">
      <c r="A24" s="100" t="str">
        <f>'OI(Value)'!A24</f>
        <v>AUROPHARMA</v>
      </c>
      <c r="B24" s="82">
        <f>VLOOKUP(A24,'Data shares'!$C$2:$CV$215,98,0)</f>
        <v>31027700</v>
      </c>
      <c r="C24" s="82">
        <f>VLOOKUP(A24,'Data shares'!$C$2:$CX$215,100,0)</f>
        <v>-18150</v>
      </c>
      <c r="D24" s="141">
        <f>VLOOKUP(A24,'Data shares'!$C$2:$CY$538,101,0)</f>
        <v>-5.9999999999999995E-4</v>
      </c>
      <c r="E24" s="86">
        <f>VLOOKUP($A24,'Data shares'!$C:$FA,74)</f>
        <v>22369050</v>
      </c>
      <c r="F24" s="86">
        <f>VLOOKUP($A24,'Data shares'!$C:$FA,76)</f>
        <v>-33550</v>
      </c>
      <c r="G24" s="87">
        <f>VLOOKUP(A24,'Data shares'!$C$2:$CA$215,77,0)</f>
        <v>-1.5E-3</v>
      </c>
      <c r="H24" s="86">
        <f>VLOOKUP($A24,'Data shares'!$C:$FA,90)</f>
        <v>5818450</v>
      </c>
      <c r="I24" s="86">
        <f>VLOOKUP($A24,'Data shares'!$C:$FA,92)</f>
        <v>-161150</v>
      </c>
      <c r="J24" s="87">
        <f>VLOOKUP($A24,'Data shares'!$C:$FA,93)</f>
        <v>-2.69E-2</v>
      </c>
      <c r="K24" s="86">
        <f>VLOOKUP($A24,'Data shares'!$C:$FA,94)</f>
        <v>2840200</v>
      </c>
      <c r="L24" s="86">
        <f>VLOOKUP($A24,'Data shares'!$C:$FA,96)</f>
        <v>176550</v>
      </c>
      <c r="M24" s="87">
        <f>VLOOKUP($A24,'Data shares'!$C:$FA,97)</f>
        <v>6.6299999999999998E-2</v>
      </c>
      <c r="N24" s="86">
        <f>VLOOKUP($A24,'Data shares'!$C:$FA,78)</f>
        <v>21423600</v>
      </c>
      <c r="O24" s="87">
        <f>VLOOKUP($A24,'Data shares'!$C:$FA,81)</f>
        <v>-1.11E-2</v>
      </c>
    </row>
    <row r="25" spans="1:15" x14ac:dyDescent="0.25">
      <c r="A25" s="100" t="str">
        <f>'OI(Value)'!A25</f>
        <v>AXISBANK</v>
      </c>
      <c r="B25" s="82">
        <f>VLOOKUP(A25,'Data shares'!$C$2:$CV$215,98,0)</f>
        <v>125592500</v>
      </c>
      <c r="C25" s="82">
        <f>VLOOKUP(A25,'Data shares'!$C$2:$CX$215,100,0)</f>
        <v>-4367500</v>
      </c>
      <c r="D25" s="141">
        <f>VLOOKUP(A25,'Data shares'!$C$2:$CY$538,101,0)</f>
        <v>-3.3599999999999998E-2</v>
      </c>
      <c r="E25" s="86">
        <f>VLOOKUP($A25,'Data shares'!$C:$FA,74)</f>
        <v>78390000</v>
      </c>
      <c r="F25" s="86">
        <f>VLOOKUP($A25,'Data shares'!$C:$FA,76)</f>
        <v>897500</v>
      </c>
      <c r="G25" s="87">
        <f>VLOOKUP(A25,'Data shares'!$C$2:$CA$215,77,0)</f>
        <v>1.1599999999999999E-2</v>
      </c>
      <c r="H25" s="86">
        <f>VLOOKUP($A25,'Data shares'!$C:$FA,90)</f>
        <v>32336250</v>
      </c>
      <c r="I25" s="86">
        <f>VLOOKUP($A25,'Data shares'!$C:$FA,92)</f>
        <v>-4076250</v>
      </c>
      <c r="J25" s="87">
        <f>VLOOKUP($A25,'Data shares'!$C:$FA,93)</f>
        <v>-0.1119</v>
      </c>
      <c r="K25" s="86">
        <f>VLOOKUP($A25,'Data shares'!$C:$FA,94)</f>
        <v>14866250</v>
      </c>
      <c r="L25" s="86">
        <f>VLOOKUP($A25,'Data shares'!$C:$FA,96)</f>
        <v>-1188750</v>
      </c>
      <c r="M25" s="87">
        <f>VLOOKUP($A25,'Data shares'!$C:$FA,97)</f>
        <v>-7.3999999999999996E-2</v>
      </c>
      <c r="N25" s="86">
        <f>VLOOKUP($A25,'Data shares'!$C:$FA,78)</f>
        <v>66595625</v>
      </c>
      <c r="O25" s="87">
        <f>VLOOKUP($A25,'Data shares'!$C:$FA,81)</f>
        <v>-2.4899999999999999E-2</v>
      </c>
    </row>
    <row r="26" spans="1:15" x14ac:dyDescent="0.25">
      <c r="A26" s="100" t="str">
        <f>'OI(Value)'!A26</f>
        <v>BAJAJ-AUTO</v>
      </c>
      <c r="B26" s="82">
        <f>VLOOKUP(A26,'Data shares'!$C$2:$CV$215,98,0)</f>
        <v>7018425</v>
      </c>
      <c r="C26" s="82">
        <f>VLOOKUP(A26,'Data shares'!$C$2:$CX$215,100,0)</f>
        <v>95925</v>
      </c>
      <c r="D26" s="141">
        <f>VLOOKUP(A26,'Data shares'!$C$2:$CY$538,101,0)</f>
        <v>1.3899999999999999E-2</v>
      </c>
      <c r="E26" s="86">
        <f>VLOOKUP($A26,'Data shares'!$C:$FA,74)</f>
        <v>3612975</v>
      </c>
      <c r="F26" s="86">
        <f>VLOOKUP($A26,'Data shares'!$C:$FA,76)</f>
        <v>44700</v>
      </c>
      <c r="G26" s="87">
        <f>VLOOKUP(A26,'Data shares'!$C$2:$CA$215,77,0)</f>
        <v>1.2500000000000001E-2</v>
      </c>
      <c r="H26" s="86">
        <f>VLOOKUP($A26,'Data shares'!$C:$FA,90)</f>
        <v>2257500</v>
      </c>
      <c r="I26" s="86">
        <f>VLOOKUP($A26,'Data shares'!$C:$FA,92)</f>
        <v>72300</v>
      </c>
      <c r="J26" s="87">
        <f>VLOOKUP($A26,'Data shares'!$C:$FA,93)</f>
        <v>3.3099999999999997E-2</v>
      </c>
      <c r="K26" s="86">
        <f>VLOOKUP($A26,'Data shares'!$C:$FA,94)</f>
        <v>1147950</v>
      </c>
      <c r="L26" s="86">
        <f>VLOOKUP($A26,'Data shares'!$C:$FA,96)</f>
        <v>-21075</v>
      </c>
      <c r="M26" s="87">
        <f>VLOOKUP($A26,'Data shares'!$C:$FA,97)</f>
        <v>-1.7999999999999999E-2</v>
      </c>
      <c r="N26" s="86">
        <f>VLOOKUP($A26,'Data shares'!$C:$FA,78)</f>
        <v>3229500</v>
      </c>
      <c r="O26" s="87">
        <f>VLOOKUP($A26,'Data shares'!$C:$FA,81)</f>
        <v>-1.2999999999999999E-2</v>
      </c>
    </row>
    <row r="27" spans="1:15" x14ac:dyDescent="0.25">
      <c r="A27" s="100" t="str">
        <f>'OI(Value)'!A27</f>
        <v>BAJAJFINSV</v>
      </c>
      <c r="B27" s="82">
        <f>VLOOKUP(A27,'Data shares'!$C$2:$CV$215,98,0)</f>
        <v>27759500</v>
      </c>
      <c r="C27" s="82">
        <f>VLOOKUP(A27,'Data shares'!$C$2:$CX$215,100,0)</f>
        <v>-44250</v>
      </c>
      <c r="D27" s="141">
        <f>VLOOKUP(A27,'Data shares'!$C$2:$CY$538,101,0)</f>
        <v>-1.6000000000000001E-3</v>
      </c>
      <c r="E27" s="86">
        <f>VLOOKUP($A27,'Data shares'!$C:$FA,74)</f>
        <v>18525250</v>
      </c>
      <c r="F27" s="86">
        <f>VLOOKUP($A27,'Data shares'!$C:$FA,76)</f>
        <v>-34250</v>
      </c>
      <c r="G27" s="87">
        <f>VLOOKUP(A27,'Data shares'!$C$2:$CA$215,77,0)</f>
        <v>-1.8E-3</v>
      </c>
      <c r="H27" s="86">
        <f>VLOOKUP($A27,'Data shares'!$C:$FA,90)</f>
        <v>5562500</v>
      </c>
      <c r="I27" s="86">
        <f>VLOOKUP($A27,'Data shares'!$C:$FA,92)</f>
        <v>-25500</v>
      </c>
      <c r="J27" s="87">
        <f>VLOOKUP($A27,'Data shares'!$C:$FA,93)</f>
        <v>-4.5999999999999999E-3</v>
      </c>
      <c r="K27" s="86">
        <f>VLOOKUP($A27,'Data shares'!$C:$FA,94)</f>
        <v>3671750</v>
      </c>
      <c r="L27" s="86">
        <f>VLOOKUP($A27,'Data shares'!$C:$FA,96)</f>
        <v>15500</v>
      </c>
      <c r="M27" s="87">
        <f>VLOOKUP($A27,'Data shares'!$C:$FA,97)</f>
        <v>4.1999999999999997E-3</v>
      </c>
      <c r="N27" s="86">
        <f>VLOOKUP($A27,'Data shares'!$C:$FA,78)</f>
        <v>15249000</v>
      </c>
      <c r="O27" s="87">
        <f>VLOOKUP($A27,'Data shares'!$C:$FA,81)</f>
        <v>-4.1200000000000001E-2</v>
      </c>
    </row>
    <row r="28" spans="1:15" x14ac:dyDescent="0.25">
      <c r="A28" s="100" t="str">
        <f>'OI(Value)'!A28</f>
        <v>BAJFINANCE</v>
      </c>
      <c r="B28" s="82">
        <f>VLOOKUP(A28,'Data shares'!$C$2:$CV$215,98,0)</f>
        <v>139518000</v>
      </c>
      <c r="C28" s="82">
        <f>VLOOKUP(A28,'Data shares'!$C$2:$CX$215,100,0)</f>
        <v>-306750</v>
      </c>
      <c r="D28" s="141">
        <f>VLOOKUP(A28,'Data shares'!$C$2:$CY$538,101,0)</f>
        <v>-2.2000000000000001E-3</v>
      </c>
      <c r="E28" s="86">
        <f>VLOOKUP($A28,'Data shares'!$C:$FA,74)</f>
        <v>88848750</v>
      </c>
      <c r="F28" s="86">
        <f>VLOOKUP($A28,'Data shares'!$C:$FA,76)</f>
        <v>666750</v>
      </c>
      <c r="G28" s="87">
        <f>VLOOKUP(A28,'Data shares'!$C$2:$CA$215,77,0)</f>
        <v>7.6E-3</v>
      </c>
      <c r="H28" s="86">
        <f>VLOOKUP($A28,'Data shares'!$C:$FA,90)</f>
        <v>31846500</v>
      </c>
      <c r="I28" s="86">
        <f>VLOOKUP($A28,'Data shares'!$C:$FA,92)</f>
        <v>-588750</v>
      </c>
      <c r="J28" s="87">
        <f>VLOOKUP($A28,'Data shares'!$C:$FA,93)</f>
        <v>-1.8200000000000001E-2</v>
      </c>
      <c r="K28" s="86">
        <f>VLOOKUP($A28,'Data shares'!$C:$FA,94)</f>
        <v>18822750</v>
      </c>
      <c r="L28" s="86">
        <f>VLOOKUP($A28,'Data shares'!$C:$FA,96)</f>
        <v>-384750</v>
      </c>
      <c r="M28" s="87">
        <f>VLOOKUP($A28,'Data shares'!$C:$FA,97)</f>
        <v>-0.02</v>
      </c>
      <c r="N28" s="86">
        <f>VLOOKUP($A28,'Data shares'!$C:$FA,78)</f>
        <v>74670000</v>
      </c>
      <c r="O28" s="87">
        <f>VLOOKUP($A28,'Data shares'!$C:$FA,81)</f>
        <v>-3.4200000000000001E-2</v>
      </c>
    </row>
    <row r="29" spans="1:15" x14ac:dyDescent="0.25">
      <c r="A29" s="100" t="str">
        <f>'OI(Value)'!A29</f>
        <v>BANDHANBNK</v>
      </c>
      <c r="B29" s="82">
        <f>VLOOKUP(A29,'Data shares'!$C$2:$CV$215,98,0)</f>
        <v>182221200</v>
      </c>
      <c r="C29" s="82">
        <f>VLOOKUP(A29,'Data shares'!$C$2:$CX$215,100,0)</f>
        <v>-1202400</v>
      </c>
      <c r="D29" s="141">
        <f>VLOOKUP(A29,'Data shares'!$C$2:$CY$538,101,0)</f>
        <v>-6.6E-3</v>
      </c>
      <c r="E29" s="86">
        <f>VLOOKUP($A29,'Data shares'!$C:$FA,74)</f>
        <v>112942800</v>
      </c>
      <c r="F29" s="86">
        <f>VLOOKUP($A29,'Data shares'!$C:$FA,76)</f>
        <v>-349200</v>
      </c>
      <c r="G29" s="87">
        <f>VLOOKUP(A29,'Data shares'!$C$2:$CA$215,77,0)</f>
        <v>-3.0999999999999999E-3</v>
      </c>
      <c r="H29" s="86">
        <f>VLOOKUP($A29,'Data shares'!$C:$FA,90)</f>
        <v>41072400</v>
      </c>
      <c r="I29" s="86">
        <f>VLOOKUP($A29,'Data shares'!$C:$FA,92)</f>
        <v>-817200</v>
      </c>
      <c r="J29" s="87">
        <f>VLOOKUP($A29,'Data shares'!$C:$FA,93)</f>
        <v>-1.95E-2</v>
      </c>
      <c r="K29" s="86">
        <f>VLOOKUP($A29,'Data shares'!$C:$FA,94)</f>
        <v>28206000</v>
      </c>
      <c r="L29" s="86">
        <f>VLOOKUP($A29,'Data shares'!$C:$FA,96)</f>
        <v>-36000</v>
      </c>
      <c r="M29" s="87">
        <f>VLOOKUP($A29,'Data shares'!$C:$FA,97)</f>
        <v>-1.2999999999999999E-3</v>
      </c>
      <c r="N29" s="86">
        <f>VLOOKUP($A29,'Data shares'!$C:$FA,78)</f>
        <v>105897600</v>
      </c>
      <c r="O29" s="87">
        <f>VLOOKUP($A29,'Data shares'!$C:$FA,81)</f>
        <v>-3.0000000000000001E-3</v>
      </c>
    </row>
    <row r="30" spans="1:15" x14ac:dyDescent="0.25">
      <c r="A30" s="100" t="str">
        <f>'OI(Value)'!A30</f>
        <v>BANKBARODA</v>
      </c>
      <c r="B30" s="82">
        <f>VLOOKUP(A30,'Data shares'!$C$2:$CV$215,98,0)</f>
        <v>174651750</v>
      </c>
      <c r="C30" s="82">
        <f>VLOOKUP(A30,'Data shares'!$C$2:$CX$215,100,0)</f>
        <v>-3691350</v>
      </c>
      <c r="D30" s="141">
        <f>VLOOKUP(A30,'Data shares'!$C$2:$CY$538,101,0)</f>
        <v>-2.07E-2</v>
      </c>
      <c r="E30" s="86">
        <f>VLOOKUP($A30,'Data shares'!$C:$FA,74)</f>
        <v>86658975</v>
      </c>
      <c r="F30" s="86">
        <f>VLOOKUP($A30,'Data shares'!$C:$FA,76)</f>
        <v>-950625</v>
      </c>
      <c r="G30" s="87">
        <f>VLOOKUP(A30,'Data shares'!$C$2:$CA$215,77,0)</f>
        <v>-1.09E-2</v>
      </c>
      <c r="H30" s="86">
        <f>VLOOKUP($A30,'Data shares'!$C:$FA,90)</f>
        <v>48291750</v>
      </c>
      <c r="I30" s="86">
        <f>VLOOKUP($A30,'Data shares'!$C:$FA,92)</f>
        <v>-2334150</v>
      </c>
      <c r="J30" s="87">
        <f>VLOOKUP($A30,'Data shares'!$C:$FA,93)</f>
        <v>-4.6100000000000002E-2</v>
      </c>
      <c r="K30" s="86">
        <f>VLOOKUP($A30,'Data shares'!$C:$FA,94)</f>
        <v>39701025</v>
      </c>
      <c r="L30" s="86">
        <f>VLOOKUP($A30,'Data shares'!$C:$FA,96)</f>
        <v>-406575</v>
      </c>
      <c r="M30" s="87">
        <f>VLOOKUP($A30,'Data shares'!$C:$FA,97)</f>
        <v>-1.01E-2</v>
      </c>
      <c r="N30" s="86">
        <f>VLOOKUP($A30,'Data shares'!$C:$FA,78)</f>
        <v>78009750</v>
      </c>
      <c r="O30" s="87">
        <f>VLOOKUP($A30,'Data shares'!$C:$FA,81)</f>
        <v>-1.8200000000000001E-2</v>
      </c>
    </row>
    <row r="31" spans="1:15" x14ac:dyDescent="0.25">
      <c r="A31" s="100" t="str">
        <f>'OI(Value)'!A31</f>
        <v>BANKINDIA</v>
      </c>
      <c r="B31" s="82">
        <f>VLOOKUP(A31,'Data shares'!$C$2:$CV$215,98,0)</f>
        <v>97318000</v>
      </c>
      <c r="C31" s="82">
        <f>VLOOKUP(A31,'Data shares'!$C$2:$CX$215,100,0)</f>
        <v>-405600</v>
      </c>
      <c r="D31" s="141">
        <f>VLOOKUP(A31,'Data shares'!$C$2:$CY$538,101,0)</f>
        <v>-4.1999999999999997E-3</v>
      </c>
      <c r="E31" s="86">
        <f>VLOOKUP($A31,'Data shares'!$C:$FA,74)</f>
        <v>49446800</v>
      </c>
      <c r="F31" s="86">
        <f>VLOOKUP($A31,'Data shares'!$C:$FA,76)</f>
        <v>-738400</v>
      </c>
      <c r="G31" s="87">
        <f>VLOOKUP(A31,'Data shares'!$C$2:$CA$215,77,0)</f>
        <v>-1.47E-2</v>
      </c>
      <c r="H31" s="86">
        <f>VLOOKUP($A31,'Data shares'!$C:$FA,90)</f>
        <v>27367600</v>
      </c>
      <c r="I31" s="86">
        <f>VLOOKUP($A31,'Data shares'!$C:$FA,92)</f>
        <v>-228800</v>
      </c>
      <c r="J31" s="87">
        <f>VLOOKUP($A31,'Data shares'!$C:$FA,93)</f>
        <v>-8.3000000000000001E-3</v>
      </c>
      <c r="K31" s="86">
        <f>VLOOKUP($A31,'Data shares'!$C:$FA,94)</f>
        <v>20503600</v>
      </c>
      <c r="L31" s="86">
        <f>VLOOKUP($A31,'Data shares'!$C:$FA,96)</f>
        <v>561600</v>
      </c>
      <c r="M31" s="87">
        <f>VLOOKUP($A31,'Data shares'!$C:$FA,97)</f>
        <v>2.8199999999999999E-2</v>
      </c>
      <c r="N31" s="86">
        <f>VLOOKUP($A31,'Data shares'!$C:$FA,78)</f>
        <v>46269600</v>
      </c>
      <c r="O31" s="87">
        <f>VLOOKUP($A31,'Data shares'!$C:$FA,81)</f>
        <v>-1.7999999999999999E-2</v>
      </c>
    </row>
    <row r="32" spans="1:15" x14ac:dyDescent="0.25">
      <c r="A32" s="100" t="str">
        <f>'OI(Value)'!A32</f>
        <v>BANKNIFTY</v>
      </c>
      <c r="B32" s="82">
        <f>VLOOKUP(A32,'Data shares'!$C$2:$CV$215,98,0)</f>
        <v>43049230</v>
      </c>
      <c r="C32" s="82">
        <f>VLOOKUP(A32,'Data shares'!$C$2:$CX$215,100,0)</f>
        <v>1202705</v>
      </c>
      <c r="D32" s="141">
        <f>VLOOKUP(A32,'Data shares'!$C$2:$CY$538,101,0)</f>
        <v>2.87E-2</v>
      </c>
      <c r="E32" s="86">
        <f>VLOOKUP($A32,'Data shares'!$C:$FA,74)</f>
        <v>2042980</v>
      </c>
      <c r="F32" s="86">
        <f>VLOOKUP($A32,'Data shares'!$C:$FA,76)</f>
        <v>-53480</v>
      </c>
      <c r="G32" s="87">
        <f>VLOOKUP(A32,'Data shares'!$C$2:$CA$215,77,0)</f>
        <v>-2.5499999999999998E-2</v>
      </c>
      <c r="H32" s="86">
        <f>VLOOKUP($A32,'Data shares'!$C:$FA,90)</f>
        <v>23455860</v>
      </c>
      <c r="I32" s="86">
        <f>VLOOKUP($A32,'Data shares'!$C:$FA,92)</f>
        <v>753000</v>
      </c>
      <c r="J32" s="87">
        <f>VLOOKUP($A32,'Data shares'!$C:$FA,93)</f>
        <v>3.32E-2</v>
      </c>
      <c r="K32" s="86">
        <f>VLOOKUP($A32,'Data shares'!$C:$FA,94)</f>
        <v>17550390</v>
      </c>
      <c r="L32" s="86">
        <f>VLOOKUP($A32,'Data shares'!$C:$FA,96)</f>
        <v>503185</v>
      </c>
      <c r="M32" s="87">
        <f>VLOOKUP($A32,'Data shares'!$C:$FA,97)</f>
        <v>2.9499999999999998E-2</v>
      </c>
      <c r="N32" s="86">
        <f>VLOOKUP($A32,'Data shares'!$C:$FA,78)</f>
        <v>1770160</v>
      </c>
      <c r="O32" s="87">
        <f>VLOOKUP($A32,'Data shares'!$C:$FA,81)</f>
        <v>-4.0399999999999998E-2</v>
      </c>
    </row>
    <row r="33" spans="1:15" x14ac:dyDescent="0.25">
      <c r="A33" s="100" t="str">
        <f>'OI(Value)'!A33</f>
        <v>BDL</v>
      </c>
      <c r="B33" s="82">
        <f>VLOOKUP(A33,'Data shares'!$C$2:$CV$215,98,0)</f>
        <v>15167125</v>
      </c>
      <c r="C33" s="82">
        <f>VLOOKUP(A33,'Data shares'!$C$2:$CX$215,100,0)</f>
        <v>-83525</v>
      </c>
      <c r="D33" s="141">
        <f>VLOOKUP(A33,'Data shares'!$C$2:$CY$538,101,0)</f>
        <v>-5.4999999999999997E-3</v>
      </c>
      <c r="E33" s="86">
        <f>VLOOKUP($A33,'Data shares'!$C:$FA,74)</f>
        <v>4768800</v>
      </c>
      <c r="F33" s="86">
        <f>VLOOKUP($A33,'Data shares'!$C:$FA,76)</f>
        <v>-48725</v>
      </c>
      <c r="G33" s="87">
        <f>VLOOKUP(A33,'Data shares'!$C$2:$CA$215,77,0)</f>
        <v>-1.01E-2</v>
      </c>
      <c r="H33" s="86">
        <f>VLOOKUP($A33,'Data shares'!$C:$FA,90)</f>
        <v>7423075</v>
      </c>
      <c r="I33" s="86">
        <f>VLOOKUP($A33,'Data shares'!$C:$FA,92)</f>
        <v>-53625</v>
      </c>
      <c r="J33" s="87">
        <f>VLOOKUP($A33,'Data shares'!$C:$FA,93)</f>
        <v>-7.1999999999999998E-3</v>
      </c>
      <c r="K33" s="86">
        <f>VLOOKUP($A33,'Data shares'!$C:$FA,94)</f>
        <v>2975250</v>
      </c>
      <c r="L33" s="86">
        <f>VLOOKUP($A33,'Data shares'!$C:$FA,96)</f>
        <v>18825</v>
      </c>
      <c r="M33" s="87">
        <f>VLOOKUP($A33,'Data shares'!$C:$FA,97)</f>
        <v>6.4000000000000003E-3</v>
      </c>
      <c r="N33" s="86">
        <f>VLOOKUP($A33,'Data shares'!$C:$FA,78)</f>
        <v>4039750</v>
      </c>
      <c r="O33" s="87">
        <f>VLOOKUP($A33,'Data shares'!$C:$FA,81)</f>
        <v>-3.0300000000000001E-2</v>
      </c>
    </row>
    <row r="34" spans="1:15" x14ac:dyDescent="0.25">
      <c r="A34" s="100" t="str">
        <f>'OI(Value)'!A34</f>
        <v>BEL</v>
      </c>
      <c r="B34" s="82">
        <f>VLOOKUP(A34,'Data shares'!$C$2:$CV$215,98,0)</f>
        <v>258345375</v>
      </c>
      <c r="C34" s="82">
        <f>VLOOKUP(A34,'Data shares'!$C$2:$CX$215,100,0)</f>
        <v>25650</v>
      </c>
      <c r="D34" s="141">
        <f>VLOOKUP(A34,'Data shares'!$C$2:$CY$538,101,0)</f>
        <v>1E-4</v>
      </c>
      <c r="E34" s="86">
        <f>VLOOKUP($A34,'Data shares'!$C:$FA,74)</f>
        <v>123554625</v>
      </c>
      <c r="F34" s="86">
        <f>VLOOKUP($A34,'Data shares'!$C:$FA,76)</f>
        <v>805125</v>
      </c>
      <c r="G34" s="87">
        <f>VLOOKUP(A34,'Data shares'!$C$2:$CA$215,77,0)</f>
        <v>6.6E-3</v>
      </c>
      <c r="H34" s="86">
        <f>VLOOKUP($A34,'Data shares'!$C:$FA,90)</f>
        <v>92124825</v>
      </c>
      <c r="I34" s="86">
        <f>VLOOKUP($A34,'Data shares'!$C:$FA,92)</f>
        <v>-1004625</v>
      </c>
      <c r="J34" s="87">
        <f>VLOOKUP($A34,'Data shares'!$C:$FA,93)</f>
        <v>-1.0800000000000001E-2</v>
      </c>
      <c r="K34" s="86">
        <f>VLOOKUP($A34,'Data shares'!$C:$FA,94)</f>
        <v>42665925</v>
      </c>
      <c r="L34" s="86">
        <f>VLOOKUP($A34,'Data shares'!$C:$FA,96)</f>
        <v>225150</v>
      </c>
      <c r="M34" s="87">
        <f>VLOOKUP($A34,'Data shares'!$C:$FA,97)</f>
        <v>5.3E-3</v>
      </c>
      <c r="N34" s="86">
        <f>VLOOKUP($A34,'Data shares'!$C:$FA,78)</f>
        <v>99712950</v>
      </c>
      <c r="O34" s="87">
        <f>VLOOKUP($A34,'Data shares'!$C:$FA,81)</f>
        <v>-3.4299999999999997E-2</v>
      </c>
    </row>
    <row r="35" spans="1:15" x14ac:dyDescent="0.25">
      <c r="A35" s="100" t="str">
        <f>'OI(Value)'!A35</f>
        <v>BHARATFORG</v>
      </c>
      <c r="B35" s="82">
        <f>VLOOKUP(A35,'Data shares'!$C$2:$CV$215,98,0)</f>
        <v>13833500</v>
      </c>
      <c r="C35" s="82">
        <f>VLOOKUP(A35,'Data shares'!$C$2:$CX$215,100,0)</f>
        <v>59500</v>
      </c>
      <c r="D35" s="141">
        <f>VLOOKUP(A35,'Data shares'!$C$2:$CY$538,101,0)</f>
        <v>4.3E-3</v>
      </c>
      <c r="E35" s="86">
        <f>VLOOKUP($A35,'Data shares'!$C:$FA,74)</f>
        <v>7968000</v>
      </c>
      <c r="F35" s="86">
        <f>VLOOKUP($A35,'Data shares'!$C:$FA,76)</f>
        <v>55000</v>
      </c>
      <c r="G35" s="87">
        <f>VLOOKUP(A35,'Data shares'!$C$2:$CA$215,77,0)</f>
        <v>7.0000000000000001E-3</v>
      </c>
      <c r="H35" s="86">
        <f>VLOOKUP($A35,'Data shares'!$C:$FA,90)</f>
        <v>3592500</v>
      </c>
      <c r="I35" s="86">
        <f>VLOOKUP($A35,'Data shares'!$C:$FA,92)</f>
        <v>-15000</v>
      </c>
      <c r="J35" s="87">
        <f>VLOOKUP($A35,'Data shares'!$C:$FA,93)</f>
        <v>-4.1999999999999997E-3</v>
      </c>
      <c r="K35" s="86">
        <f>VLOOKUP($A35,'Data shares'!$C:$FA,94)</f>
        <v>2273000</v>
      </c>
      <c r="L35" s="86">
        <f>VLOOKUP($A35,'Data shares'!$C:$FA,96)</f>
        <v>19500</v>
      </c>
      <c r="M35" s="87">
        <f>VLOOKUP($A35,'Data shares'!$C:$FA,97)</f>
        <v>8.6999999999999994E-3</v>
      </c>
      <c r="N35" s="86">
        <f>VLOOKUP($A35,'Data shares'!$C:$FA,78)</f>
        <v>7181000</v>
      </c>
      <c r="O35" s="87">
        <f>VLOOKUP($A35,'Data shares'!$C:$FA,81)</f>
        <v>-5.5999999999999999E-3</v>
      </c>
    </row>
    <row r="36" spans="1:15" x14ac:dyDescent="0.25">
      <c r="A36" s="100" t="str">
        <f>'OI(Value)'!A36</f>
        <v>BHARTIARTL</v>
      </c>
      <c r="B36" s="82">
        <f>VLOOKUP(A36,'Data shares'!$C$2:$CV$215,98,0)</f>
        <v>75744450</v>
      </c>
      <c r="C36" s="82">
        <f>VLOOKUP(A36,'Data shares'!$C$2:$CX$215,100,0)</f>
        <v>323950</v>
      </c>
      <c r="D36" s="141">
        <f>VLOOKUP(A36,'Data shares'!$C$2:$CY$538,101,0)</f>
        <v>4.3E-3</v>
      </c>
      <c r="E36" s="86">
        <f>VLOOKUP($A36,'Data shares'!$C:$FA,74)</f>
        <v>47034500</v>
      </c>
      <c r="F36" s="86">
        <f>VLOOKUP($A36,'Data shares'!$C:$FA,76)</f>
        <v>455050</v>
      </c>
      <c r="G36" s="87">
        <f>VLOOKUP(A36,'Data shares'!$C$2:$CA$215,77,0)</f>
        <v>9.7999999999999997E-3</v>
      </c>
      <c r="H36" s="86">
        <f>VLOOKUP($A36,'Data shares'!$C:$FA,90)</f>
        <v>19322525</v>
      </c>
      <c r="I36" s="86">
        <f>VLOOKUP($A36,'Data shares'!$C:$FA,92)</f>
        <v>76475</v>
      </c>
      <c r="J36" s="87">
        <f>VLOOKUP($A36,'Data shares'!$C:$FA,93)</f>
        <v>4.0000000000000001E-3</v>
      </c>
      <c r="K36" s="86">
        <f>VLOOKUP($A36,'Data shares'!$C:$FA,94)</f>
        <v>9387425</v>
      </c>
      <c r="L36" s="86">
        <f>VLOOKUP($A36,'Data shares'!$C:$FA,96)</f>
        <v>-207575</v>
      </c>
      <c r="M36" s="87">
        <f>VLOOKUP($A36,'Data shares'!$C:$FA,97)</f>
        <v>-2.1600000000000001E-2</v>
      </c>
      <c r="N36" s="86">
        <f>VLOOKUP($A36,'Data shares'!$C:$FA,78)</f>
        <v>40740750</v>
      </c>
      <c r="O36" s="87">
        <f>VLOOKUP($A36,'Data shares'!$C:$FA,81)</f>
        <v>-2.3E-2</v>
      </c>
    </row>
    <row r="37" spans="1:15" x14ac:dyDescent="0.25">
      <c r="A37" s="100" t="str">
        <f>'OI(Value)'!A37</f>
        <v>BHEL</v>
      </c>
      <c r="B37" s="82">
        <f>VLOOKUP(A37,'Data shares'!$C$2:$CV$215,98,0)</f>
        <v>143330250</v>
      </c>
      <c r="C37" s="82">
        <f>VLOOKUP(A37,'Data shares'!$C$2:$CX$215,100,0)</f>
        <v>2632875</v>
      </c>
      <c r="D37" s="141">
        <f>VLOOKUP(A37,'Data shares'!$C$2:$CY$538,101,0)</f>
        <v>1.8700000000000001E-2</v>
      </c>
      <c r="E37" s="86">
        <f>VLOOKUP($A37,'Data shares'!$C:$FA,74)</f>
        <v>64501500</v>
      </c>
      <c r="F37" s="86">
        <f>VLOOKUP($A37,'Data shares'!$C:$FA,76)</f>
        <v>882000</v>
      </c>
      <c r="G37" s="87">
        <f>VLOOKUP(A37,'Data shares'!$C$2:$CA$215,77,0)</f>
        <v>1.3899999999999999E-2</v>
      </c>
      <c r="H37" s="86">
        <f>VLOOKUP($A37,'Data shares'!$C:$FA,90)</f>
        <v>53849250</v>
      </c>
      <c r="I37" s="86">
        <f>VLOOKUP($A37,'Data shares'!$C:$FA,92)</f>
        <v>1669500</v>
      </c>
      <c r="J37" s="87">
        <f>VLOOKUP($A37,'Data shares'!$C:$FA,93)</f>
        <v>3.2000000000000001E-2</v>
      </c>
      <c r="K37" s="86">
        <f>VLOOKUP($A37,'Data shares'!$C:$FA,94)</f>
        <v>24979500</v>
      </c>
      <c r="L37" s="86">
        <f>VLOOKUP($A37,'Data shares'!$C:$FA,96)</f>
        <v>81375</v>
      </c>
      <c r="M37" s="87">
        <f>VLOOKUP($A37,'Data shares'!$C:$FA,97)</f>
        <v>3.3E-3</v>
      </c>
      <c r="N37" s="86">
        <f>VLOOKUP($A37,'Data shares'!$C:$FA,78)</f>
        <v>59485125</v>
      </c>
      <c r="O37" s="87">
        <f>VLOOKUP($A37,'Data shares'!$C:$FA,81)</f>
        <v>-2.9999999999999997E-4</v>
      </c>
    </row>
    <row r="38" spans="1:15" x14ac:dyDescent="0.25">
      <c r="A38" s="100" t="str">
        <f>'OI(Value)'!A38</f>
        <v>BIOCON</v>
      </c>
      <c r="B38" s="82">
        <f>VLOOKUP(A38,'Data shares'!$C$2:$CV$215,98,0)</f>
        <v>95047500</v>
      </c>
      <c r="C38" s="82">
        <f>VLOOKUP(A38,'Data shares'!$C$2:$CX$215,100,0)</f>
        <v>-3185000</v>
      </c>
      <c r="D38" s="141">
        <f>VLOOKUP(A38,'Data shares'!$C$2:$CY$538,101,0)</f>
        <v>-3.2399999999999998E-2</v>
      </c>
      <c r="E38" s="86">
        <f>VLOOKUP($A38,'Data shares'!$C:$FA,74)</f>
        <v>47705000</v>
      </c>
      <c r="F38" s="86">
        <f>VLOOKUP($A38,'Data shares'!$C:$FA,76)</f>
        <v>-835000</v>
      </c>
      <c r="G38" s="87">
        <f>VLOOKUP(A38,'Data shares'!$C$2:$CA$215,77,0)</f>
        <v>-1.72E-2</v>
      </c>
      <c r="H38" s="86">
        <f>VLOOKUP($A38,'Data shares'!$C:$FA,90)</f>
        <v>31135000</v>
      </c>
      <c r="I38" s="86">
        <f>VLOOKUP($A38,'Data shares'!$C:$FA,92)</f>
        <v>-1850000</v>
      </c>
      <c r="J38" s="87">
        <f>VLOOKUP($A38,'Data shares'!$C:$FA,93)</f>
        <v>-5.6099999999999997E-2</v>
      </c>
      <c r="K38" s="86">
        <f>VLOOKUP($A38,'Data shares'!$C:$FA,94)</f>
        <v>16207500</v>
      </c>
      <c r="L38" s="86">
        <f>VLOOKUP($A38,'Data shares'!$C:$FA,96)</f>
        <v>-500000</v>
      </c>
      <c r="M38" s="87">
        <f>VLOOKUP($A38,'Data shares'!$C:$FA,97)</f>
        <v>-2.9899999999999999E-2</v>
      </c>
      <c r="N38" s="86">
        <f>VLOOKUP($A38,'Data shares'!$C:$FA,78)</f>
        <v>44465000</v>
      </c>
      <c r="O38" s="87">
        <f>VLOOKUP($A38,'Data shares'!$C:$FA,81)</f>
        <v>-3.4799999999999998E-2</v>
      </c>
    </row>
    <row r="39" spans="1:15" x14ac:dyDescent="0.25">
      <c r="A39" s="100" t="str">
        <f>'OI(Value)'!A39</f>
        <v>BLUESTARCO</v>
      </c>
      <c r="B39" s="82">
        <f>VLOOKUP(A39,'Data shares'!$C$2:$CV$215,98,0)</f>
        <v>3662425</v>
      </c>
      <c r="C39" s="82">
        <f>VLOOKUP(A39,'Data shares'!$C$2:$CX$215,100,0)</f>
        <v>7800</v>
      </c>
      <c r="D39" s="141">
        <f>VLOOKUP(A39,'Data shares'!$C$2:$CY$538,101,0)</f>
        <v>2.0999999999999999E-3</v>
      </c>
      <c r="E39" s="86">
        <f>VLOOKUP($A39,'Data shares'!$C:$FA,74)</f>
        <v>2475200</v>
      </c>
      <c r="F39" s="86">
        <f>VLOOKUP($A39,'Data shares'!$C:$FA,76)</f>
        <v>85150</v>
      </c>
      <c r="G39" s="87">
        <f>VLOOKUP(A39,'Data shares'!$C$2:$CA$215,77,0)</f>
        <v>3.56E-2</v>
      </c>
      <c r="H39" s="86">
        <f>VLOOKUP($A39,'Data shares'!$C:$FA,90)</f>
        <v>608400</v>
      </c>
      <c r="I39" s="86">
        <f>VLOOKUP($A39,'Data shares'!$C:$FA,92)</f>
        <v>-135525</v>
      </c>
      <c r="J39" s="87">
        <f>VLOOKUP($A39,'Data shares'!$C:$FA,93)</f>
        <v>-0.1822</v>
      </c>
      <c r="K39" s="86">
        <f>VLOOKUP($A39,'Data shares'!$C:$FA,94)</f>
        <v>578825</v>
      </c>
      <c r="L39" s="86">
        <f>VLOOKUP($A39,'Data shares'!$C:$FA,96)</f>
        <v>58175</v>
      </c>
      <c r="M39" s="87">
        <f>VLOOKUP($A39,'Data shares'!$C:$FA,97)</f>
        <v>0.11169999999999999</v>
      </c>
      <c r="N39" s="86">
        <f>VLOOKUP($A39,'Data shares'!$C:$FA,78)</f>
        <v>2239900</v>
      </c>
      <c r="O39" s="87">
        <f>VLOOKUP($A39,'Data shares'!$C:$FA,81)</f>
        <v>1.83E-2</v>
      </c>
    </row>
    <row r="40" spans="1:15" x14ac:dyDescent="0.25">
      <c r="A40" s="100" t="str">
        <f>'OI(Value)'!A40</f>
        <v>BOSCHLTD</v>
      </c>
      <c r="B40" s="82">
        <f>VLOOKUP(A40,'Data shares'!$C$2:$CV$215,98,0)</f>
        <v>350775</v>
      </c>
      <c r="C40" s="82">
        <f>VLOOKUP(A40,'Data shares'!$C$2:$CX$215,100,0)</f>
        <v>7250</v>
      </c>
      <c r="D40" s="141">
        <f>VLOOKUP(A40,'Data shares'!$C$2:$CY$538,101,0)</f>
        <v>2.1100000000000001E-2</v>
      </c>
      <c r="E40" s="86">
        <f>VLOOKUP($A40,'Data shares'!$C:$FA,74)</f>
        <v>211425</v>
      </c>
      <c r="F40" s="86">
        <f>VLOOKUP($A40,'Data shares'!$C:$FA,76)</f>
        <v>-450</v>
      </c>
      <c r="G40" s="87">
        <f>VLOOKUP(A40,'Data shares'!$C$2:$CA$215,77,0)</f>
        <v>-2.0999999999999999E-3</v>
      </c>
      <c r="H40" s="86">
        <f>VLOOKUP($A40,'Data shares'!$C:$FA,90)</f>
        <v>97225</v>
      </c>
      <c r="I40" s="86">
        <f>VLOOKUP($A40,'Data shares'!$C:$FA,92)</f>
        <v>8100</v>
      </c>
      <c r="J40" s="87">
        <f>VLOOKUP($A40,'Data shares'!$C:$FA,93)</f>
        <v>9.0899999999999995E-2</v>
      </c>
      <c r="K40" s="86">
        <f>VLOOKUP($A40,'Data shares'!$C:$FA,94)</f>
        <v>42125</v>
      </c>
      <c r="L40" s="86">
        <f>VLOOKUP($A40,'Data shares'!$C:$FA,96)</f>
        <v>-400</v>
      </c>
      <c r="M40" s="87">
        <f>VLOOKUP($A40,'Data shares'!$C:$FA,97)</f>
        <v>-9.4000000000000004E-3</v>
      </c>
      <c r="N40" s="86">
        <f>VLOOKUP($A40,'Data shares'!$C:$FA,78)</f>
        <v>198975</v>
      </c>
      <c r="O40" s="87">
        <f>VLOOKUP($A40,'Data shares'!$C:$FA,81)</f>
        <v>-1.0800000000000001E-2</v>
      </c>
    </row>
    <row r="41" spans="1:15" x14ac:dyDescent="0.25">
      <c r="A41" s="100" t="str">
        <f>'OI(Value)'!A41</f>
        <v>BPCL</v>
      </c>
      <c r="B41" s="82">
        <f>VLOOKUP(A41,'Data shares'!$C$2:$CV$215,98,0)</f>
        <v>60103200</v>
      </c>
      <c r="C41" s="82">
        <f>VLOOKUP(A41,'Data shares'!$C$2:$CX$215,100,0)</f>
        <v>355500</v>
      </c>
      <c r="D41" s="141">
        <f>VLOOKUP(A41,'Data shares'!$C$2:$CY$538,101,0)</f>
        <v>6.0000000000000001E-3</v>
      </c>
      <c r="E41" s="86">
        <f>VLOOKUP($A41,'Data shares'!$C:$FA,74)</f>
        <v>28829075</v>
      </c>
      <c r="F41" s="86">
        <f>VLOOKUP($A41,'Data shares'!$C:$FA,76)</f>
        <v>509550</v>
      </c>
      <c r="G41" s="87">
        <f>VLOOKUP(A41,'Data shares'!$C$2:$CA$215,77,0)</f>
        <v>1.7999999999999999E-2</v>
      </c>
      <c r="H41" s="86">
        <f>VLOOKUP($A41,'Data shares'!$C:$FA,90)</f>
        <v>19896150</v>
      </c>
      <c r="I41" s="86">
        <f>VLOOKUP($A41,'Data shares'!$C:$FA,92)</f>
        <v>-69125</v>
      </c>
      <c r="J41" s="87">
        <f>VLOOKUP($A41,'Data shares'!$C:$FA,93)</f>
        <v>-3.5000000000000001E-3</v>
      </c>
      <c r="K41" s="86">
        <f>VLOOKUP($A41,'Data shares'!$C:$FA,94)</f>
        <v>11377975</v>
      </c>
      <c r="L41" s="86">
        <f>VLOOKUP($A41,'Data shares'!$C:$FA,96)</f>
        <v>-84925</v>
      </c>
      <c r="M41" s="87">
        <f>VLOOKUP($A41,'Data shares'!$C:$FA,97)</f>
        <v>-7.4000000000000003E-3</v>
      </c>
      <c r="N41" s="86">
        <f>VLOOKUP($A41,'Data shares'!$C:$FA,78)</f>
        <v>27069350</v>
      </c>
      <c r="O41" s="87">
        <f>VLOOKUP($A41,'Data shares'!$C:$FA,81)</f>
        <v>8.6999999999999994E-3</v>
      </c>
    </row>
    <row r="42" spans="1:15" x14ac:dyDescent="0.25">
      <c r="A42" s="100" t="str">
        <f>'OI(Value)'!A42</f>
        <v>BRITANNIA</v>
      </c>
      <c r="B42" s="82">
        <f>VLOOKUP(A42,'Data shares'!$C$2:$CV$215,98,0)</f>
        <v>4888750</v>
      </c>
      <c r="C42" s="82">
        <f>VLOOKUP(A42,'Data shares'!$C$2:$CX$215,100,0)</f>
        <v>117625</v>
      </c>
      <c r="D42" s="141">
        <f>VLOOKUP(A42,'Data shares'!$C$2:$CY$538,101,0)</f>
        <v>2.47E-2</v>
      </c>
      <c r="E42" s="86">
        <f>VLOOKUP($A42,'Data shares'!$C:$FA,74)</f>
        <v>2752375</v>
      </c>
      <c r="F42" s="86">
        <f>VLOOKUP($A42,'Data shares'!$C:$FA,76)</f>
        <v>47500</v>
      </c>
      <c r="G42" s="87">
        <f>VLOOKUP(A42,'Data shares'!$C$2:$CA$215,77,0)</f>
        <v>1.7600000000000001E-2</v>
      </c>
      <c r="H42" s="86">
        <f>VLOOKUP($A42,'Data shares'!$C:$FA,90)</f>
        <v>1345750</v>
      </c>
      <c r="I42" s="86">
        <f>VLOOKUP($A42,'Data shares'!$C:$FA,92)</f>
        <v>82375</v>
      </c>
      <c r="J42" s="87">
        <f>VLOOKUP($A42,'Data shares'!$C:$FA,93)</f>
        <v>6.5199999999999994E-2</v>
      </c>
      <c r="K42" s="86">
        <f>VLOOKUP($A42,'Data shares'!$C:$FA,94)</f>
        <v>790625</v>
      </c>
      <c r="L42" s="86">
        <f>VLOOKUP($A42,'Data shares'!$C:$FA,96)</f>
        <v>-12250</v>
      </c>
      <c r="M42" s="87">
        <f>VLOOKUP($A42,'Data shares'!$C:$FA,97)</f>
        <v>-1.5299999999999999E-2</v>
      </c>
      <c r="N42" s="86">
        <f>VLOOKUP($A42,'Data shares'!$C:$FA,78)</f>
        <v>2664125</v>
      </c>
      <c r="O42" s="87">
        <f>VLOOKUP($A42,'Data shares'!$C:$FA,81)</f>
        <v>3.5999999999999999E-3</v>
      </c>
    </row>
    <row r="43" spans="1:15" x14ac:dyDescent="0.25">
      <c r="A43" s="100" t="str">
        <f>'OI(Value)'!A43</f>
        <v>BSE</v>
      </c>
      <c r="B43" s="82">
        <f>VLOOKUP(A43,'Data shares'!$C$2:$CV$215,98,0)</f>
        <v>31984500</v>
      </c>
      <c r="C43" s="82">
        <f>VLOOKUP(A43,'Data shares'!$C$2:$CX$215,100,0)</f>
        <v>-2214000</v>
      </c>
      <c r="D43" s="141">
        <f>VLOOKUP(A43,'Data shares'!$C$2:$CY$538,101,0)</f>
        <v>-6.4699999999999994E-2</v>
      </c>
      <c r="E43" s="86">
        <f>VLOOKUP($A43,'Data shares'!$C:$FA,74)</f>
        <v>11617500</v>
      </c>
      <c r="F43" s="86">
        <f>VLOOKUP($A43,'Data shares'!$C:$FA,76)</f>
        <v>-94125</v>
      </c>
      <c r="G43" s="87">
        <f>VLOOKUP(A43,'Data shares'!$C$2:$CA$215,77,0)</f>
        <v>-8.0000000000000002E-3</v>
      </c>
      <c r="H43" s="86">
        <f>VLOOKUP($A43,'Data shares'!$C:$FA,90)</f>
        <v>13107750</v>
      </c>
      <c r="I43" s="86">
        <f>VLOOKUP($A43,'Data shares'!$C:$FA,92)</f>
        <v>-1834125</v>
      </c>
      <c r="J43" s="87">
        <f>VLOOKUP($A43,'Data shares'!$C:$FA,93)</f>
        <v>-0.12280000000000001</v>
      </c>
      <c r="K43" s="86">
        <f>VLOOKUP($A43,'Data shares'!$C:$FA,94)</f>
        <v>7259250</v>
      </c>
      <c r="L43" s="86">
        <f>VLOOKUP($A43,'Data shares'!$C:$FA,96)</f>
        <v>-285750</v>
      </c>
      <c r="M43" s="87">
        <f>VLOOKUP($A43,'Data shares'!$C:$FA,97)</f>
        <v>-3.7900000000000003E-2</v>
      </c>
      <c r="N43" s="86">
        <f>VLOOKUP($A43,'Data shares'!$C:$FA,78)</f>
        <v>9771375</v>
      </c>
      <c r="O43" s="87">
        <f>VLOOKUP($A43,'Data shares'!$C:$FA,81)</f>
        <v>-4.1500000000000002E-2</v>
      </c>
    </row>
    <row r="44" spans="1:15" x14ac:dyDescent="0.25">
      <c r="A44" s="100" t="str">
        <f>'OI(Value)'!A44</f>
        <v>CAMS</v>
      </c>
      <c r="B44" s="82">
        <f>VLOOKUP(A44,'Data shares'!$C$2:$CV$215,98,0)</f>
        <v>19356750</v>
      </c>
      <c r="C44" s="82">
        <f>VLOOKUP(A44,'Data shares'!$C$2:$CX$215,100,0)</f>
        <v>258750</v>
      </c>
      <c r="D44" s="141">
        <f>VLOOKUP(A44,'Data shares'!$C$2:$CY$538,101,0)</f>
        <v>1.35E-2</v>
      </c>
      <c r="E44" s="86">
        <f>VLOOKUP($A44,'Data shares'!$C:$FA,74)</f>
        <v>9354000</v>
      </c>
      <c r="F44" s="86">
        <f>VLOOKUP($A44,'Data shares'!$C:$FA,76)</f>
        <v>29250</v>
      </c>
      <c r="G44" s="87">
        <f>VLOOKUP(A44,'Data shares'!$C$2:$CA$215,77,0)</f>
        <v>3.0999999999999999E-3</v>
      </c>
      <c r="H44" s="86">
        <f>VLOOKUP($A44,'Data shares'!$C:$FA,90)</f>
        <v>6111750</v>
      </c>
      <c r="I44" s="86">
        <f>VLOOKUP($A44,'Data shares'!$C:$FA,92)</f>
        <v>201750</v>
      </c>
      <c r="J44" s="87">
        <f>VLOOKUP($A44,'Data shares'!$C:$FA,93)</f>
        <v>3.4099999999999998E-2</v>
      </c>
      <c r="K44" s="86">
        <f>VLOOKUP($A44,'Data shares'!$C:$FA,94)</f>
        <v>3891000</v>
      </c>
      <c r="L44" s="86">
        <f>VLOOKUP($A44,'Data shares'!$C:$FA,96)</f>
        <v>27750</v>
      </c>
      <c r="M44" s="87">
        <f>VLOOKUP($A44,'Data shares'!$C:$FA,97)</f>
        <v>7.1999999999999998E-3</v>
      </c>
      <c r="N44" s="86">
        <f>VLOOKUP($A44,'Data shares'!$C:$FA,78)</f>
        <v>7788000</v>
      </c>
      <c r="O44" s="87">
        <f>VLOOKUP($A44,'Data shares'!$C:$FA,81)</f>
        <v>-2.7400000000000001E-2</v>
      </c>
    </row>
    <row r="45" spans="1:15" x14ac:dyDescent="0.25">
      <c r="A45" s="100" t="str">
        <f>'OI(Value)'!A45</f>
        <v>CANBK</v>
      </c>
      <c r="B45" s="82">
        <f>VLOOKUP(A45,'Data shares'!$C$2:$CV$215,98,0)</f>
        <v>347287500</v>
      </c>
      <c r="C45" s="82">
        <f>VLOOKUP(A45,'Data shares'!$C$2:$CX$215,100,0)</f>
        <v>486000</v>
      </c>
      <c r="D45" s="141">
        <f>VLOOKUP(A45,'Data shares'!$C$2:$CY$538,101,0)</f>
        <v>1.4E-3</v>
      </c>
      <c r="E45" s="86">
        <f>VLOOKUP($A45,'Data shares'!$C:$FA,74)</f>
        <v>146002500</v>
      </c>
      <c r="F45" s="86">
        <f>VLOOKUP($A45,'Data shares'!$C:$FA,76)</f>
        <v>735750</v>
      </c>
      <c r="G45" s="87">
        <f>VLOOKUP(A45,'Data shares'!$C$2:$CA$215,77,0)</f>
        <v>5.1000000000000004E-3</v>
      </c>
      <c r="H45" s="86">
        <f>VLOOKUP($A45,'Data shares'!$C:$FA,90)</f>
        <v>111084750</v>
      </c>
      <c r="I45" s="86">
        <f>VLOOKUP($A45,'Data shares'!$C:$FA,92)</f>
        <v>384750</v>
      </c>
      <c r="J45" s="87">
        <f>VLOOKUP($A45,'Data shares'!$C:$FA,93)</f>
        <v>3.5000000000000001E-3</v>
      </c>
      <c r="K45" s="86">
        <f>VLOOKUP($A45,'Data shares'!$C:$FA,94)</f>
        <v>90200250</v>
      </c>
      <c r="L45" s="86">
        <f>VLOOKUP($A45,'Data shares'!$C:$FA,96)</f>
        <v>-634500</v>
      </c>
      <c r="M45" s="87">
        <f>VLOOKUP($A45,'Data shares'!$C:$FA,97)</f>
        <v>-7.0000000000000001E-3</v>
      </c>
      <c r="N45" s="86">
        <f>VLOOKUP($A45,'Data shares'!$C:$FA,78)</f>
        <v>121277250</v>
      </c>
      <c r="O45" s="87">
        <f>VLOOKUP($A45,'Data shares'!$C:$FA,81)</f>
        <v>-8.9999999999999993E-3</v>
      </c>
    </row>
    <row r="46" spans="1:15" x14ac:dyDescent="0.25">
      <c r="A46" s="100" t="str">
        <f>'OI(Value)'!A46</f>
        <v>CDSL</v>
      </c>
      <c r="B46" s="82">
        <f>VLOOKUP(A46,'Data shares'!$C$2:$CV$215,98,0)</f>
        <v>26650350</v>
      </c>
      <c r="C46" s="82">
        <f>VLOOKUP(A46,'Data shares'!$C$2:$CX$215,100,0)</f>
        <v>-235600</v>
      </c>
      <c r="D46" s="141">
        <f>VLOOKUP(A46,'Data shares'!$C$2:$CY$538,101,0)</f>
        <v>-8.8000000000000005E-3</v>
      </c>
      <c r="E46" s="86">
        <f>VLOOKUP($A46,'Data shares'!$C:$FA,74)</f>
        <v>10116550</v>
      </c>
      <c r="F46" s="86">
        <f>VLOOKUP($A46,'Data shares'!$C:$FA,76)</f>
        <v>39425</v>
      </c>
      <c r="G46" s="87">
        <f>VLOOKUP(A46,'Data shares'!$C$2:$CA$215,77,0)</f>
        <v>3.8999999999999998E-3</v>
      </c>
      <c r="H46" s="86">
        <f>VLOOKUP($A46,'Data shares'!$C:$FA,90)</f>
        <v>11409025</v>
      </c>
      <c r="I46" s="86">
        <f>VLOOKUP($A46,'Data shares'!$C:$FA,92)</f>
        <v>-299250</v>
      </c>
      <c r="J46" s="87">
        <f>VLOOKUP($A46,'Data shares'!$C:$FA,93)</f>
        <v>-2.5600000000000001E-2</v>
      </c>
      <c r="K46" s="86">
        <f>VLOOKUP($A46,'Data shares'!$C:$FA,94)</f>
        <v>5124775</v>
      </c>
      <c r="L46" s="86">
        <f>VLOOKUP($A46,'Data shares'!$C:$FA,96)</f>
        <v>24225</v>
      </c>
      <c r="M46" s="87">
        <f>VLOOKUP($A46,'Data shares'!$C:$FA,97)</f>
        <v>4.7000000000000002E-3</v>
      </c>
      <c r="N46" s="86">
        <f>VLOOKUP($A46,'Data shares'!$C:$FA,78)</f>
        <v>8707700</v>
      </c>
      <c r="O46" s="87">
        <f>VLOOKUP($A46,'Data shares'!$C:$FA,81)</f>
        <v>-9.4000000000000004E-3</v>
      </c>
    </row>
    <row r="47" spans="1:15" x14ac:dyDescent="0.25">
      <c r="A47" s="100" t="str">
        <f>'OI(Value)'!A47</f>
        <v>CGPOWER</v>
      </c>
      <c r="B47" s="82">
        <f>VLOOKUP(A47,'Data shares'!$C$2:$CV$215,98,0)</f>
        <v>27977750</v>
      </c>
      <c r="C47" s="82">
        <f>VLOOKUP(A47,'Data shares'!$C$2:$CX$215,100,0)</f>
        <v>-719100</v>
      </c>
      <c r="D47" s="141">
        <f>VLOOKUP(A47,'Data shares'!$C$2:$CY$538,101,0)</f>
        <v>-2.5100000000000001E-2</v>
      </c>
      <c r="E47" s="86">
        <f>VLOOKUP($A47,'Data shares'!$C:$FA,74)</f>
        <v>14356500</v>
      </c>
      <c r="F47" s="86">
        <f>VLOOKUP($A47,'Data shares'!$C:$FA,76)</f>
        <v>-420750</v>
      </c>
      <c r="G47" s="87">
        <f>VLOOKUP(A47,'Data shares'!$C$2:$CA$215,77,0)</f>
        <v>-2.8500000000000001E-2</v>
      </c>
      <c r="H47" s="86">
        <f>VLOOKUP($A47,'Data shares'!$C:$FA,90)</f>
        <v>9453700</v>
      </c>
      <c r="I47" s="86">
        <f>VLOOKUP($A47,'Data shares'!$C:$FA,92)</f>
        <v>-185300</v>
      </c>
      <c r="J47" s="87">
        <f>VLOOKUP($A47,'Data shares'!$C:$FA,93)</f>
        <v>-1.9199999999999998E-2</v>
      </c>
      <c r="K47" s="86">
        <f>VLOOKUP($A47,'Data shares'!$C:$FA,94)</f>
        <v>4167550</v>
      </c>
      <c r="L47" s="86">
        <f>VLOOKUP($A47,'Data shares'!$C:$FA,96)</f>
        <v>-113050</v>
      </c>
      <c r="M47" s="87">
        <f>VLOOKUP($A47,'Data shares'!$C:$FA,97)</f>
        <v>-2.64E-2</v>
      </c>
      <c r="N47" s="86">
        <f>VLOOKUP($A47,'Data shares'!$C:$FA,78)</f>
        <v>13060250</v>
      </c>
      <c r="O47" s="87">
        <f>VLOOKUP($A47,'Data shares'!$C:$FA,81)</f>
        <v>-4.1399999999999999E-2</v>
      </c>
    </row>
    <row r="48" spans="1:15" x14ac:dyDescent="0.25">
      <c r="A48" s="100" t="str">
        <f>'OI(Value)'!A48</f>
        <v>CHOLAFIN</v>
      </c>
      <c r="B48" s="82">
        <f>VLOOKUP(A48,'Data shares'!$C$2:$CV$215,98,0)</f>
        <v>25916875</v>
      </c>
      <c r="C48" s="82">
        <f>VLOOKUP(A48,'Data shares'!$C$2:$CX$215,100,0)</f>
        <v>1394375</v>
      </c>
      <c r="D48" s="141">
        <f>VLOOKUP(A48,'Data shares'!$C$2:$CY$538,101,0)</f>
        <v>5.6899999999999999E-2</v>
      </c>
      <c r="E48" s="86">
        <f>VLOOKUP($A48,'Data shares'!$C:$FA,74)</f>
        <v>14582500</v>
      </c>
      <c r="F48" s="86">
        <f>VLOOKUP($A48,'Data shares'!$C:$FA,76)</f>
        <v>211875</v>
      </c>
      <c r="G48" s="87">
        <f>VLOOKUP(A48,'Data shares'!$C$2:$CA$215,77,0)</f>
        <v>1.47E-2</v>
      </c>
      <c r="H48" s="86">
        <f>VLOOKUP($A48,'Data shares'!$C:$FA,90)</f>
        <v>5990000</v>
      </c>
      <c r="I48" s="86">
        <f>VLOOKUP($A48,'Data shares'!$C:$FA,92)</f>
        <v>145625</v>
      </c>
      <c r="J48" s="87">
        <f>VLOOKUP($A48,'Data shares'!$C:$FA,93)</f>
        <v>2.4899999999999999E-2</v>
      </c>
      <c r="K48" s="86">
        <f>VLOOKUP($A48,'Data shares'!$C:$FA,94)</f>
        <v>5344375</v>
      </c>
      <c r="L48" s="86">
        <f>VLOOKUP($A48,'Data shares'!$C:$FA,96)</f>
        <v>1036875</v>
      </c>
      <c r="M48" s="87">
        <f>VLOOKUP($A48,'Data shares'!$C:$FA,97)</f>
        <v>0.2407</v>
      </c>
      <c r="N48" s="86">
        <f>VLOOKUP($A48,'Data shares'!$C:$FA,78)</f>
        <v>13666250</v>
      </c>
      <c r="O48" s="87">
        <f>VLOOKUP($A48,'Data shares'!$C:$FA,81)</f>
        <v>9.4000000000000004E-3</v>
      </c>
    </row>
    <row r="49" spans="1:15" x14ac:dyDescent="0.25">
      <c r="A49" s="100" t="str">
        <f>'OI(Value)'!A49</f>
        <v>CIPLA</v>
      </c>
      <c r="B49" s="82">
        <f>VLOOKUP(A49,'Data shares'!$C$2:$CV$215,98,0)</f>
        <v>23805000</v>
      </c>
      <c r="C49" s="82">
        <f>VLOOKUP(A49,'Data shares'!$C$2:$CX$215,100,0)</f>
        <v>-82500</v>
      </c>
      <c r="D49" s="141">
        <f>VLOOKUP(A49,'Data shares'!$C$2:$CY$538,101,0)</f>
        <v>-3.5000000000000001E-3</v>
      </c>
      <c r="E49" s="86">
        <f>VLOOKUP($A49,'Data shares'!$C:$FA,74)</f>
        <v>13831500</v>
      </c>
      <c r="F49" s="86">
        <f>VLOOKUP($A49,'Data shares'!$C:$FA,76)</f>
        <v>61500</v>
      </c>
      <c r="G49" s="87">
        <f>VLOOKUP(A49,'Data shares'!$C$2:$CA$215,77,0)</f>
        <v>4.4999999999999997E-3</v>
      </c>
      <c r="H49" s="86">
        <f>VLOOKUP($A49,'Data shares'!$C:$FA,90)</f>
        <v>5991375</v>
      </c>
      <c r="I49" s="86">
        <f>VLOOKUP($A49,'Data shares'!$C:$FA,92)</f>
        <v>-151500</v>
      </c>
      <c r="J49" s="87">
        <f>VLOOKUP($A49,'Data shares'!$C:$FA,93)</f>
        <v>-2.47E-2</v>
      </c>
      <c r="K49" s="86">
        <f>VLOOKUP($A49,'Data shares'!$C:$FA,94)</f>
        <v>3982125</v>
      </c>
      <c r="L49" s="86">
        <f>VLOOKUP($A49,'Data shares'!$C:$FA,96)</f>
        <v>7500</v>
      </c>
      <c r="M49" s="87">
        <f>VLOOKUP($A49,'Data shares'!$C:$FA,97)</f>
        <v>1.9E-3</v>
      </c>
      <c r="N49" s="86">
        <f>VLOOKUP($A49,'Data shares'!$C:$FA,78)</f>
        <v>12183750</v>
      </c>
      <c r="O49" s="87">
        <f>VLOOKUP($A49,'Data shares'!$C:$FA,81)</f>
        <v>-1.6500000000000001E-2</v>
      </c>
    </row>
    <row r="50" spans="1:15" x14ac:dyDescent="0.25">
      <c r="A50" s="100" t="str">
        <f>'OI(Value)'!A50</f>
        <v>COALINDIA</v>
      </c>
      <c r="B50" s="82">
        <f>VLOOKUP(A50,'Data shares'!$C$2:$CV$215,98,0)</f>
        <v>93213450</v>
      </c>
      <c r="C50" s="82">
        <f>VLOOKUP(A50,'Data shares'!$C$2:$CX$215,100,0)</f>
        <v>-1073250</v>
      </c>
      <c r="D50" s="141">
        <f>VLOOKUP(A50,'Data shares'!$C$2:$CY$538,101,0)</f>
        <v>-1.14E-2</v>
      </c>
      <c r="E50" s="86">
        <f>VLOOKUP($A50,'Data shares'!$C:$FA,74)</f>
        <v>54684450</v>
      </c>
      <c r="F50" s="86">
        <f>VLOOKUP($A50,'Data shares'!$C:$FA,76)</f>
        <v>-1139400</v>
      </c>
      <c r="G50" s="87">
        <f>VLOOKUP(A50,'Data shares'!$C$2:$CA$215,77,0)</f>
        <v>-2.0400000000000001E-2</v>
      </c>
      <c r="H50" s="86">
        <f>VLOOKUP($A50,'Data shares'!$C:$FA,90)</f>
        <v>19554750</v>
      </c>
      <c r="I50" s="86">
        <f>VLOOKUP($A50,'Data shares'!$C:$FA,92)</f>
        <v>-140400</v>
      </c>
      <c r="J50" s="87">
        <f>VLOOKUP($A50,'Data shares'!$C:$FA,93)</f>
        <v>-7.1000000000000004E-3</v>
      </c>
      <c r="K50" s="86">
        <f>VLOOKUP($A50,'Data shares'!$C:$FA,94)</f>
        <v>18974250</v>
      </c>
      <c r="L50" s="86">
        <f>VLOOKUP($A50,'Data shares'!$C:$FA,96)</f>
        <v>206550</v>
      </c>
      <c r="M50" s="87">
        <f>VLOOKUP($A50,'Data shares'!$C:$FA,97)</f>
        <v>1.0999999999999999E-2</v>
      </c>
      <c r="N50" s="86">
        <f>VLOOKUP($A50,'Data shares'!$C:$FA,78)</f>
        <v>46828800</v>
      </c>
      <c r="O50" s="87">
        <f>VLOOKUP($A50,'Data shares'!$C:$FA,81)</f>
        <v>-3.9E-2</v>
      </c>
    </row>
    <row r="51" spans="1:15" x14ac:dyDescent="0.25">
      <c r="A51" s="100" t="str">
        <f>'OI(Value)'!A51</f>
        <v>COFORGE</v>
      </c>
      <c r="B51" s="82">
        <f>VLOOKUP(A51,'Data shares'!$C$2:$CV$215,98,0)</f>
        <v>23906250</v>
      </c>
      <c r="C51" s="82">
        <f>VLOOKUP(A51,'Data shares'!$C$2:$CX$215,100,0)</f>
        <v>130125</v>
      </c>
      <c r="D51" s="141">
        <f>VLOOKUP(A51,'Data shares'!$C$2:$CY$538,101,0)</f>
        <v>5.4999999999999997E-3</v>
      </c>
      <c r="E51" s="86">
        <f>VLOOKUP($A51,'Data shares'!$C:$FA,74)</f>
        <v>12620250</v>
      </c>
      <c r="F51" s="86">
        <f>VLOOKUP($A51,'Data shares'!$C:$FA,76)</f>
        <v>144000</v>
      </c>
      <c r="G51" s="87">
        <f>VLOOKUP(A51,'Data shares'!$C$2:$CA$215,77,0)</f>
        <v>1.15E-2</v>
      </c>
      <c r="H51" s="86">
        <f>VLOOKUP($A51,'Data shares'!$C:$FA,90)</f>
        <v>7731750</v>
      </c>
      <c r="I51" s="86">
        <f>VLOOKUP($A51,'Data shares'!$C:$FA,92)</f>
        <v>-20625</v>
      </c>
      <c r="J51" s="87">
        <f>VLOOKUP($A51,'Data shares'!$C:$FA,93)</f>
        <v>-2.7000000000000001E-3</v>
      </c>
      <c r="K51" s="86">
        <f>VLOOKUP($A51,'Data shares'!$C:$FA,94)</f>
        <v>3554250</v>
      </c>
      <c r="L51" s="86">
        <f>VLOOKUP($A51,'Data shares'!$C:$FA,96)</f>
        <v>6750</v>
      </c>
      <c r="M51" s="87">
        <f>VLOOKUP($A51,'Data shares'!$C:$FA,97)</f>
        <v>1.9E-3</v>
      </c>
      <c r="N51" s="86">
        <f>VLOOKUP($A51,'Data shares'!$C:$FA,78)</f>
        <v>11876250</v>
      </c>
      <c r="O51" s="87">
        <f>VLOOKUP($A51,'Data shares'!$C:$FA,81)</f>
        <v>8.5000000000000006E-3</v>
      </c>
    </row>
    <row r="52" spans="1:15" x14ac:dyDescent="0.25">
      <c r="A52" s="100" t="str">
        <f>'OI(Value)'!A52</f>
        <v>COLPAL</v>
      </c>
      <c r="B52" s="82">
        <f>VLOOKUP(A52,'Data shares'!$C$2:$CV$215,98,0)</f>
        <v>12309300</v>
      </c>
      <c r="C52" s="82">
        <f>VLOOKUP(A52,'Data shares'!$C$2:$CX$215,100,0)</f>
        <v>83250</v>
      </c>
      <c r="D52" s="141">
        <f>VLOOKUP(A52,'Data shares'!$C$2:$CY$538,101,0)</f>
        <v>6.7999999999999996E-3</v>
      </c>
      <c r="E52" s="86">
        <f>VLOOKUP($A52,'Data shares'!$C:$FA,74)</f>
        <v>7391250</v>
      </c>
      <c r="F52" s="86">
        <f>VLOOKUP($A52,'Data shares'!$C:$FA,76)</f>
        <v>200475</v>
      </c>
      <c r="G52" s="87">
        <f>VLOOKUP(A52,'Data shares'!$C$2:$CA$215,77,0)</f>
        <v>2.7900000000000001E-2</v>
      </c>
      <c r="H52" s="86">
        <f>VLOOKUP($A52,'Data shares'!$C:$FA,90)</f>
        <v>2995425</v>
      </c>
      <c r="I52" s="86">
        <f>VLOOKUP($A52,'Data shares'!$C:$FA,92)</f>
        <v>-100575</v>
      </c>
      <c r="J52" s="87">
        <f>VLOOKUP($A52,'Data shares'!$C:$FA,93)</f>
        <v>-3.2500000000000001E-2</v>
      </c>
      <c r="K52" s="86">
        <f>VLOOKUP($A52,'Data shares'!$C:$FA,94)</f>
        <v>1922625</v>
      </c>
      <c r="L52" s="86">
        <f>VLOOKUP($A52,'Data shares'!$C:$FA,96)</f>
        <v>-16650</v>
      </c>
      <c r="M52" s="87">
        <f>VLOOKUP($A52,'Data shares'!$C:$FA,97)</f>
        <v>-8.6E-3</v>
      </c>
      <c r="N52" s="86">
        <f>VLOOKUP($A52,'Data shares'!$C:$FA,78)</f>
        <v>6328800</v>
      </c>
      <c r="O52" s="87">
        <f>VLOOKUP($A52,'Data shares'!$C:$FA,81)</f>
        <v>-2.8999999999999998E-3</v>
      </c>
    </row>
    <row r="53" spans="1:15" x14ac:dyDescent="0.25">
      <c r="A53" s="100" t="str">
        <f>'OI(Value)'!A53</f>
        <v>CONCOR</v>
      </c>
      <c r="B53" s="82">
        <f>VLOOKUP(A53,'Data shares'!$C$2:$CV$215,98,0)</f>
        <v>63913750</v>
      </c>
      <c r="C53" s="82">
        <f>VLOOKUP(A53,'Data shares'!$C$2:$CX$215,100,0)</f>
        <v>-515000</v>
      </c>
      <c r="D53" s="141">
        <f>VLOOKUP(A53,'Data shares'!$C$2:$CY$538,101,0)</f>
        <v>-8.0000000000000002E-3</v>
      </c>
      <c r="E53" s="86">
        <f>VLOOKUP($A53,'Data shares'!$C:$FA,74)</f>
        <v>39982500</v>
      </c>
      <c r="F53" s="86">
        <f>VLOOKUP($A53,'Data shares'!$C:$FA,76)</f>
        <v>-367500</v>
      </c>
      <c r="G53" s="87">
        <f>VLOOKUP(A53,'Data shares'!$C$2:$CA$215,77,0)</f>
        <v>-9.1000000000000004E-3</v>
      </c>
      <c r="H53" s="86">
        <f>VLOOKUP($A53,'Data shares'!$C:$FA,90)</f>
        <v>13766250</v>
      </c>
      <c r="I53" s="86">
        <f>VLOOKUP($A53,'Data shares'!$C:$FA,92)</f>
        <v>-162500</v>
      </c>
      <c r="J53" s="87">
        <f>VLOOKUP($A53,'Data shares'!$C:$FA,93)</f>
        <v>-1.17E-2</v>
      </c>
      <c r="K53" s="86">
        <f>VLOOKUP($A53,'Data shares'!$C:$FA,94)</f>
        <v>10165000</v>
      </c>
      <c r="L53" s="86">
        <f>VLOOKUP($A53,'Data shares'!$C:$FA,96)</f>
        <v>15000</v>
      </c>
      <c r="M53" s="87">
        <f>VLOOKUP($A53,'Data shares'!$C:$FA,97)</f>
        <v>1.5E-3</v>
      </c>
      <c r="N53" s="86">
        <f>VLOOKUP($A53,'Data shares'!$C:$FA,78)</f>
        <v>36167500</v>
      </c>
      <c r="O53" s="87">
        <f>VLOOKUP($A53,'Data shares'!$C:$FA,81)</f>
        <v>-1.7500000000000002E-2</v>
      </c>
    </row>
    <row r="54" spans="1:15" x14ac:dyDescent="0.25">
      <c r="A54" s="100" t="str">
        <f>'OI(Value)'!A54</f>
        <v>CROMPTON</v>
      </c>
      <c r="B54" s="82">
        <f>VLOOKUP(A54,'Data shares'!$C$2:$CV$215,98,0)</f>
        <v>99635400</v>
      </c>
      <c r="C54" s="82">
        <f>VLOOKUP(A54,'Data shares'!$C$2:$CX$215,100,0)</f>
        <v>6242400</v>
      </c>
      <c r="D54" s="141">
        <f>VLOOKUP(A54,'Data shares'!$C$2:$CY$538,101,0)</f>
        <v>6.6799999999999998E-2</v>
      </c>
      <c r="E54" s="86">
        <f>VLOOKUP($A54,'Data shares'!$C:$FA,74)</f>
        <v>57735000</v>
      </c>
      <c r="F54" s="86">
        <f>VLOOKUP($A54,'Data shares'!$C:$FA,76)</f>
        <v>766800</v>
      </c>
      <c r="G54" s="87">
        <f>VLOOKUP(A54,'Data shares'!$C$2:$CA$215,77,0)</f>
        <v>1.35E-2</v>
      </c>
      <c r="H54" s="86">
        <f>VLOOKUP($A54,'Data shares'!$C:$FA,90)</f>
        <v>28319400</v>
      </c>
      <c r="I54" s="86">
        <f>VLOOKUP($A54,'Data shares'!$C:$FA,92)</f>
        <v>3843000</v>
      </c>
      <c r="J54" s="87">
        <f>VLOOKUP($A54,'Data shares'!$C:$FA,93)</f>
        <v>0.157</v>
      </c>
      <c r="K54" s="86">
        <f>VLOOKUP($A54,'Data shares'!$C:$FA,94)</f>
        <v>13581000</v>
      </c>
      <c r="L54" s="86">
        <f>VLOOKUP($A54,'Data shares'!$C:$FA,96)</f>
        <v>1632600</v>
      </c>
      <c r="M54" s="87">
        <f>VLOOKUP($A54,'Data shares'!$C:$FA,97)</f>
        <v>0.1366</v>
      </c>
      <c r="N54" s="86">
        <f>VLOOKUP($A54,'Data shares'!$C:$FA,78)</f>
        <v>52074000</v>
      </c>
      <c r="O54" s="87">
        <f>VLOOKUP($A54,'Data shares'!$C:$FA,81)</f>
        <v>-1.0699999999999999E-2</v>
      </c>
    </row>
    <row r="55" spans="1:15" x14ac:dyDescent="0.25">
      <c r="A55" s="100" t="str">
        <f>'OI(Value)'!A55</f>
        <v>CUMMINSIND</v>
      </c>
      <c r="B55" s="82">
        <f>VLOOKUP(A55,'Data shares'!$C$2:$CV$215,98,0)</f>
        <v>5083200</v>
      </c>
      <c r="C55" s="82">
        <f>VLOOKUP(A55,'Data shares'!$C$2:$CX$215,100,0)</f>
        <v>306600</v>
      </c>
      <c r="D55" s="141">
        <f>VLOOKUP(A55,'Data shares'!$C$2:$CY$538,101,0)</f>
        <v>6.4199999999999993E-2</v>
      </c>
      <c r="E55" s="86">
        <f>VLOOKUP($A55,'Data shares'!$C:$FA,74)</f>
        <v>2961000</v>
      </c>
      <c r="F55" s="86">
        <f>VLOOKUP($A55,'Data shares'!$C:$FA,76)</f>
        <v>56400</v>
      </c>
      <c r="G55" s="87">
        <f>VLOOKUP(A55,'Data shares'!$C$2:$CA$215,77,0)</f>
        <v>1.9400000000000001E-2</v>
      </c>
      <c r="H55" s="86">
        <f>VLOOKUP($A55,'Data shares'!$C:$FA,90)</f>
        <v>1308200</v>
      </c>
      <c r="I55" s="86">
        <f>VLOOKUP($A55,'Data shares'!$C:$FA,92)</f>
        <v>236000</v>
      </c>
      <c r="J55" s="87">
        <f>VLOOKUP($A55,'Data shares'!$C:$FA,93)</f>
        <v>0.22009999999999999</v>
      </c>
      <c r="K55" s="86">
        <f>VLOOKUP($A55,'Data shares'!$C:$FA,94)</f>
        <v>814000</v>
      </c>
      <c r="L55" s="86">
        <f>VLOOKUP($A55,'Data shares'!$C:$FA,96)</f>
        <v>14200</v>
      </c>
      <c r="M55" s="87">
        <f>VLOOKUP($A55,'Data shares'!$C:$FA,97)</f>
        <v>1.78E-2</v>
      </c>
      <c r="N55" s="86">
        <f>VLOOKUP($A55,'Data shares'!$C:$FA,78)</f>
        <v>2819800</v>
      </c>
      <c r="O55" s="87">
        <f>VLOOKUP($A55,'Data shares'!$C:$FA,81)</f>
        <v>-5.0000000000000001E-4</v>
      </c>
    </row>
    <row r="56" spans="1:15" x14ac:dyDescent="0.25">
      <c r="A56" s="100" t="str">
        <f>'OI(Value)'!A56</f>
        <v>CYIENT</v>
      </c>
      <c r="B56" s="82">
        <f>VLOOKUP(A56,'Data shares'!$C$2:$CV$215,98,0)</f>
        <v>5682250</v>
      </c>
      <c r="C56" s="82">
        <f>VLOOKUP(A56,'Data shares'!$C$2:$CX$215,100,0)</f>
        <v>62050</v>
      </c>
      <c r="D56" s="141">
        <f>VLOOKUP(A56,'Data shares'!$C$2:$CY$538,101,0)</f>
        <v>1.0999999999999999E-2</v>
      </c>
      <c r="E56" s="86">
        <f>VLOOKUP($A56,'Data shares'!$C:$FA,74)</f>
        <v>3117375</v>
      </c>
      <c r="F56" s="86">
        <f>VLOOKUP($A56,'Data shares'!$C:$FA,76)</f>
        <v>-19975</v>
      </c>
      <c r="G56" s="87">
        <f>VLOOKUP(A56,'Data shares'!$C$2:$CA$215,77,0)</f>
        <v>-6.4000000000000003E-3</v>
      </c>
      <c r="H56" s="86">
        <f>VLOOKUP($A56,'Data shares'!$C:$FA,90)</f>
        <v>1563150</v>
      </c>
      <c r="I56" s="86">
        <f>VLOOKUP($A56,'Data shares'!$C:$FA,92)</f>
        <v>87550</v>
      </c>
      <c r="J56" s="87">
        <f>VLOOKUP($A56,'Data shares'!$C:$FA,93)</f>
        <v>5.9299999999999999E-2</v>
      </c>
      <c r="K56" s="86">
        <f>VLOOKUP($A56,'Data shares'!$C:$FA,94)</f>
        <v>1001725</v>
      </c>
      <c r="L56" s="86">
        <f>VLOOKUP($A56,'Data shares'!$C:$FA,96)</f>
        <v>-5525</v>
      </c>
      <c r="M56" s="87">
        <f>VLOOKUP($A56,'Data shares'!$C:$FA,97)</f>
        <v>-5.4999999999999997E-3</v>
      </c>
      <c r="N56" s="86">
        <f>VLOOKUP($A56,'Data shares'!$C:$FA,78)</f>
        <v>3117375</v>
      </c>
      <c r="O56" s="87">
        <f>VLOOKUP($A56,'Data shares'!$C:$FA,81)</f>
        <v>-6.4000000000000003E-3</v>
      </c>
    </row>
    <row r="57" spans="1:15" x14ac:dyDescent="0.25">
      <c r="A57" s="100" t="str">
        <f>'OI(Value)'!A57</f>
        <v>DABUR</v>
      </c>
      <c r="B57" s="82">
        <f>VLOOKUP(A57,'Data shares'!$C$2:$CV$215,98,0)</f>
        <v>44013750</v>
      </c>
      <c r="C57" s="82">
        <f>VLOOKUP(A57,'Data shares'!$C$2:$CX$215,100,0)</f>
        <v>871250</v>
      </c>
      <c r="D57" s="141">
        <f>VLOOKUP(A57,'Data shares'!$C$2:$CY$538,101,0)</f>
        <v>2.0199999999999999E-2</v>
      </c>
      <c r="E57" s="86">
        <f>VLOOKUP($A57,'Data shares'!$C:$FA,74)</f>
        <v>19831250</v>
      </c>
      <c r="F57" s="86">
        <f>VLOOKUP($A57,'Data shares'!$C:$FA,76)</f>
        <v>535000</v>
      </c>
      <c r="G57" s="87">
        <f>VLOOKUP(A57,'Data shares'!$C$2:$CA$215,77,0)</f>
        <v>2.7699999999999999E-2</v>
      </c>
      <c r="H57" s="86">
        <f>VLOOKUP($A57,'Data shares'!$C:$FA,90)</f>
        <v>15478750</v>
      </c>
      <c r="I57" s="86">
        <f>VLOOKUP($A57,'Data shares'!$C:$FA,92)</f>
        <v>-1250</v>
      </c>
      <c r="J57" s="87">
        <f>VLOOKUP($A57,'Data shares'!$C:$FA,93)</f>
        <v>-1E-4</v>
      </c>
      <c r="K57" s="86">
        <f>VLOOKUP($A57,'Data shares'!$C:$FA,94)</f>
        <v>8703750</v>
      </c>
      <c r="L57" s="86">
        <f>VLOOKUP($A57,'Data shares'!$C:$FA,96)</f>
        <v>337500</v>
      </c>
      <c r="M57" s="87">
        <f>VLOOKUP($A57,'Data shares'!$C:$FA,97)</f>
        <v>4.0300000000000002E-2</v>
      </c>
      <c r="N57" s="86">
        <f>VLOOKUP($A57,'Data shares'!$C:$FA,78)</f>
        <v>18212500</v>
      </c>
      <c r="O57" s="87">
        <f>VLOOKUP($A57,'Data shares'!$C:$FA,81)</f>
        <v>7.1999999999999998E-3</v>
      </c>
    </row>
    <row r="58" spans="1:15" x14ac:dyDescent="0.25">
      <c r="A58" s="100" t="str">
        <f>'OI(Value)'!A58</f>
        <v>DALBHARAT</v>
      </c>
      <c r="B58" s="82">
        <f>VLOOKUP(A58,'Data shares'!$C$2:$CV$215,98,0)</f>
        <v>4926025</v>
      </c>
      <c r="C58" s="82">
        <f>VLOOKUP(A58,'Data shares'!$C$2:$CX$215,100,0)</f>
        <v>154050</v>
      </c>
      <c r="D58" s="141">
        <f>VLOOKUP(A58,'Data shares'!$C$2:$CY$538,101,0)</f>
        <v>3.2300000000000002E-2</v>
      </c>
      <c r="E58" s="86">
        <f>VLOOKUP($A58,'Data shares'!$C:$FA,74)</f>
        <v>2471300</v>
      </c>
      <c r="F58" s="86">
        <f>VLOOKUP($A58,'Data shares'!$C:$FA,76)</f>
        <v>29575</v>
      </c>
      <c r="G58" s="87">
        <f>VLOOKUP(A58,'Data shares'!$C$2:$CA$215,77,0)</f>
        <v>1.21E-2</v>
      </c>
      <c r="H58" s="86">
        <f>VLOOKUP($A58,'Data shares'!$C:$FA,90)</f>
        <v>1474850</v>
      </c>
      <c r="I58" s="86">
        <f>VLOOKUP($A58,'Data shares'!$C:$FA,92)</f>
        <v>148525</v>
      </c>
      <c r="J58" s="87">
        <f>VLOOKUP($A58,'Data shares'!$C:$FA,93)</f>
        <v>0.112</v>
      </c>
      <c r="K58" s="86">
        <f>VLOOKUP($A58,'Data shares'!$C:$FA,94)</f>
        <v>979875</v>
      </c>
      <c r="L58" s="86">
        <f>VLOOKUP($A58,'Data shares'!$C:$FA,96)</f>
        <v>-24050</v>
      </c>
      <c r="M58" s="87">
        <f>VLOOKUP($A58,'Data shares'!$C:$FA,97)</f>
        <v>-2.4E-2</v>
      </c>
      <c r="N58" s="86">
        <f>VLOOKUP($A58,'Data shares'!$C:$FA,78)</f>
        <v>2156050</v>
      </c>
      <c r="O58" s="87">
        <f>VLOOKUP($A58,'Data shares'!$C:$FA,81)</f>
        <v>-2.24E-2</v>
      </c>
    </row>
    <row r="59" spans="1:15" x14ac:dyDescent="0.25">
      <c r="A59" s="100" t="str">
        <f>'OI(Value)'!A59</f>
        <v>DELHIVERY</v>
      </c>
      <c r="B59" s="82">
        <f>VLOOKUP(A59,'Data shares'!$C$2:$CV$215,98,0)</f>
        <v>38595000</v>
      </c>
      <c r="C59" s="82">
        <f>VLOOKUP(A59,'Data shares'!$C$2:$CX$215,100,0)</f>
        <v>-626650</v>
      </c>
      <c r="D59" s="141">
        <f>VLOOKUP(A59,'Data shares'!$C$2:$CY$538,101,0)</f>
        <v>-1.6E-2</v>
      </c>
      <c r="E59" s="86">
        <f>VLOOKUP($A59,'Data shares'!$C:$FA,74)</f>
        <v>16077100</v>
      </c>
      <c r="F59" s="86">
        <f>VLOOKUP($A59,'Data shares'!$C:$FA,76)</f>
        <v>-373500</v>
      </c>
      <c r="G59" s="87">
        <f>VLOOKUP(A59,'Data shares'!$C$2:$CA$215,77,0)</f>
        <v>-2.2700000000000001E-2</v>
      </c>
      <c r="H59" s="86">
        <f>VLOOKUP($A59,'Data shares'!$C:$FA,90)</f>
        <v>13491650</v>
      </c>
      <c r="I59" s="86">
        <f>VLOOKUP($A59,'Data shares'!$C:$FA,92)</f>
        <v>-313325</v>
      </c>
      <c r="J59" s="87">
        <f>VLOOKUP($A59,'Data shares'!$C:$FA,93)</f>
        <v>-2.2700000000000001E-2</v>
      </c>
      <c r="K59" s="86">
        <f>VLOOKUP($A59,'Data shares'!$C:$FA,94)</f>
        <v>9026250</v>
      </c>
      <c r="L59" s="86">
        <f>VLOOKUP($A59,'Data shares'!$C:$FA,96)</f>
        <v>60175</v>
      </c>
      <c r="M59" s="87">
        <f>VLOOKUP($A59,'Data shares'!$C:$FA,97)</f>
        <v>6.7000000000000002E-3</v>
      </c>
      <c r="N59" s="86">
        <f>VLOOKUP($A59,'Data shares'!$C:$FA,78)</f>
        <v>14973200</v>
      </c>
      <c r="O59" s="87">
        <f>VLOOKUP($A59,'Data shares'!$C:$FA,81)</f>
        <v>-2.6800000000000001E-2</v>
      </c>
    </row>
    <row r="60" spans="1:15" x14ac:dyDescent="0.25">
      <c r="A60" s="100" t="str">
        <f>'OI(Value)'!A60</f>
        <v>DIVISLAB</v>
      </c>
      <c r="B60" s="82">
        <f>VLOOKUP(A60,'Data shares'!$C$2:$CV$215,98,0)</f>
        <v>4733700</v>
      </c>
      <c r="C60" s="82">
        <f>VLOOKUP(A60,'Data shares'!$C$2:$CX$215,100,0)</f>
        <v>76000</v>
      </c>
      <c r="D60" s="141">
        <f>VLOOKUP(A60,'Data shares'!$C$2:$CY$538,101,0)</f>
        <v>1.6299999999999999E-2</v>
      </c>
      <c r="E60" s="86">
        <f>VLOOKUP($A60,'Data shares'!$C:$FA,74)</f>
        <v>3067200</v>
      </c>
      <c r="F60" s="86">
        <f>VLOOKUP($A60,'Data shares'!$C:$FA,76)</f>
        <v>36000</v>
      </c>
      <c r="G60" s="87">
        <f>VLOOKUP(A60,'Data shares'!$C$2:$CA$215,77,0)</f>
        <v>1.1900000000000001E-2</v>
      </c>
      <c r="H60" s="86">
        <f>VLOOKUP($A60,'Data shares'!$C:$FA,90)</f>
        <v>976400</v>
      </c>
      <c r="I60" s="86">
        <f>VLOOKUP($A60,'Data shares'!$C:$FA,92)</f>
        <v>22000</v>
      </c>
      <c r="J60" s="87">
        <f>VLOOKUP($A60,'Data shares'!$C:$FA,93)</f>
        <v>2.3099999999999999E-2</v>
      </c>
      <c r="K60" s="86">
        <f>VLOOKUP($A60,'Data shares'!$C:$FA,94)</f>
        <v>690100</v>
      </c>
      <c r="L60" s="86">
        <f>VLOOKUP($A60,'Data shares'!$C:$FA,96)</f>
        <v>18000</v>
      </c>
      <c r="M60" s="87">
        <f>VLOOKUP($A60,'Data shares'!$C:$FA,97)</f>
        <v>2.6800000000000001E-2</v>
      </c>
      <c r="N60" s="86">
        <f>VLOOKUP($A60,'Data shares'!$C:$FA,78)</f>
        <v>2845500</v>
      </c>
      <c r="O60" s="87">
        <f>VLOOKUP($A60,'Data shares'!$C:$FA,81)</f>
        <v>-2.8799999999999999E-2</v>
      </c>
    </row>
    <row r="61" spans="1:15" x14ac:dyDescent="0.25">
      <c r="A61" s="100" t="str">
        <f>'OI(Value)'!A61</f>
        <v>DIXON</v>
      </c>
      <c r="B61" s="82">
        <f>VLOOKUP(A61,'Data shares'!$C$2:$CV$215,98,0)</f>
        <v>7709450</v>
      </c>
      <c r="C61" s="82">
        <f>VLOOKUP(A61,'Data shares'!$C$2:$CX$215,100,0)</f>
        <v>-2350</v>
      </c>
      <c r="D61" s="141">
        <f>VLOOKUP(A61,'Data shares'!$C$2:$CY$538,101,0)</f>
        <v>-2.9999999999999997E-4</v>
      </c>
      <c r="E61" s="86">
        <f>VLOOKUP($A61,'Data shares'!$C:$FA,74)</f>
        <v>2224750</v>
      </c>
      <c r="F61" s="86">
        <f>VLOOKUP($A61,'Data shares'!$C:$FA,76)</f>
        <v>6350</v>
      </c>
      <c r="G61" s="87">
        <f>VLOOKUP(A61,'Data shares'!$C$2:$CA$215,77,0)</f>
        <v>2.8999999999999998E-3</v>
      </c>
      <c r="H61" s="86">
        <f>VLOOKUP($A61,'Data shares'!$C:$FA,90)</f>
        <v>3585050</v>
      </c>
      <c r="I61" s="86">
        <f>VLOOKUP($A61,'Data shares'!$C:$FA,92)</f>
        <v>-28000</v>
      </c>
      <c r="J61" s="87">
        <f>VLOOKUP($A61,'Data shares'!$C:$FA,93)</f>
        <v>-7.7000000000000002E-3</v>
      </c>
      <c r="K61" s="86">
        <f>VLOOKUP($A61,'Data shares'!$C:$FA,94)</f>
        <v>1899650</v>
      </c>
      <c r="L61" s="86">
        <f>VLOOKUP($A61,'Data shares'!$C:$FA,96)</f>
        <v>19300</v>
      </c>
      <c r="M61" s="87">
        <f>VLOOKUP($A61,'Data shares'!$C:$FA,97)</f>
        <v>1.03E-2</v>
      </c>
      <c r="N61" s="86">
        <f>VLOOKUP($A61,'Data shares'!$C:$FA,78)</f>
        <v>1915900</v>
      </c>
      <c r="O61" s="87">
        <f>VLOOKUP($A61,'Data shares'!$C:$FA,81)</f>
        <v>-1.5800000000000002E-2</v>
      </c>
    </row>
    <row r="62" spans="1:15" x14ac:dyDescent="0.25">
      <c r="A62" s="100" t="str">
        <f>'OI(Value)'!A62</f>
        <v>DLF</v>
      </c>
      <c r="B62" s="82">
        <f>VLOOKUP(A62,'Data shares'!$C$2:$CV$215,98,0)</f>
        <v>89700600</v>
      </c>
      <c r="C62" s="82">
        <f>VLOOKUP(A62,'Data shares'!$C$2:$CX$215,100,0)</f>
        <v>1513050</v>
      </c>
      <c r="D62" s="141">
        <f>VLOOKUP(A62,'Data shares'!$C$2:$CY$538,101,0)</f>
        <v>1.72E-2</v>
      </c>
      <c r="E62" s="86">
        <f>VLOOKUP($A62,'Data shares'!$C:$FA,74)</f>
        <v>51653250</v>
      </c>
      <c r="F62" s="86">
        <f>VLOOKUP($A62,'Data shares'!$C:$FA,76)</f>
        <v>607200</v>
      </c>
      <c r="G62" s="87">
        <f>VLOOKUP(A62,'Data shares'!$C$2:$CA$215,77,0)</f>
        <v>1.1900000000000001E-2</v>
      </c>
      <c r="H62" s="86">
        <f>VLOOKUP($A62,'Data shares'!$C:$FA,90)</f>
        <v>22919325</v>
      </c>
      <c r="I62" s="86">
        <f>VLOOKUP($A62,'Data shares'!$C:$FA,92)</f>
        <v>15675</v>
      </c>
      <c r="J62" s="87">
        <f>VLOOKUP($A62,'Data shares'!$C:$FA,93)</f>
        <v>6.9999999999999999E-4</v>
      </c>
      <c r="K62" s="86">
        <f>VLOOKUP($A62,'Data shares'!$C:$FA,94)</f>
        <v>15128025</v>
      </c>
      <c r="L62" s="86">
        <f>VLOOKUP($A62,'Data shares'!$C:$FA,96)</f>
        <v>890175</v>
      </c>
      <c r="M62" s="87">
        <f>VLOOKUP($A62,'Data shares'!$C:$FA,97)</f>
        <v>6.25E-2</v>
      </c>
      <c r="N62" s="86">
        <f>VLOOKUP($A62,'Data shares'!$C:$FA,78)</f>
        <v>48099975</v>
      </c>
      <c r="O62" s="87">
        <f>VLOOKUP($A62,'Data shares'!$C:$FA,81)</f>
        <v>8.9999999999999998E-4</v>
      </c>
    </row>
    <row r="63" spans="1:15" x14ac:dyDescent="0.25">
      <c r="A63" s="100" t="str">
        <f>'OI(Value)'!A63</f>
        <v>DMART</v>
      </c>
      <c r="B63" s="82">
        <f>VLOOKUP(A63,'Data shares'!$C$2:$CV$215,98,0)</f>
        <v>9933000</v>
      </c>
      <c r="C63" s="82">
        <f>VLOOKUP(A63,'Data shares'!$C$2:$CX$215,100,0)</f>
        <v>498150</v>
      </c>
      <c r="D63" s="141">
        <f>VLOOKUP(A63,'Data shares'!$C$2:$CY$538,101,0)</f>
        <v>5.28E-2</v>
      </c>
      <c r="E63" s="86">
        <f>VLOOKUP($A63,'Data shares'!$C:$FA,74)</f>
        <v>5928900</v>
      </c>
      <c r="F63" s="86">
        <f>VLOOKUP($A63,'Data shares'!$C:$FA,76)</f>
        <v>84300</v>
      </c>
      <c r="G63" s="87">
        <f>VLOOKUP(A63,'Data shares'!$C$2:$CA$215,77,0)</f>
        <v>1.44E-2</v>
      </c>
      <c r="H63" s="86">
        <f>VLOOKUP($A63,'Data shares'!$C:$FA,90)</f>
        <v>2772300</v>
      </c>
      <c r="I63" s="86">
        <f>VLOOKUP($A63,'Data shares'!$C:$FA,92)</f>
        <v>339900</v>
      </c>
      <c r="J63" s="87">
        <f>VLOOKUP($A63,'Data shares'!$C:$FA,93)</f>
        <v>0.13969999999999999</v>
      </c>
      <c r="K63" s="86">
        <f>VLOOKUP($A63,'Data shares'!$C:$FA,94)</f>
        <v>1231800</v>
      </c>
      <c r="L63" s="86">
        <f>VLOOKUP($A63,'Data shares'!$C:$FA,96)</f>
        <v>73950</v>
      </c>
      <c r="M63" s="87">
        <f>VLOOKUP($A63,'Data shares'!$C:$FA,97)</f>
        <v>6.3899999999999998E-2</v>
      </c>
      <c r="N63" s="86">
        <f>VLOOKUP($A63,'Data shares'!$C:$FA,78)</f>
        <v>5427600</v>
      </c>
      <c r="O63" s="87">
        <f>VLOOKUP($A63,'Data shares'!$C:$FA,81)</f>
        <v>4.7999999999999996E-3</v>
      </c>
    </row>
    <row r="64" spans="1:15" x14ac:dyDescent="0.25">
      <c r="A64" s="100" t="str">
        <f>'OI(Value)'!A64</f>
        <v>DRREDDY</v>
      </c>
      <c r="B64" s="82">
        <f>VLOOKUP(A64,'Data shares'!$C$2:$CV$215,98,0)</f>
        <v>23956250</v>
      </c>
      <c r="C64" s="82">
        <f>VLOOKUP(A64,'Data shares'!$C$2:$CX$215,100,0)</f>
        <v>216250</v>
      </c>
      <c r="D64" s="141">
        <f>VLOOKUP(A64,'Data shares'!$C$2:$CY$538,101,0)</f>
        <v>9.1000000000000004E-3</v>
      </c>
      <c r="E64" s="86">
        <f>VLOOKUP($A64,'Data shares'!$C:$FA,74)</f>
        <v>13913750</v>
      </c>
      <c r="F64" s="86">
        <f>VLOOKUP($A64,'Data shares'!$C:$FA,76)</f>
        <v>288750</v>
      </c>
      <c r="G64" s="87">
        <f>VLOOKUP(A64,'Data shares'!$C$2:$CA$215,77,0)</f>
        <v>2.12E-2</v>
      </c>
      <c r="H64" s="86">
        <f>VLOOKUP($A64,'Data shares'!$C:$FA,90)</f>
        <v>6676875</v>
      </c>
      <c r="I64" s="86">
        <f>VLOOKUP($A64,'Data shares'!$C:$FA,92)</f>
        <v>-115625</v>
      </c>
      <c r="J64" s="87">
        <f>VLOOKUP($A64,'Data shares'!$C:$FA,93)</f>
        <v>-1.7000000000000001E-2</v>
      </c>
      <c r="K64" s="86">
        <f>VLOOKUP($A64,'Data shares'!$C:$FA,94)</f>
        <v>3365625</v>
      </c>
      <c r="L64" s="86">
        <f>VLOOKUP($A64,'Data shares'!$C:$FA,96)</f>
        <v>43125</v>
      </c>
      <c r="M64" s="87">
        <f>VLOOKUP($A64,'Data shares'!$C:$FA,97)</f>
        <v>1.2999999999999999E-2</v>
      </c>
      <c r="N64" s="86">
        <f>VLOOKUP($A64,'Data shares'!$C:$FA,78)</f>
        <v>12521250</v>
      </c>
      <c r="O64" s="87">
        <f>VLOOKUP($A64,'Data shares'!$C:$FA,81)</f>
        <v>2.9999999999999997E-4</v>
      </c>
    </row>
    <row r="65" spans="1:15" x14ac:dyDescent="0.25">
      <c r="A65" s="100" t="str">
        <f>'OI(Value)'!A65</f>
        <v>EICHERMOT</v>
      </c>
      <c r="B65" s="82">
        <f>VLOOKUP(A65,'Data shares'!$C$2:$CV$215,98,0)</f>
        <v>7817000</v>
      </c>
      <c r="C65" s="82">
        <f>VLOOKUP(A65,'Data shares'!$C$2:$CX$215,100,0)</f>
        <v>-154550</v>
      </c>
      <c r="D65" s="141">
        <f>VLOOKUP(A65,'Data shares'!$C$2:$CY$538,101,0)</f>
        <v>-1.9400000000000001E-2</v>
      </c>
      <c r="E65" s="86">
        <f>VLOOKUP($A65,'Data shares'!$C:$FA,74)</f>
        <v>3194100</v>
      </c>
      <c r="F65" s="86">
        <f>VLOOKUP($A65,'Data shares'!$C:$FA,76)</f>
        <v>10875</v>
      </c>
      <c r="G65" s="87">
        <f>VLOOKUP(A65,'Data shares'!$C$2:$CA$215,77,0)</f>
        <v>3.3999999999999998E-3</v>
      </c>
      <c r="H65" s="86">
        <f>VLOOKUP($A65,'Data shares'!$C:$FA,90)</f>
        <v>2687400</v>
      </c>
      <c r="I65" s="86">
        <f>VLOOKUP($A65,'Data shares'!$C:$FA,92)</f>
        <v>-60350</v>
      </c>
      <c r="J65" s="87">
        <f>VLOOKUP($A65,'Data shares'!$C:$FA,93)</f>
        <v>-2.1999999999999999E-2</v>
      </c>
      <c r="K65" s="86">
        <f>VLOOKUP($A65,'Data shares'!$C:$FA,94)</f>
        <v>1935500</v>
      </c>
      <c r="L65" s="86">
        <f>VLOOKUP($A65,'Data shares'!$C:$FA,96)</f>
        <v>-105075</v>
      </c>
      <c r="M65" s="87">
        <f>VLOOKUP($A65,'Data shares'!$C:$FA,97)</f>
        <v>-5.1499999999999997E-2</v>
      </c>
      <c r="N65" s="86">
        <f>VLOOKUP($A65,'Data shares'!$C:$FA,78)</f>
        <v>2855300</v>
      </c>
      <c r="O65" s="87">
        <f>VLOOKUP($A65,'Data shares'!$C:$FA,81)</f>
        <v>-1.78E-2</v>
      </c>
    </row>
    <row r="66" spans="1:15" x14ac:dyDescent="0.25">
      <c r="A66" s="100" t="str">
        <f>'OI(Value)'!A66</f>
        <v>ETERNAL</v>
      </c>
      <c r="B66" s="82">
        <f>VLOOKUP(A66,'Data shares'!$C$2:$CV$215,98,0)</f>
        <v>454049725</v>
      </c>
      <c r="C66" s="82">
        <f>VLOOKUP(A66,'Data shares'!$C$2:$CX$215,100,0)</f>
        <v>254625</v>
      </c>
      <c r="D66" s="141">
        <f>VLOOKUP(A66,'Data shares'!$C$2:$CY$538,101,0)</f>
        <v>5.9999999999999995E-4</v>
      </c>
      <c r="E66" s="86">
        <f>VLOOKUP($A66,'Data shares'!$C:$FA,74)</f>
        <v>307587000</v>
      </c>
      <c r="F66" s="86">
        <f>VLOOKUP($A66,'Data shares'!$C:$FA,76)</f>
        <v>2349825</v>
      </c>
      <c r="G66" s="87">
        <f>VLOOKUP(A66,'Data shares'!$C$2:$CA$215,77,0)</f>
        <v>7.7000000000000002E-3</v>
      </c>
      <c r="H66" s="86">
        <f>VLOOKUP($A66,'Data shares'!$C:$FA,90)</f>
        <v>95598350</v>
      </c>
      <c r="I66" s="86">
        <f>VLOOKUP($A66,'Data shares'!$C:$FA,92)</f>
        <v>-1450150</v>
      </c>
      <c r="J66" s="87">
        <f>VLOOKUP($A66,'Data shares'!$C:$FA,93)</f>
        <v>-1.49E-2</v>
      </c>
      <c r="K66" s="86">
        <f>VLOOKUP($A66,'Data shares'!$C:$FA,94)</f>
        <v>50864375</v>
      </c>
      <c r="L66" s="86">
        <f>VLOOKUP($A66,'Data shares'!$C:$FA,96)</f>
        <v>-645050</v>
      </c>
      <c r="M66" s="87">
        <f>VLOOKUP($A66,'Data shares'!$C:$FA,97)</f>
        <v>-1.2500000000000001E-2</v>
      </c>
      <c r="N66" s="86">
        <f>VLOOKUP($A66,'Data shares'!$C:$FA,78)</f>
        <v>284243950</v>
      </c>
      <c r="O66" s="87">
        <f>VLOOKUP($A66,'Data shares'!$C:$FA,81)</f>
        <v>-8.3999999999999995E-3</v>
      </c>
    </row>
    <row r="67" spans="1:15" x14ac:dyDescent="0.25">
      <c r="A67" s="100" t="str">
        <f>'OI(Value)'!A67</f>
        <v>EXIDEIND</v>
      </c>
      <c r="B67" s="82">
        <f>VLOOKUP(A67,'Data shares'!$C$2:$CV$215,98,0)</f>
        <v>52729200</v>
      </c>
      <c r="C67" s="82">
        <f>VLOOKUP(A67,'Data shares'!$C$2:$CX$215,100,0)</f>
        <v>2419200</v>
      </c>
      <c r="D67" s="141">
        <f>VLOOKUP(A67,'Data shares'!$C$2:$CY$538,101,0)</f>
        <v>4.8099999999999997E-2</v>
      </c>
      <c r="E67" s="86">
        <f>VLOOKUP($A67,'Data shares'!$C:$FA,74)</f>
        <v>31550400</v>
      </c>
      <c r="F67" s="86">
        <f>VLOOKUP($A67,'Data shares'!$C:$FA,76)</f>
        <v>495000</v>
      </c>
      <c r="G67" s="87">
        <f>VLOOKUP(A67,'Data shares'!$C$2:$CA$215,77,0)</f>
        <v>1.5900000000000001E-2</v>
      </c>
      <c r="H67" s="86">
        <f>VLOOKUP($A67,'Data shares'!$C:$FA,90)</f>
        <v>12778200</v>
      </c>
      <c r="I67" s="86">
        <f>VLOOKUP($A67,'Data shares'!$C:$FA,92)</f>
        <v>1486800</v>
      </c>
      <c r="J67" s="87">
        <f>VLOOKUP($A67,'Data shares'!$C:$FA,93)</f>
        <v>0.13170000000000001</v>
      </c>
      <c r="K67" s="86">
        <f>VLOOKUP($A67,'Data shares'!$C:$FA,94)</f>
        <v>8400600</v>
      </c>
      <c r="L67" s="86">
        <f>VLOOKUP($A67,'Data shares'!$C:$FA,96)</f>
        <v>437400</v>
      </c>
      <c r="M67" s="87">
        <f>VLOOKUP($A67,'Data shares'!$C:$FA,97)</f>
        <v>5.4899999999999997E-2</v>
      </c>
      <c r="N67" s="86">
        <f>VLOOKUP($A67,'Data shares'!$C:$FA,78)</f>
        <v>28913400</v>
      </c>
      <c r="O67" s="87">
        <f>VLOOKUP($A67,'Data shares'!$C:$FA,81)</f>
        <v>1.6999999999999999E-3</v>
      </c>
    </row>
    <row r="68" spans="1:15" x14ac:dyDescent="0.25">
      <c r="A68" s="100" t="str">
        <f>'OI(Value)'!A68</f>
        <v>FEDERALBNK</v>
      </c>
      <c r="B68" s="82">
        <f>VLOOKUP(A68,'Data shares'!$C$2:$CV$215,98,0)</f>
        <v>153980000</v>
      </c>
      <c r="C68" s="82">
        <f>VLOOKUP(A68,'Data shares'!$C$2:$CX$215,100,0)</f>
        <v>-1005000</v>
      </c>
      <c r="D68" s="141">
        <f>VLOOKUP(A68,'Data shares'!$C$2:$CY$538,101,0)</f>
        <v>-6.4999999999999997E-3</v>
      </c>
      <c r="E68" s="86">
        <f>VLOOKUP($A68,'Data shares'!$C:$FA,74)</f>
        <v>66165000</v>
      </c>
      <c r="F68" s="86">
        <f>VLOOKUP($A68,'Data shares'!$C:$FA,76)</f>
        <v>-1055000</v>
      </c>
      <c r="G68" s="87">
        <f>VLOOKUP(A68,'Data shares'!$C$2:$CA$215,77,0)</f>
        <v>-1.5699999999999999E-2</v>
      </c>
      <c r="H68" s="86">
        <f>VLOOKUP($A68,'Data shares'!$C:$FA,90)</f>
        <v>43350000</v>
      </c>
      <c r="I68" s="86">
        <f>VLOOKUP($A68,'Data shares'!$C:$FA,92)</f>
        <v>-860000</v>
      </c>
      <c r="J68" s="87">
        <f>VLOOKUP($A68,'Data shares'!$C:$FA,93)</f>
        <v>-1.95E-2</v>
      </c>
      <c r="K68" s="86">
        <f>VLOOKUP($A68,'Data shares'!$C:$FA,94)</f>
        <v>44465000</v>
      </c>
      <c r="L68" s="86">
        <f>VLOOKUP($A68,'Data shares'!$C:$FA,96)</f>
        <v>910000</v>
      </c>
      <c r="M68" s="87">
        <f>VLOOKUP($A68,'Data shares'!$C:$FA,97)</f>
        <v>2.0899999999999998E-2</v>
      </c>
      <c r="N68" s="86">
        <f>VLOOKUP($A68,'Data shares'!$C:$FA,78)</f>
        <v>57375000</v>
      </c>
      <c r="O68" s="87">
        <f>VLOOKUP($A68,'Data shares'!$C:$FA,81)</f>
        <v>-2.3E-2</v>
      </c>
    </row>
    <row r="69" spans="1:15" x14ac:dyDescent="0.25">
      <c r="A69" s="100" t="str">
        <f>'OI(Value)'!A69</f>
        <v>FINNIFTY</v>
      </c>
      <c r="B69" s="82">
        <f>VLOOKUP(A69,'Data shares'!$C$2:$CV$215,98,0)</f>
        <v>1614675</v>
      </c>
      <c r="C69" s="82">
        <f>VLOOKUP(A69,'Data shares'!$C$2:$CX$215,100,0)</f>
        <v>83455</v>
      </c>
      <c r="D69" s="141">
        <f>VLOOKUP(A69,'Data shares'!$C$2:$CY$538,101,0)</f>
        <v>5.45E-2</v>
      </c>
      <c r="E69" s="86">
        <f>VLOOKUP($A69,'Data shares'!$C:$FA,74)</f>
        <v>43630</v>
      </c>
      <c r="F69" s="86">
        <f>VLOOKUP($A69,'Data shares'!$C:$FA,76)</f>
        <v>30</v>
      </c>
      <c r="G69" s="87">
        <f>VLOOKUP(A69,'Data shares'!$C$2:$CA$215,77,0)</f>
        <v>6.9999999999999999E-4</v>
      </c>
      <c r="H69" s="86">
        <f>VLOOKUP($A69,'Data shares'!$C:$FA,90)</f>
        <v>961080</v>
      </c>
      <c r="I69" s="86">
        <f>VLOOKUP($A69,'Data shares'!$C:$FA,92)</f>
        <v>14100</v>
      </c>
      <c r="J69" s="87">
        <f>VLOOKUP($A69,'Data shares'!$C:$FA,93)</f>
        <v>1.49E-2</v>
      </c>
      <c r="K69" s="86">
        <f>VLOOKUP($A69,'Data shares'!$C:$FA,94)</f>
        <v>609965</v>
      </c>
      <c r="L69" s="86">
        <f>VLOOKUP($A69,'Data shares'!$C:$FA,96)</f>
        <v>69325</v>
      </c>
      <c r="M69" s="87">
        <f>VLOOKUP($A69,'Data shares'!$C:$FA,97)</f>
        <v>0.12820000000000001</v>
      </c>
      <c r="N69" s="86">
        <f>VLOOKUP($A69,'Data shares'!$C:$FA,78)</f>
        <v>39130</v>
      </c>
      <c r="O69" s="87">
        <f>VLOOKUP($A69,'Data shares'!$C:$FA,81)</f>
        <v>-9.9000000000000008E-3</v>
      </c>
    </row>
    <row r="70" spans="1:15" x14ac:dyDescent="0.25">
      <c r="A70" s="100" t="str">
        <f>'OI(Value)'!A70</f>
        <v>FORTIS</v>
      </c>
      <c r="B70" s="82">
        <f>VLOOKUP(A70,'Data shares'!$C$2:$CV$215,98,0)</f>
        <v>23625875</v>
      </c>
      <c r="C70" s="82">
        <f>VLOOKUP(A70,'Data shares'!$C$2:$CX$215,100,0)</f>
        <v>-466550</v>
      </c>
      <c r="D70" s="141">
        <f>VLOOKUP(A70,'Data shares'!$C$2:$CY$538,101,0)</f>
        <v>-1.9400000000000001E-2</v>
      </c>
      <c r="E70" s="86">
        <f>VLOOKUP($A70,'Data shares'!$C:$FA,74)</f>
        <v>14286350</v>
      </c>
      <c r="F70" s="86">
        <f>VLOOKUP($A70,'Data shares'!$C:$FA,76)</f>
        <v>-189875</v>
      </c>
      <c r="G70" s="87">
        <f>VLOOKUP(A70,'Data shares'!$C$2:$CA$215,77,0)</f>
        <v>-1.3100000000000001E-2</v>
      </c>
      <c r="H70" s="86">
        <f>VLOOKUP($A70,'Data shares'!$C:$FA,90)</f>
        <v>6441025</v>
      </c>
      <c r="I70" s="86">
        <f>VLOOKUP($A70,'Data shares'!$C:$FA,92)</f>
        <v>-213900</v>
      </c>
      <c r="J70" s="87">
        <f>VLOOKUP($A70,'Data shares'!$C:$FA,93)</f>
        <v>-3.2099999999999997E-2</v>
      </c>
      <c r="K70" s="86">
        <f>VLOOKUP($A70,'Data shares'!$C:$FA,94)</f>
        <v>2898500</v>
      </c>
      <c r="L70" s="86">
        <f>VLOOKUP($A70,'Data shares'!$C:$FA,96)</f>
        <v>-62775</v>
      </c>
      <c r="M70" s="87">
        <f>VLOOKUP($A70,'Data shares'!$C:$FA,97)</f>
        <v>-2.12E-2</v>
      </c>
      <c r="N70" s="86">
        <f>VLOOKUP($A70,'Data shares'!$C:$FA,78)</f>
        <v>13368750</v>
      </c>
      <c r="O70" s="87">
        <f>VLOOKUP($A70,'Data shares'!$C:$FA,81)</f>
        <v>-1.84E-2</v>
      </c>
    </row>
    <row r="71" spans="1:15" x14ac:dyDescent="0.25">
      <c r="A71" s="100" t="str">
        <f>'OI(Value)'!A71</f>
        <v>GAIL</v>
      </c>
      <c r="B71" s="82">
        <f>VLOOKUP(A71,'Data shares'!$C$2:$CV$215,98,0)</f>
        <v>213138450</v>
      </c>
      <c r="C71" s="82">
        <f>VLOOKUP(A71,'Data shares'!$C$2:$CX$215,100,0)</f>
        <v>-135450</v>
      </c>
      <c r="D71" s="141">
        <f>VLOOKUP(A71,'Data shares'!$C$2:$CY$538,101,0)</f>
        <v>-5.9999999999999995E-4</v>
      </c>
      <c r="E71" s="86">
        <f>VLOOKUP($A71,'Data shares'!$C:$FA,74)</f>
        <v>99508500</v>
      </c>
      <c r="F71" s="86">
        <f>VLOOKUP($A71,'Data shares'!$C:$FA,76)</f>
        <v>37800</v>
      </c>
      <c r="G71" s="87">
        <f>VLOOKUP(A71,'Data shares'!$C$2:$CA$215,77,0)</f>
        <v>4.0000000000000002E-4</v>
      </c>
      <c r="H71" s="86">
        <f>VLOOKUP($A71,'Data shares'!$C:$FA,90)</f>
        <v>68688900</v>
      </c>
      <c r="I71" s="86">
        <f>VLOOKUP($A71,'Data shares'!$C:$FA,92)</f>
        <v>299250</v>
      </c>
      <c r="J71" s="87">
        <f>VLOOKUP($A71,'Data shares'!$C:$FA,93)</f>
        <v>4.4000000000000003E-3</v>
      </c>
      <c r="K71" s="86">
        <f>VLOOKUP($A71,'Data shares'!$C:$FA,94)</f>
        <v>44941050</v>
      </c>
      <c r="L71" s="86">
        <f>VLOOKUP($A71,'Data shares'!$C:$FA,96)</f>
        <v>-472500</v>
      </c>
      <c r="M71" s="87">
        <f>VLOOKUP($A71,'Data shares'!$C:$FA,97)</f>
        <v>-1.04E-2</v>
      </c>
      <c r="N71" s="86">
        <f>VLOOKUP($A71,'Data shares'!$C:$FA,78)</f>
        <v>88285050</v>
      </c>
      <c r="O71" s="87">
        <f>VLOOKUP($A71,'Data shares'!$C:$FA,81)</f>
        <v>-9.1000000000000004E-3</v>
      </c>
    </row>
    <row r="72" spans="1:15" x14ac:dyDescent="0.25">
      <c r="A72" s="100" t="str">
        <f>'OI(Value)'!A72</f>
        <v>GLENMARK</v>
      </c>
      <c r="B72" s="82">
        <f>VLOOKUP(A72,'Data shares'!$C$2:$CV$215,98,0)</f>
        <v>21663750</v>
      </c>
      <c r="C72" s="82">
        <f>VLOOKUP(A72,'Data shares'!$C$2:$CX$215,100,0)</f>
        <v>-89250</v>
      </c>
      <c r="D72" s="141">
        <f>VLOOKUP(A72,'Data shares'!$C$2:$CY$538,101,0)</f>
        <v>-4.1000000000000003E-3</v>
      </c>
      <c r="E72" s="86">
        <f>VLOOKUP($A72,'Data shares'!$C:$FA,74)</f>
        <v>14609625</v>
      </c>
      <c r="F72" s="86">
        <f>VLOOKUP($A72,'Data shares'!$C:$FA,76)</f>
        <v>55500</v>
      </c>
      <c r="G72" s="87">
        <f>VLOOKUP(A72,'Data shares'!$C$2:$CA$215,77,0)</f>
        <v>3.8E-3</v>
      </c>
      <c r="H72" s="86">
        <f>VLOOKUP($A72,'Data shares'!$C:$FA,90)</f>
        <v>4071375</v>
      </c>
      <c r="I72" s="86">
        <f>VLOOKUP($A72,'Data shares'!$C:$FA,92)</f>
        <v>-121875</v>
      </c>
      <c r="J72" s="87">
        <f>VLOOKUP($A72,'Data shares'!$C:$FA,93)</f>
        <v>-2.9100000000000001E-2</v>
      </c>
      <c r="K72" s="86">
        <f>VLOOKUP($A72,'Data shares'!$C:$FA,94)</f>
        <v>2982750</v>
      </c>
      <c r="L72" s="86">
        <f>VLOOKUP($A72,'Data shares'!$C:$FA,96)</f>
        <v>-22875</v>
      </c>
      <c r="M72" s="87">
        <f>VLOOKUP($A72,'Data shares'!$C:$FA,97)</f>
        <v>-7.6E-3</v>
      </c>
      <c r="N72" s="86">
        <f>VLOOKUP($A72,'Data shares'!$C:$FA,78)</f>
        <v>14275125</v>
      </c>
      <c r="O72" s="87">
        <f>VLOOKUP($A72,'Data shares'!$C:$FA,81)</f>
        <v>1.1999999999999999E-3</v>
      </c>
    </row>
    <row r="73" spans="1:15" x14ac:dyDescent="0.25">
      <c r="A73" s="100" t="str">
        <f>'OI(Value)'!A73</f>
        <v>GMRAIRPORT</v>
      </c>
      <c r="B73" s="82">
        <f>VLOOKUP(A73,'Data shares'!$C$2:$CV$215,98,0)</f>
        <v>409816125</v>
      </c>
      <c r="C73" s="82">
        <f>VLOOKUP(A73,'Data shares'!$C$2:$CX$215,100,0)</f>
        <v>4729050</v>
      </c>
      <c r="D73" s="141">
        <f>VLOOKUP(A73,'Data shares'!$C$2:$CY$538,101,0)</f>
        <v>1.17E-2</v>
      </c>
      <c r="E73" s="86">
        <f>VLOOKUP($A73,'Data shares'!$C:$FA,74)</f>
        <v>172847475</v>
      </c>
      <c r="F73" s="86">
        <f>VLOOKUP($A73,'Data shares'!$C:$FA,76)</f>
        <v>-467325</v>
      </c>
      <c r="G73" s="87">
        <f>VLOOKUP(A73,'Data shares'!$C$2:$CA$215,77,0)</f>
        <v>-2.7000000000000001E-3</v>
      </c>
      <c r="H73" s="86">
        <f>VLOOKUP($A73,'Data shares'!$C:$FA,90)</f>
        <v>157635000</v>
      </c>
      <c r="I73" s="86">
        <f>VLOOKUP($A73,'Data shares'!$C:$FA,92)</f>
        <v>7581825</v>
      </c>
      <c r="J73" s="87">
        <f>VLOOKUP($A73,'Data shares'!$C:$FA,93)</f>
        <v>5.0500000000000003E-2</v>
      </c>
      <c r="K73" s="86">
        <f>VLOOKUP($A73,'Data shares'!$C:$FA,94)</f>
        <v>79333650</v>
      </c>
      <c r="L73" s="86">
        <f>VLOOKUP($A73,'Data shares'!$C:$FA,96)</f>
        <v>-2385450</v>
      </c>
      <c r="M73" s="87">
        <f>VLOOKUP($A73,'Data shares'!$C:$FA,97)</f>
        <v>-2.92E-2</v>
      </c>
      <c r="N73" s="86">
        <f>VLOOKUP($A73,'Data shares'!$C:$FA,78)</f>
        <v>152682750</v>
      </c>
      <c r="O73" s="87">
        <f>VLOOKUP($A73,'Data shares'!$C:$FA,81)</f>
        <v>-1.3899999999999999E-2</v>
      </c>
    </row>
    <row r="74" spans="1:15" x14ac:dyDescent="0.25">
      <c r="A74" s="100" t="str">
        <f>'OI(Value)'!A74</f>
        <v>GODREJCP</v>
      </c>
      <c r="B74" s="82">
        <f>VLOOKUP(A74,'Data shares'!$C$2:$CV$215,98,0)</f>
        <v>14222000</v>
      </c>
      <c r="C74" s="82">
        <f>VLOOKUP(A74,'Data shares'!$C$2:$CX$215,100,0)</f>
        <v>9000</v>
      </c>
      <c r="D74" s="141">
        <f>VLOOKUP(A74,'Data shares'!$C$2:$CY$538,101,0)</f>
        <v>5.9999999999999995E-4</v>
      </c>
      <c r="E74" s="86">
        <f>VLOOKUP($A74,'Data shares'!$C:$FA,74)</f>
        <v>9414500</v>
      </c>
      <c r="F74" s="86">
        <f>VLOOKUP($A74,'Data shares'!$C:$FA,76)</f>
        <v>125500</v>
      </c>
      <c r="G74" s="87">
        <f>VLOOKUP(A74,'Data shares'!$C$2:$CA$215,77,0)</f>
        <v>1.35E-2</v>
      </c>
      <c r="H74" s="86">
        <f>VLOOKUP($A74,'Data shares'!$C:$FA,90)</f>
        <v>2827500</v>
      </c>
      <c r="I74" s="86">
        <f>VLOOKUP($A74,'Data shares'!$C:$FA,92)</f>
        <v>-166000</v>
      </c>
      <c r="J74" s="87">
        <f>VLOOKUP($A74,'Data shares'!$C:$FA,93)</f>
        <v>-5.5500000000000001E-2</v>
      </c>
      <c r="K74" s="86">
        <f>VLOOKUP($A74,'Data shares'!$C:$FA,94)</f>
        <v>1980000</v>
      </c>
      <c r="L74" s="86">
        <f>VLOOKUP($A74,'Data shares'!$C:$FA,96)</f>
        <v>49500</v>
      </c>
      <c r="M74" s="87">
        <f>VLOOKUP($A74,'Data shares'!$C:$FA,97)</f>
        <v>2.5600000000000001E-2</v>
      </c>
      <c r="N74" s="86">
        <f>VLOOKUP($A74,'Data shares'!$C:$FA,78)</f>
        <v>9066500</v>
      </c>
      <c r="O74" s="87">
        <f>VLOOKUP($A74,'Data shares'!$C:$FA,81)</f>
        <v>5.9999999999999995E-4</v>
      </c>
    </row>
    <row r="75" spans="1:15" x14ac:dyDescent="0.25">
      <c r="A75" s="100" t="str">
        <f>'OI(Value)'!A75</f>
        <v>GODREJPROP</v>
      </c>
      <c r="B75" s="82">
        <f>VLOOKUP(A75,'Data shares'!$C$2:$CV$215,98,0)</f>
        <v>14727075</v>
      </c>
      <c r="C75" s="82">
        <f>VLOOKUP(A75,'Data shares'!$C$2:$CX$215,100,0)</f>
        <v>219450</v>
      </c>
      <c r="D75" s="141">
        <f>VLOOKUP(A75,'Data shares'!$C$2:$CY$538,101,0)</f>
        <v>1.5100000000000001E-2</v>
      </c>
      <c r="E75" s="86">
        <f>VLOOKUP($A75,'Data shares'!$C:$FA,74)</f>
        <v>9269700</v>
      </c>
      <c r="F75" s="86">
        <f>VLOOKUP($A75,'Data shares'!$C:$FA,76)</f>
        <v>166650</v>
      </c>
      <c r="G75" s="87">
        <f>VLOOKUP(A75,'Data shares'!$C$2:$CA$215,77,0)</f>
        <v>1.83E-2</v>
      </c>
      <c r="H75" s="86">
        <f>VLOOKUP($A75,'Data shares'!$C:$FA,90)</f>
        <v>3452900</v>
      </c>
      <c r="I75" s="86">
        <f>VLOOKUP($A75,'Data shares'!$C:$FA,92)</f>
        <v>70950</v>
      </c>
      <c r="J75" s="87">
        <f>VLOOKUP($A75,'Data shares'!$C:$FA,93)</f>
        <v>2.1000000000000001E-2</v>
      </c>
      <c r="K75" s="86">
        <f>VLOOKUP($A75,'Data shares'!$C:$FA,94)</f>
        <v>2004475</v>
      </c>
      <c r="L75" s="86">
        <f>VLOOKUP($A75,'Data shares'!$C:$FA,96)</f>
        <v>-18150</v>
      </c>
      <c r="M75" s="87">
        <f>VLOOKUP($A75,'Data shares'!$C:$FA,97)</f>
        <v>-8.9999999999999993E-3</v>
      </c>
      <c r="N75" s="86">
        <f>VLOOKUP($A75,'Data shares'!$C:$FA,78)</f>
        <v>8364400</v>
      </c>
      <c r="O75" s="87">
        <f>VLOOKUP($A75,'Data shares'!$C:$FA,81)</f>
        <v>5.4000000000000003E-3</v>
      </c>
    </row>
    <row r="76" spans="1:15" x14ac:dyDescent="0.25">
      <c r="A76" s="100" t="str">
        <f>'OI(Value)'!A76</f>
        <v>GRASIM</v>
      </c>
      <c r="B76" s="82">
        <f>VLOOKUP(A76,'Data shares'!$C$2:$CV$215,98,0)</f>
        <v>20598500</v>
      </c>
      <c r="C76" s="82">
        <f>VLOOKUP(A76,'Data shares'!$C$2:$CX$215,100,0)</f>
        <v>38250</v>
      </c>
      <c r="D76" s="141">
        <f>VLOOKUP(A76,'Data shares'!$C$2:$CY$538,101,0)</f>
        <v>1.9E-3</v>
      </c>
      <c r="E76" s="86">
        <f>VLOOKUP($A76,'Data shares'!$C:$FA,74)</f>
        <v>16032750</v>
      </c>
      <c r="F76" s="86">
        <f>VLOOKUP($A76,'Data shares'!$C:$FA,76)</f>
        <v>57500</v>
      </c>
      <c r="G76" s="87">
        <f>VLOOKUP(A76,'Data shares'!$C$2:$CA$215,77,0)</f>
        <v>3.5999999999999999E-3</v>
      </c>
      <c r="H76" s="86">
        <f>VLOOKUP($A76,'Data shares'!$C:$FA,90)</f>
        <v>2182000</v>
      </c>
      <c r="I76" s="86">
        <f>VLOOKUP($A76,'Data shares'!$C:$FA,92)</f>
        <v>-9750</v>
      </c>
      <c r="J76" s="87">
        <f>VLOOKUP($A76,'Data shares'!$C:$FA,93)</f>
        <v>-4.4000000000000003E-3</v>
      </c>
      <c r="K76" s="86">
        <f>VLOOKUP($A76,'Data shares'!$C:$FA,94)</f>
        <v>2383750</v>
      </c>
      <c r="L76" s="86">
        <f>VLOOKUP($A76,'Data shares'!$C:$FA,96)</f>
        <v>-9500</v>
      </c>
      <c r="M76" s="87">
        <f>VLOOKUP($A76,'Data shares'!$C:$FA,97)</f>
        <v>-4.0000000000000001E-3</v>
      </c>
      <c r="N76" s="86">
        <f>VLOOKUP($A76,'Data shares'!$C:$FA,78)</f>
        <v>14710250</v>
      </c>
      <c r="O76" s="87">
        <f>VLOOKUP($A76,'Data shares'!$C:$FA,81)</f>
        <v>-5.3E-3</v>
      </c>
    </row>
    <row r="77" spans="1:15" x14ac:dyDescent="0.25">
      <c r="A77" s="100" t="str">
        <f>'OI(Value)'!A77</f>
        <v>HAL</v>
      </c>
      <c r="B77" s="82">
        <f>VLOOKUP(A77,'Data shares'!$C$2:$CV$215,98,0)</f>
        <v>23843400</v>
      </c>
      <c r="C77" s="82">
        <f>VLOOKUP(A77,'Data shares'!$C$2:$CX$215,100,0)</f>
        <v>-265350</v>
      </c>
      <c r="D77" s="141">
        <f>VLOOKUP(A77,'Data shares'!$C$2:$CY$538,101,0)</f>
        <v>-1.0999999999999999E-2</v>
      </c>
      <c r="E77" s="86">
        <f>VLOOKUP($A77,'Data shares'!$C:$FA,74)</f>
        <v>10409100</v>
      </c>
      <c r="F77" s="86">
        <f>VLOOKUP($A77,'Data shares'!$C:$FA,76)</f>
        <v>-47100</v>
      </c>
      <c r="G77" s="87">
        <f>VLOOKUP(A77,'Data shares'!$C$2:$CA$215,77,0)</f>
        <v>-4.4999999999999997E-3</v>
      </c>
      <c r="H77" s="86">
        <f>VLOOKUP($A77,'Data shares'!$C:$FA,90)</f>
        <v>8830050</v>
      </c>
      <c r="I77" s="86">
        <f>VLOOKUP($A77,'Data shares'!$C:$FA,92)</f>
        <v>-310500</v>
      </c>
      <c r="J77" s="87">
        <f>VLOOKUP($A77,'Data shares'!$C:$FA,93)</f>
        <v>-3.4000000000000002E-2</v>
      </c>
      <c r="K77" s="86">
        <f>VLOOKUP($A77,'Data shares'!$C:$FA,94)</f>
        <v>4604250</v>
      </c>
      <c r="L77" s="86">
        <f>VLOOKUP($A77,'Data shares'!$C:$FA,96)</f>
        <v>92250</v>
      </c>
      <c r="M77" s="87">
        <f>VLOOKUP($A77,'Data shares'!$C:$FA,97)</f>
        <v>2.0400000000000001E-2</v>
      </c>
      <c r="N77" s="86">
        <f>VLOOKUP($A77,'Data shares'!$C:$FA,78)</f>
        <v>9099900</v>
      </c>
      <c r="O77" s="87">
        <f>VLOOKUP($A77,'Data shares'!$C:$FA,81)</f>
        <v>-1.5900000000000001E-2</v>
      </c>
    </row>
    <row r="78" spans="1:15" x14ac:dyDescent="0.25">
      <c r="A78" s="100" t="str">
        <f>'OI(Value)'!A78</f>
        <v>HAVELLS</v>
      </c>
      <c r="B78" s="82">
        <f>VLOOKUP(A78,'Data shares'!$C$2:$CV$215,98,0)</f>
        <v>13075500</v>
      </c>
      <c r="C78" s="82">
        <f>VLOOKUP(A78,'Data shares'!$C$2:$CX$215,100,0)</f>
        <v>-186500</v>
      </c>
      <c r="D78" s="141">
        <f>VLOOKUP(A78,'Data shares'!$C$2:$CY$538,101,0)</f>
        <v>-1.41E-2</v>
      </c>
      <c r="E78" s="86">
        <f>VLOOKUP($A78,'Data shares'!$C:$FA,74)</f>
        <v>8339500</v>
      </c>
      <c r="F78" s="86">
        <f>VLOOKUP($A78,'Data shares'!$C:$FA,76)</f>
        <v>-199000</v>
      </c>
      <c r="G78" s="87">
        <f>VLOOKUP(A78,'Data shares'!$C$2:$CA$215,77,0)</f>
        <v>-2.3300000000000001E-2</v>
      </c>
      <c r="H78" s="86">
        <f>VLOOKUP($A78,'Data shares'!$C:$FA,90)</f>
        <v>2604000</v>
      </c>
      <c r="I78" s="86">
        <f>VLOOKUP($A78,'Data shares'!$C:$FA,92)</f>
        <v>-78000</v>
      </c>
      <c r="J78" s="87">
        <f>VLOOKUP($A78,'Data shares'!$C:$FA,93)</f>
        <v>-2.9100000000000001E-2</v>
      </c>
      <c r="K78" s="86">
        <f>VLOOKUP($A78,'Data shares'!$C:$FA,94)</f>
        <v>2132000</v>
      </c>
      <c r="L78" s="86">
        <f>VLOOKUP($A78,'Data shares'!$C:$FA,96)</f>
        <v>90500</v>
      </c>
      <c r="M78" s="87">
        <f>VLOOKUP($A78,'Data shares'!$C:$FA,97)</f>
        <v>4.4299999999999999E-2</v>
      </c>
      <c r="N78" s="86">
        <f>VLOOKUP($A78,'Data shares'!$C:$FA,78)</f>
        <v>7847500</v>
      </c>
      <c r="O78" s="87">
        <f>VLOOKUP($A78,'Data shares'!$C:$FA,81)</f>
        <v>-2.4E-2</v>
      </c>
    </row>
    <row r="79" spans="1:15" x14ac:dyDescent="0.25">
      <c r="A79" s="100" t="str">
        <f>'OI(Value)'!A79</f>
        <v>HCLTECH</v>
      </c>
      <c r="B79" s="82">
        <f>VLOOKUP(A79,'Data shares'!$C$2:$CV$215,98,0)</f>
        <v>29022350</v>
      </c>
      <c r="C79" s="82">
        <f>VLOOKUP(A79,'Data shares'!$C$2:$CX$215,100,0)</f>
        <v>391650</v>
      </c>
      <c r="D79" s="141">
        <f>VLOOKUP(A79,'Data shares'!$C$2:$CY$538,101,0)</f>
        <v>1.37E-2</v>
      </c>
      <c r="E79" s="86">
        <f>VLOOKUP($A79,'Data shares'!$C:$FA,74)</f>
        <v>17151750</v>
      </c>
      <c r="F79" s="86">
        <f>VLOOKUP($A79,'Data shares'!$C:$FA,76)</f>
        <v>107100</v>
      </c>
      <c r="G79" s="87">
        <f>VLOOKUP(A79,'Data shares'!$C$2:$CA$215,77,0)</f>
        <v>6.3E-3</v>
      </c>
      <c r="H79" s="86">
        <f>VLOOKUP($A79,'Data shares'!$C:$FA,90)</f>
        <v>7481250</v>
      </c>
      <c r="I79" s="86">
        <f>VLOOKUP($A79,'Data shares'!$C:$FA,92)</f>
        <v>108500</v>
      </c>
      <c r="J79" s="87">
        <f>VLOOKUP($A79,'Data shares'!$C:$FA,93)</f>
        <v>1.47E-2</v>
      </c>
      <c r="K79" s="86">
        <f>VLOOKUP($A79,'Data shares'!$C:$FA,94)</f>
        <v>4389350</v>
      </c>
      <c r="L79" s="86">
        <f>VLOOKUP($A79,'Data shares'!$C:$FA,96)</f>
        <v>176050</v>
      </c>
      <c r="M79" s="87">
        <f>VLOOKUP($A79,'Data shares'!$C:$FA,97)</f>
        <v>4.1799999999999997E-2</v>
      </c>
      <c r="N79" s="86">
        <f>VLOOKUP($A79,'Data shares'!$C:$FA,78)</f>
        <v>15703450</v>
      </c>
      <c r="O79" s="87">
        <f>VLOOKUP($A79,'Data shares'!$C:$FA,81)</f>
        <v>-9.5999999999999992E-3</v>
      </c>
    </row>
    <row r="80" spans="1:15" x14ac:dyDescent="0.25">
      <c r="A80" s="100" t="str">
        <f>'OI(Value)'!A80</f>
        <v>HDFCAMC</v>
      </c>
      <c r="B80" s="82">
        <f>VLOOKUP(A80,'Data shares'!$C$2:$CV$215,98,0)</f>
        <v>13017000</v>
      </c>
      <c r="C80" s="82">
        <f>VLOOKUP(A80,'Data shares'!$C$2:$CX$215,100,0)</f>
        <v>4059600</v>
      </c>
      <c r="D80" s="141">
        <f>VLOOKUP(A80,'Data shares'!$C$2:$CY$538,101,0)</f>
        <v>0.45319999999999999</v>
      </c>
      <c r="E80" s="86">
        <f>VLOOKUP($A80,'Data shares'!$C:$FA,74)</f>
        <v>5699100</v>
      </c>
      <c r="F80" s="86">
        <f>VLOOKUP($A80,'Data shares'!$C:$FA,76)</f>
        <v>722700</v>
      </c>
      <c r="G80" s="87">
        <f>VLOOKUP(A80,'Data shares'!$C$2:$CA$215,77,0)</f>
        <v>0.1452</v>
      </c>
      <c r="H80" s="86">
        <f>VLOOKUP($A80,'Data shares'!$C:$FA,90)</f>
        <v>3745800</v>
      </c>
      <c r="I80" s="86">
        <f>VLOOKUP($A80,'Data shares'!$C:$FA,92)</f>
        <v>1510200</v>
      </c>
      <c r="J80" s="87">
        <f>VLOOKUP($A80,'Data shares'!$C:$FA,93)</f>
        <v>0.67549999999999999</v>
      </c>
      <c r="K80" s="86">
        <f>VLOOKUP($A80,'Data shares'!$C:$FA,94)</f>
        <v>3572100</v>
      </c>
      <c r="L80" s="86">
        <f>VLOOKUP($A80,'Data shares'!$C:$FA,96)</f>
        <v>1826700</v>
      </c>
      <c r="M80" s="87">
        <f>VLOOKUP($A80,'Data shares'!$C:$FA,97)</f>
        <v>1.0466</v>
      </c>
      <c r="N80" s="86">
        <f>VLOOKUP($A80,'Data shares'!$C:$FA,78)</f>
        <v>4932300</v>
      </c>
      <c r="O80" s="87">
        <f>VLOOKUP($A80,'Data shares'!$C:$FA,81)</f>
        <v>0.1206</v>
      </c>
    </row>
    <row r="81" spans="1:15" x14ac:dyDescent="0.25">
      <c r="A81" s="100" t="str">
        <f>'OI(Value)'!A81</f>
        <v>HDFCBANK</v>
      </c>
      <c r="B81" s="82">
        <f>VLOOKUP(A81,'Data shares'!$C$2:$CV$215,98,0)</f>
        <v>299363350</v>
      </c>
      <c r="C81" s="82">
        <f>VLOOKUP(A81,'Data shares'!$C$2:$CX$215,100,0)</f>
        <v>6519150</v>
      </c>
      <c r="D81" s="141">
        <f>VLOOKUP(A81,'Data shares'!$C$2:$CY$538,101,0)</f>
        <v>2.23E-2</v>
      </c>
      <c r="E81" s="86">
        <f>VLOOKUP($A81,'Data shares'!$C:$FA,74)</f>
        <v>225091900</v>
      </c>
      <c r="F81" s="86">
        <f>VLOOKUP($A81,'Data shares'!$C:$FA,76)</f>
        <v>3440800</v>
      </c>
      <c r="G81" s="87">
        <f>VLOOKUP(A81,'Data shares'!$C$2:$CA$215,77,0)</f>
        <v>1.55E-2</v>
      </c>
      <c r="H81" s="86">
        <f>VLOOKUP($A81,'Data shares'!$C:$FA,90)</f>
        <v>45953050</v>
      </c>
      <c r="I81" s="86">
        <f>VLOOKUP($A81,'Data shares'!$C:$FA,92)</f>
        <v>2554750</v>
      </c>
      <c r="J81" s="87">
        <f>VLOOKUP($A81,'Data shares'!$C:$FA,93)</f>
        <v>5.8900000000000001E-2</v>
      </c>
      <c r="K81" s="86">
        <f>VLOOKUP($A81,'Data shares'!$C:$FA,94)</f>
        <v>28318400</v>
      </c>
      <c r="L81" s="86">
        <f>VLOOKUP($A81,'Data shares'!$C:$FA,96)</f>
        <v>523600</v>
      </c>
      <c r="M81" s="87">
        <f>VLOOKUP($A81,'Data shares'!$C:$FA,97)</f>
        <v>1.8800000000000001E-2</v>
      </c>
      <c r="N81" s="86">
        <f>VLOOKUP($A81,'Data shares'!$C:$FA,78)</f>
        <v>175563300</v>
      </c>
      <c r="O81" s="87">
        <f>VLOOKUP($A81,'Data shares'!$C:$FA,81)</f>
        <v>-5.11E-2</v>
      </c>
    </row>
    <row r="82" spans="1:15" x14ac:dyDescent="0.25">
      <c r="A82" s="100" t="str">
        <f>'OI(Value)'!A82</f>
        <v>HDFCLIFE</v>
      </c>
      <c r="B82" s="82">
        <f>VLOOKUP(A82,'Data shares'!$C$2:$CV$215,98,0)</f>
        <v>59021600</v>
      </c>
      <c r="C82" s="82">
        <f>VLOOKUP(A82,'Data shares'!$C$2:$CX$215,100,0)</f>
        <v>-688600</v>
      </c>
      <c r="D82" s="141">
        <f>VLOOKUP(A82,'Data shares'!$C$2:$CY$538,101,0)</f>
        <v>-1.15E-2</v>
      </c>
      <c r="E82" s="86">
        <f>VLOOKUP($A82,'Data shares'!$C:$FA,74)</f>
        <v>31784500</v>
      </c>
      <c r="F82" s="86">
        <f>VLOOKUP($A82,'Data shares'!$C:$FA,76)</f>
        <v>354200</v>
      </c>
      <c r="G82" s="87">
        <f>VLOOKUP(A82,'Data shares'!$C$2:$CA$215,77,0)</f>
        <v>1.1299999999999999E-2</v>
      </c>
      <c r="H82" s="86">
        <f>VLOOKUP($A82,'Data shares'!$C:$FA,90)</f>
        <v>18704400</v>
      </c>
      <c r="I82" s="86">
        <f>VLOOKUP($A82,'Data shares'!$C:$FA,92)</f>
        <v>-1037300</v>
      </c>
      <c r="J82" s="87">
        <f>VLOOKUP($A82,'Data shares'!$C:$FA,93)</f>
        <v>-5.2499999999999998E-2</v>
      </c>
      <c r="K82" s="86">
        <f>VLOOKUP($A82,'Data shares'!$C:$FA,94)</f>
        <v>8532700</v>
      </c>
      <c r="L82" s="86">
        <f>VLOOKUP($A82,'Data shares'!$C:$FA,96)</f>
        <v>-5500</v>
      </c>
      <c r="M82" s="87">
        <f>VLOOKUP($A82,'Data shares'!$C:$FA,97)</f>
        <v>-5.9999999999999995E-4</v>
      </c>
      <c r="N82" s="86">
        <f>VLOOKUP($A82,'Data shares'!$C:$FA,78)</f>
        <v>28783700</v>
      </c>
      <c r="O82" s="87">
        <f>VLOOKUP($A82,'Data shares'!$C:$FA,81)</f>
        <v>-3.2000000000000002E-3</v>
      </c>
    </row>
    <row r="83" spans="1:15" x14ac:dyDescent="0.25">
      <c r="A83" s="100" t="str">
        <f>'OI(Value)'!A83</f>
        <v>HEROMOTOCO</v>
      </c>
      <c r="B83" s="82">
        <f>VLOOKUP(A83,'Data shares'!$C$2:$CV$215,98,0)</f>
        <v>13477350</v>
      </c>
      <c r="C83" s="82">
        <f>VLOOKUP(A83,'Data shares'!$C$2:$CX$215,100,0)</f>
        <v>1690050</v>
      </c>
      <c r="D83" s="141">
        <f>VLOOKUP(A83,'Data shares'!$C$2:$CY$538,101,0)</f>
        <v>0.1434</v>
      </c>
      <c r="E83" s="86">
        <f>VLOOKUP($A83,'Data shares'!$C:$FA,74)</f>
        <v>6104250</v>
      </c>
      <c r="F83" s="86">
        <f>VLOOKUP($A83,'Data shares'!$C:$FA,76)</f>
        <v>4950</v>
      </c>
      <c r="G83" s="87">
        <f>VLOOKUP(A83,'Data shares'!$C$2:$CA$215,77,0)</f>
        <v>8.0000000000000004E-4</v>
      </c>
      <c r="H83" s="86">
        <f>VLOOKUP($A83,'Data shares'!$C:$FA,90)</f>
        <v>5154300</v>
      </c>
      <c r="I83" s="86">
        <f>VLOOKUP($A83,'Data shares'!$C:$FA,92)</f>
        <v>1476450</v>
      </c>
      <c r="J83" s="87">
        <f>VLOOKUP($A83,'Data shares'!$C:$FA,93)</f>
        <v>0.40139999999999998</v>
      </c>
      <c r="K83" s="86">
        <f>VLOOKUP($A83,'Data shares'!$C:$FA,94)</f>
        <v>2218800</v>
      </c>
      <c r="L83" s="86">
        <f>VLOOKUP($A83,'Data shares'!$C:$FA,96)</f>
        <v>208650</v>
      </c>
      <c r="M83" s="87">
        <f>VLOOKUP($A83,'Data shares'!$C:$FA,97)</f>
        <v>0.1038</v>
      </c>
      <c r="N83" s="86">
        <f>VLOOKUP($A83,'Data shares'!$C:$FA,78)</f>
        <v>5789550</v>
      </c>
      <c r="O83" s="87">
        <f>VLOOKUP($A83,'Data shares'!$C:$FA,81)</f>
        <v>-1.0500000000000001E-2</v>
      </c>
    </row>
    <row r="84" spans="1:15" x14ac:dyDescent="0.25">
      <c r="A84" s="100" t="str">
        <f>'OI(Value)'!A84</f>
        <v>HFCL</v>
      </c>
      <c r="B84" s="82">
        <f>VLOOKUP(A84,'Data shares'!$C$2:$CV$215,98,0)</f>
        <v>210121650</v>
      </c>
      <c r="C84" s="82">
        <f>VLOOKUP(A84,'Data shares'!$C$2:$CX$215,100,0)</f>
        <v>-2902500</v>
      </c>
      <c r="D84" s="141">
        <f>VLOOKUP(A84,'Data shares'!$C$2:$CY$538,101,0)</f>
        <v>-1.3599999999999999E-2</v>
      </c>
      <c r="E84" s="86">
        <f>VLOOKUP($A84,'Data shares'!$C:$FA,74)</f>
        <v>103670850</v>
      </c>
      <c r="F84" s="86">
        <f>VLOOKUP($A84,'Data shares'!$C:$FA,76)</f>
        <v>-1044900</v>
      </c>
      <c r="G84" s="87">
        <f>VLOOKUP(A84,'Data shares'!$C$2:$CA$215,77,0)</f>
        <v>-0.01</v>
      </c>
      <c r="H84" s="86">
        <f>VLOOKUP($A84,'Data shares'!$C:$FA,90)</f>
        <v>74523300</v>
      </c>
      <c r="I84" s="86">
        <f>VLOOKUP($A84,'Data shares'!$C:$FA,92)</f>
        <v>-2025300</v>
      </c>
      <c r="J84" s="87">
        <f>VLOOKUP($A84,'Data shares'!$C:$FA,93)</f>
        <v>-2.6499999999999999E-2</v>
      </c>
      <c r="K84" s="86">
        <f>VLOOKUP($A84,'Data shares'!$C:$FA,94)</f>
        <v>31927500</v>
      </c>
      <c r="L84" s="86">
        <f>VLOOKUP($A84,'Data shares'!$C:$FA,96)</f>
        <v>167700</v>
      </c>
      <c r="M84" s="87">
        <f>VLOOKUP($A84,'Data shares'!$C:$FA,97)</f>
        <v>5.3E-3</v>
      </c>
      <c r="N84" s="86">
        <f>VLOOKUP($A84,'Data shares'!$C:$FA,78)</f>
        <v>103670850</v>
      </c>
      <c r="O84" s="87">
        <f>VLOOKUP($A84,'Data shares'!$C:$FA,81)</f>
        <v>-0.01</v>
      </c>
    </row>
    <row r="85" spans="1:15" x14ac:dyDescent="0.25">
      <c r="A85" s="100" t="str">
        <f>'OI(Value)'!A85</f>
        <v>HINDALCO</v>
      </c>
      <c r="B85" s="82">
        <f>VLOOKUP(A85,'Data shares'!$C$2:$CV$215,98,0)</f>
        <v>106062600</v>
      </c>
      <c r="C85" s="82">
        <f>VLOOKUP(A85,'Data shares'!$C$2:$CX$215,100,0)</f>
        <v>905800</v>
      </c>
      <c r="D85" s="141">
        <f>VLOOKUP(A85,'Data shares'!$C$2:$CY$538,101,0)</f>
        <v>8.6E-3</v>
      </c>
      <c r="E85" s="86">
        <f>VLOOKUP($A85,'Data shares'!$C:$FA,74)</f>
        <v>78810900</v>
      </c>
      <c r="F85" s="86">
        <f>VLOOKUP($A85,'Data shares'!$C:$FA,76)</f>
        <v>716100</v>
      </c>
      <c r="G85" s="87">
        <f>VLOOKUP(A85,'Data shares'!$C$2:$CA$215,77,0)</f>
        <v>9.1999999999999998E-3</v>
      </c>
      <c r="H85" s="86">
        <f>VLOOKUP($A85,'Data shares'!$C:$FA,90)</f>
        <v>15368500</v>
      </c>
      <c r="I85" s="86">
        <f>VLOOKUP($A85,'Data shares'!$C:$FA,92)</f>
        <v>-221200</v>
      </c>
      <c r="J85" s="87">
        <f>VLOOKUP($A85,'Data shares'!$C:$FA,93)</f>
        <v>-1.4200000000000001E-2</v>
      </c>
      <c r="K85" s="86">
        <f>VLOOKUP($A85,'Data shares'!$C:$FA,94)</f>
        <v>11883200</v>
      </c>
      <c r="L85" s="86">
        <f>VLOOKUP($A85,'Data shares'!$C:$FA,96)</f>
        <v>410900</v>
      </c>
      <c r="M85" s="87">
        <f>VLOOKUP($A85,'Data shares'!$C:$FA,97)</f>
        <v>3.5799999999999998E-2</v>
      </c>
      <c r="N85" s="86">
        <f>VLOOKUP($A85,'Data shares'!$C:$FA,78)</f>
        <v>69514200</v>
      </c>
      <c r="O85" s="87">
        <f>VLOOKUP($A85,'Data shares'!$C:$FA,81)</f>
        <v>-7.0999999999999994E-2</v>
      </c>
    </row>
    <row r="86" spans="1:15" x14ac:dyDescent="0.25">
      <c r="A86" s="100" t="str">
        <f>'OI(Value)'!A86</f>
        <v>HINDPETRO</v>
      </c>
      <c r="B86" s="82">
        <f>VLOOKUP(A86,'Data shares'!$C$2:$CV$215,98,0)</f>
        <v>62353800</v>
      </c>
      <c r="C86" s="82">
        <f>VLOOKUP(A86,'Data shares'!$C$2:$CX$215,100,0)</f>
        <v>143775</v>
      </c>
      <c r="D86" s="141">
        <f>VLOOKUP(A86,'Data shares'!$C$2:$CY$538,101,0)</f>
        <v>2.3E-3</v>
      </c>
      <c r="E86" s="86">
        <f>VLOOKUP($A86,'Data shares'!$C:$FA,74)</f>
        <v>38456775</v>
      </c>
      <c r="F86" s="86">
        <f>VLOOKUP($A86,'Data shares'!$C:$FA,76)</f>
        <v>174150</v>
      </c>
      <c r="G86" s="87">
        <f>VLOOKUP(A86,'Data shares'!$C$2:$CA$215,77,0)</f>
        <v>4.4999999999999997E-3</v>
      </c>
      <c r="H86" s="86">
        <f>VLOOKUP($A86,'Data shares'!$C:$FA,90)</f>
        <v>14993100</v>
      </c>
      <c r="I86" s="86">
        <f>VLOOKUP($A86,'Data shares'!$C:$FA,92)</f>
        <v>-196425</v>
      </c>
      <c r="J86" s="87">
        <f>VLOOKUP($A86,'Data shares'!$C:$FA,93)</f>
        <v>-1.29E-2</v>
      </c>
      <c r="K86" s="86">
        <f>VLOOKUP($A86,'Data shares'!$C:$FA,94)</f>
        <v>8903925</v>
      </c>
      <c r="L86" s="86">
        <f>VLOOKUP($A86,'Data shares'!$C:$FA,96)</f>
        <v>166050</v>
      </c>
      <c r="M86" s="87">
        <f>VLOOKUP($A86,'Data shares'!$C:$FA,97)</f>
        <v>1.9E-2</v>
      </c>
      <c r="N86" s="86">
        <f>VLOOKUP($A86,'Data shares'!$C:$FA,78)</f>
        <v>36512775</v>
      </c>
      <c r="O86" s="87">
        <f>VLOOKUP($A86,'Data shares'!$C:$FA,81)</f>
        <v>-6.4000000000000003E-3</v>
      </c>
    </row>
    <row r="87" spans="1:15" x14ac:dyDescent="0.25">
      <c r="A87" s="100" t="str">
        <f>'OI(Value)'!A87</f>
        <v>HINDUNILVR</v>
      </c>
      <c r="B87" s="82">
        <f>VLOOKUP(A87,'Data shares'!$C$2:$CV$215,98,0)</f>
        <v>21959400</v>
      </c>
      <c r="C87" s="82">
        <f>VLOOKUP(A87,'Data shares'!$C$2:$CX$215,100,0)</f>
        <v>953100</v>
      </c>
      <c r="D87" s="141">
        <f>VLOOKUP(A87,'Data shares'!$C$2:$CY$538,101,0)</f>
        <v>4.5400000000000003E-2</v>
      </c>
      <c r="E87" s="86">
        <f>VLOOKUP($A87,'Data shares'!$C:$FA,74)</f>
        <v>11712300</v>
      </c>
      <c r="F87" s="86">
        <f>VLOOKUP($A87,'Data shares'!$C:$FA,76)</f>
        <v>748500</v>
      </c>
      <c r="G87" s="87">
        <f>VLOOKUP(A87,'Data shares'!$C$2:$CA$215,77,0)</f>
        <v>6.83E-2</v>
      </c>
      <c r="H87" s="86">
        <f>VLOOKUP($A87,'Data shares'!$C:$FA,90)</f>
        <v>6781500</v>
      </c>
      <c r="I87" s="86">
        <f>VLOOKUP($A87,'Data shares'!$C:$FA,92)</f>
        <v>162000</v>
      </c>
      <c r="J87" s="87">
        <f>VLOOKUP($A87,'Data shares'!$C:$FA,93)</f>
        <v>2.4500000000000001E-2</v>
      </c>
      <c r="K87" s="86">
        <f>VLOOKUP($A87,'Data shares'!$C:$FA,94)</f>
        <v>3465600</v>
      </c>
      <c r="L87" s="86">
        <f>VLOOKUP($A87,'Data shares'!$C:$FA,96)</f>
        <v>42600</v>
      </c>
      <c r="M87" s="87">
        <f>VLOOKUP($A87,'Data shares'!$C:$FA,97)</f>
        <v>1.24E-2</v>
      </c>
      <c r="N87" s="86">
        <f>VLOOKUP($A87,'Data shares'!$C:$FA,78)</f>
        <v>9652500</v>
      </c>
      <c r="O87" s="87">
        <f>VLOOKUP($A87,'Data shares'!$C:$FA,81)</f>
        <v>4.9000000000000002E-2</v>
      </c>
    </row>
    <row r="88" spans="1:15" x14ac:dyDescent="0.25">
      <c r="A88" s="100" t="str">
        <f>'OI(Value)'!A88</f>
        <v>HINDZINC</v>
      </c>
      <c r="B88" s="82">
        <f>VLOOKUP(A88,'Data shares'!$C$2:$CV$215,98,0)</f>
        <v>124238275</v>
      </c>
      <c r="C88" s="82">
        <f>VLOOKUP(A88,'Data shares'!$C$2:$CX$215,100,0)</f>
        <v>1619450</v>
      </c>
      <c r="D88" s="141">
        <f>VLOOKUP(A88,'Data shares'!$C$2:$CY$538,101,0)</f>
        <v>1.32E-2</v>
      </c>
      <c r="E88" s="86">
        <f>VLOOKUP($A88,'Data shares'!$C:$FA,74)</f>
        <v>36400875</v>
      </c>
      <c r="F88" s="86">
        <f>VLOOKUP($A88,'Data shares'!$C:$FA,76)</f>
        <v>220500</v>
      </c>
      <c r="G88" s="87">
        <f>VLOOKUP(A88,'Data shares'!$C$2:$CA$215,77,0)</f>
        <v>6.1000000000000004E-3</v>
      </c>
      <c r="H88" s="86">
        <f>VLOOKUP($A88,'Data shares'!$C:$FA,90)</f>
        <v>51061675</v>
      </c>
      <c r="I88" s="86">
        <f>VLOOKUP($A88,'Data shares'!$C:$FA,92)</f>
        <v>-869750</v>
      </c>
      <c r="J88" s="87">
        <f>VLOOKUP($A88,'Data shares'!$C:$FA,93)</f>
        <v>-1.67E-2</v>
      </c>
      <c r="K88" s="86">
        <f>VLOOKUP($A88,'Data shares'!$C:$FA,94)</f>
        <v>36775725</v>
      </c>
      <c r="L88" s="86">
        <f>VLOOKUP($A88,'Data shares'!$C:$FA,96)</f>
        <v>2268700</v>
      </c>
      <c r="M88" s="87">
        <f>VLOOKUP($A88,'Data shares'!$C:$FA,97)</f>
        <v>6.5699999999999995E-2</v>
      </c>
      <c r="N88" s="86">
        <f>VLOOKUP($A88,'Data shares'!$C:$FA,78)</f>
        <v>30884700</v>
      </c>
      <c r="O88" s="87">
        <f>VLOOKUP($A88,'Data shares'!$C:$FA,81)</f>
        <v>-3.0200000000000001E-2</v>
      </c>
    </row>
    <row r="89" spans="1:15" x14ac:dyDescent="0.25">
      <c r="A89" s="100" t="str">
        <f>'OI(Value)'!A89</f>
        <v>HUDCO</v>
      </c>
      <c r="B89" s="82">
        <f>VLOOKUP(A89,'Data shares'!$C$2:$CV$215,98,0)</f>
        <v>95526600</v>
      </c>
      <c r="C89" s="82">
        <f>VLOOKUP(A89,'Data shares'!$C$2:$CX$215,100,0)</f>
        <v>685425</v>
      </c>
      <c r="D89" s="141">
        <f>VLOOKUP(A89,'Data shares'!$C$2:$CY$538,101,0)</f>
        <v>7.1999999999999998E-3</v>
      </c>
      <c r="E89" s="86">
        <f>VLOOKUP($A89,'Data shares'!$C:$FA,74)</f>
        <v>34360050</v>
      </c>
      <c r="F89" s="86">
        <f>VLOOKUP($A89,'Data shares'!$C:$FA,76)</f>
        <v>-588300</v>
      </c>
      <c r="G89" s="87">
        <f>VLOOKUP(A89,'Data shares'!$C$2:$CA$215,77,0)</f>
        <v>-1.6799999999999999E-2</v>
      </c>
      <c r="H89" s="86">
        <f>VLOOKUP($A89,'Data shares'!$C:$FA,90)</f>
        <v>42379800</v>
      </c>
      <c r="I89" s="86">
        <f>VLOOKUP($A89,'Data shares'!$C:$FA,92)</f>
        <v>732600</v>
      </c>
      <c r="J89" s="87">
        <f>VLOOKUP($A89,'Data shares'!$C:$FA,93)</f>
        <v>1.7600000000000001E-2</v>
      </c>
      <c r="K89" s="86">
        <f>VLOOKUP($A89,'Data shares'!$C:$FA,94)</f>
        <v>18786750</v>
      </c>
      <c r="L89" s="86">
        <f>VLOOKUP($A89,'Data shares'!$C:$FA,96)</f>
        <v>541125</v>
      </c>
      <c r="M89" s="87">
        <f>VLOOKUP($A89,'Data shares'!$C:$FA,97)</f>
        <v>2.9700000000000001E-2</v>
      </c>
      <c r="N89" s="86">
        <f>VLOOKUP($A89,'Data shares'!$C:$FA,78)</f>
        <v>30752550</v>
      </c>
      <c r="O89" s="87">
        <f>VLOOKUP($A89,'Data shares'!$C:$FA,81)</f>
        <v>-3.1800000000000002E-2</v>
      </c>
    </row>
    <row r="90" spans="1:15" x14ac:dyDescent="0.25">
      <c r="A90" s="100" t="str">
        <f>'OI(Value)'!A90</f>
        <v>ICICIBANK</v>
      </c>
      <c r="B90" s="82">
        <f>VLOOKUP(A90,'Data shares'!$C$2:$CV$215,98,0)</f>
        <v>185916500</v>
      </c>
      <c r="C90" s="82">
        <f>VLOOKUP(A90,'Data shares'!$C$2:$CX$215,100,0)</f>
        <v>-1115800</v>
      </c>
      <c r="D90" s="141">
        <f>VLOOKUP(A90,'Data shares'!$C$2:$CY$538,101,0)</f>
        <v>-6.0000000000000001E-3</v>
      </c>
      <c r="E90" s="86">
        <f>VLOOKUP($A90,'Data shares'!$C:$FA,74)</f>
        <v>121207800</v>
      </c>
      <c r="F90" s="86">
        <f>VLOOKUP($A90,'Data shares'!$C:$FA,76)</f>
        <v>909300</v>
      </c>
      <c r="G90" s="87">
        <f>VLOOKUP(A90,'Data shares'!$C$2:$CA$215,77,0)</f>
        <v>7.6E-3</v>
      </c>
      <c r="H90" s="86">
        <f>VLOOKUP($A90,'Data shares'!$C:$FA,90)</f>
        <v>40168800</v>
      </c>
      <c r="I90" s="86">
        <f>VLOOKUP($A90,'Data shares'!$C:$FA,92)</f>
        <v>-1621900</v>
      </c>
      <c r="J90" s="87">
        <f>VLOOKUP($A90,'Data shares'!$C:$FA,93)</f>
        <v>-3.8800000000000001E-2</v>
      </c>
      <c r="K90" s="86">
        <f>VLOOKUP($A90,'Data shares'!$C:$FA,94)</f>
        <v>24539900</v>
      </c>
      <c r="L90" s="86">
        <f>VLOOKUP($A90,'Data shares'!$C:$FA,96)</f>
        <v>-403200</v>
      </c>
      <c r="M90" s="87">
        <f>VLOOKUP($A90,'Data shares'!$C:$FA,97)</f>
        <v>-1.6199999999999999E-2</v>
      </c>
      <c r="N90" s="86">
        <f>VLOOKUP($A90,'Data shares'!$C:$FA,78)</f>
        <v>92607900</v>
      </c>
      <c r="O90" s="87">
        <f>VLOOKUP($A90,'Data shares'!$C:$FA,81)</f>
        <v>-8.3000000000000004E-2</v>
      </c>
    </row>
    <row r="91" spans="1:15" x14ac:dyDescent="0.25">
      <c r="A91" s="100" t="str">
        <f>'OI(Value)'!A91</f>
        <v>ICICIGI</v>
      </c>
      <c r="B91" s="82">
        <f>VLOOKUP(A91,'Data shares'!$C$2:$CV$215,98,0)</f>
        <v>8722025</v>
      </c>
      <c r="C91" s="82">
        <f>VLOOKUP(A91,'Data shares'!$C$2:$CX$215,100,0)</f>
        <v>-28600</v>
      </c>
      <c r="D91" s="141">
        <f>VLOOKUP(A91,'Data shares'!$C$2:$CY$538,101,0)</f>
        <v>-3.3E-3</v>
      </c>
      <c r="E91" s="86">
        <f>VLOOKUP($A91,'Data shares'!$C:$FA,74)</f>
        <v>5668650</v>
      </c>
      <c r="F91" s="86">
        <f>VLOOKUP($A91,'Data shares'!$C:$FA,76)</f>
        <v>-47125</v>
      </c>
      <c r="G91" s="87">
        <f>VLOOKUP(A91,'Data shares'!$C$2:$CA$215,77,0)</f>
        <v>-8.2000000000000007E-3</v>
      </c>
      <c r="H91" s="86">
        <f>VLOOKUP($A91,'Data shares'!$C:$FA,90)</f>
        <v>1981525</v>
      </c>
      <c r="I91" s="86">
        <f>VLOOKUP($A91,'Data shares'!$C:$FA,92)</f>
        <v>-12025</v>
      </c>
      <c r="J91" s="87">
        <f>VLOOKUP($A91,'Data shares'!$C:$FA,93)</f>
        <v>-6.0000000000000001E-3</v>
      </c>
      <c r="K91" s="86">
        <f>VLOOKUP($A91,'Data shares'!$C:$FA,94)</f>
        <v>1071850</v>
      </c>
      <c r="L91" s="86">
        <f>VLOOKUP($A91,'Data shares'!$C:$FA,96)</f>
        <v>30550</v>
      </c>
      <c r="M91" s="87">
        <f>VLOOKUP($A91,'Data shares'!$C:$FA,97)</f>
        <v>2.93E-2</v>
      </c>
      <c r="N91" s="86">
        <f>VLOOKUP($A91,'Data shares'!$C:$FA,78)</f>
        <v>5475600</v>
      </c>
      <c r="O91" s="87">
        <f>VLOOKUP($A91,'Data shares'!$C:$FA,81)</f>
        <v>-1.9699999999999999E-2</v>
      </c>
    </row>
    <row r="92" spans="1:15" x14ac:dyDescent="0.25">
      <c r="A92" s="100" t="str">
        <f>'OI(Value)'!A92</f>
        <v>ICICIPRULI</v>
      </c>
      <c r="B92" s="82">
        <f>VLOOKUP(A92,'Data shares'!$C$2:$CV$215,98,0)</f>
        <v>23618025</v>
      </c>
      <c r="C92" s="82">
        <f>VLOOKUP(A92,'Data shares'!$C$2:$CX$215,100,0)</f>
        <v>364450</v>
      </c>
      <c r="D92" s="141">
        <f>VLOOKUP(A92,'Data shares'!$C$2:$CY$538,101,0)</f>
        <v>1.5699999999999999E-2</v>
      </c>
      <c r="E92" s="86">
        <f>VLOOKUP($A92,'Data shares'!$C:$FA,74)</f>
        <v>16576925</v>
      </c>
      <c r="F92" s="86">
        <f>VLOOKUP($A92,'Data shares'!$C:$FA,76)</f>
        <v>149850</v>
      </c>
      <c r="G92" s="87">
        <f>VLOOKUP(A92,'Data shares'!$C$2:$CA$215,77,0)</f>
        <v>9.1000000000000004E-3</v>
      </c>
      <c r="H92" s="86">
        <f>VLOOKUP($A92,'Data shares'!$C:$FA,90)</f>
        <v>4714725</v>
      </c>
      <c r="I92" s="86">
        <f>VLOOKUP($A92,'Data shares'!$C:$FA,92)</f>
        <v>25900</v>
      </c>
      <c r="J92" s="87">
        <f>VLOOKUP($A92,'Data shares'!$C:$FA,93)</f>
        <v>5.4999999999999997E-3</v>
      </c>
      <c r="K92" s="86">
        <f>VLOOKUP($A92,'Data shares'!$C:$FA,94)</f>
        <v>2326375</v>
      </c>
      <c r="L92" s="86">
        <f>VLOOKUP($A92,'Data shares'!$C:$FA,96)</f>
        <v>188700</v>
      </c>
      <c r="M92" s="87">
        <f>VLOOKUP($A92,'Data shares'!$C:$FA,97)</f>
        <v>8.8300000000000003E-2</v>
      </c>
      <c r="N92" s="86">
        <f>VLOOKUP($A92,'Data shares'!$C:$FA,78)</f>
        <v>16003425</v>
      </c>
      <c r="O92" s="87">
        <f>VLOOKUP($A92,'Data shares'!$C:$FA,81)</f>
        <v>2E-3</v>
      </c>
    </row>
    <row r="93" spans="1:15" x14ac:dyDescent="0.25">
      <c r="A93" s="100" t="str">
        <f>'OI(Value)'!A93</f>
        <v>IDEA</v>
      </c>
      <c r="B93" s="82">
        <f>VLOOKUP(A93,'Data shares'!$C$2:$CV$215,98,0)</f>
        <v>10587091425</v>
      </c>
      <c r="C93" s="82">
        <f>VLOOKUP(A93,'Data shares'!$C$2:$CX$215,100,0)</f>
        <v>-45815475</v>
      </c>
      <c r="D93" s="141">
        <f>VLOOKUP(A93,'Data shares'!$C$2:$CY$538,101,0)</f>
        <v>-4.3E-3</v>
      </c>
      <c r="E93" s="86">
        <f>VLOOKUP($A93,'Data shares'!$C:$FA,74)</f>
        <v>6892119825</v>
      </c>
      <c r="F93" s="86">
        <f>VLOOKUP($A93,'Data shares'!$C:$FA,76)</f>
        <v>-51247575</v>
      </c>
      <c r="G93" s="87">
        <f>VLOOKUP(A93,'Data shares'!$C$2:$CA$215,77,0)</f>
        <v>-7.4000000000000003E-3</v>
      </c>
      <c r="H93" s="86">
        <f>VLOOKUP($A93,'Data shares'!$C:$FA,90)</f>
        <v>2411423550</v>
      </c>
      <c r="I93" s="86">
        <f>VLOOKUP($A93,'Data shares'!$C:$FA,92)</f>
        <v>68616000</v>
      </c>
      <c r="J93" s="87">
        <f>VLOOKUP($A93,'Data shares'!$C:$FA,93)</f>
        <v>2.93E-2</v>
      </c>
      <c r="K93" s="86">
        <f>VLOOKUP($A93,'Data shares'!$C:$FA,94)</f>
        <v>1283548050</v>
      </c>
      <c r="L93" s="86">
        <f>VLOOKUP($A93,'Data shares'!$C:$FA,96)</f>
        <v>-63183900</v>
      </c>
      <c r="M93" s="87">
        <f>VLOOKUP($A93,'Data shares'!$C:$FA,97)</f>
        <v>-4.6899999999999997E-2</v>
      </c>
      <c r="N93" s="86">
        <f>VLOOKUP($A93,'Data shares'!$C:$FA,78)</f>
        <v>5887467225</v>
      </c>
      <c r="O93" s="87">
        <f>VLOOKUP($A93,'Data shares'!$C:$FA,81)</f>
        <v>-1.66E-2</v>
      </c>
    </row>
    <row r="94" spans="1:15" x14ac:dyDescent="0.25">
      <c r="A94" s="100" t="str">
        <f>'OI(Value)'!A94</f>
        <v>IDFCFIRSTB</v>
      </c>
      <c r="B94" s="82">
        <f>VLOOKUP(A94,'Data shares'!$C$2:$CV$215,98,0)</f>
        <v>586977650</v>
      </c>
      <c r="C94" s="82">
        <f>VLOOKUP(A94,'Data shares'!$C$2:$CX$215,100,0)</f>
        <v>6232800</v>
      </c>
      <c r="D94" s="141">
        <f>VLOOKUP(A94,'Data shares'!$C$2:$CY$538,101,0)</f>
        <v>1.0699999999999999E-2</v>
      </c>
      <c r="E94" s="86">
        <f>VLOOKUP($A94,'Data shares'!$C:$FA,74)</f>
        <v>358506575</v>
      </c>
      <c r="F94" s="86">
        <f>VLOOKUP($A94,'Data shares'!$C:$FA,76)</f>
        <v>6084400</v>
      </c>
      <c r="G94" s="87">
        <f>VLOOKUP(A94,'Data shares'!$C$2:$CA$215,77,0)</f>
        <v>1.7299999999999999E-2</v>
      </c>
      <c r="H94" s="86">
        <f>VLOOKUP($A94,'Data shares'!$C:$FA,90)</f>
        <v>131018650</v>
      </c>
      <c r="I94" s="86">
        <f>VLOOKUP($A94,'Data shares'!$C:$FA,92)</f>
        <v>-1595300</v>
      </c>
      <c r="J94" s="87">
        <f>VLOOKUP($A94,'Data shares'!$C:$FA,93)</f>
        <v>-1.2E-2</v>
      </c>
      <c r="K94" s="86">
        <f>VLOOKUP($A94,'Data shares'!$C:$FA,94)</f>
        <v>97452425</v>
      </c>
      <c r="L94" s="86">
        <f>VLOOKUP($A94,'Data shares'!$C:$FA,96)</f>
        <v>1743700</v>
      </c>
      <c r="M94" s="87">
        <f>VLOOKUP($A94,'Data shares'!$C:$FA,97)</f>
        <v>1.8200000000000001E-2</v>
      </c>
      <c r="N94" s="86">
        <f>VLOOKUP($A94,'Data shares'!$C:$FA,78)</f>
        <v>301261275</v>
      </c>
      <c r="O94" s="87">
        <f>VLOOKUP($A94,'Data shares'!$C:$FA,81)</f>
        <v>-2.5999999999999999E-3</v>
      </c>
    </row>
    <row r="95" spans="1:15" x14ac:dyDescent="0.25">
      <c r="A95" s="100" t="str">
        <f>'OI(Value)'!A95</f>
        <v>IEX</v>
      </c>
      <c r="B95" s="82">
        <f>VLOOKUP(A95,'Data shares'!$C$2:$CV$215,98,0)</f>
        <v>137838750</v>
      </c>
      <c r="C95" s="82">
        <f>VLOOKUP(A95,'Data shares'!$C$2:$CX$215,100,0)</f>
        <v>405000</v>
      </c>
      <c r="D95" s="141">
        <f>VLOOKUP(A95,'Data shares'!$C$2:$CY$538,101,0)</f>
        <v>2.8999999999999998E-3</v>
      </c>
      <c r="E95" s="86">
        <f>VLOOKUP($A95,'Data shares'!$C:$FA,74)</f>
        <v>57682500</v>
      </c>
      <c r="F95" s="86">
        <f>VLOOKUP($A95,'Data shares'!$C:$FA,76)</f>
        <v>915000</v>
      </c>
      <c r="G95" s="87">
        <f>VLOOKUP(A95,'Data shares'!$C$2:$CA$215,77,0)</f>
        <v>1.61E-2</v>
      </c>
      <c r="H95" s="86">
        <f>VLOOKUP($A95,'Data shares'!$C:$FA,90)</f>
        <v>46323750</v>
      </c>
      <c r="I95" s="86">
        <f>VLOOKUP($A95,'Data shares'!$C:$FA,92)</f>
        <v>-423750</v>
      </c>
      <c r="J95" s="87">
        <f>VLOOKUP($A95,'Data shares'!$C:$FA,93)</f>
        <v>-9.1000000000000004E-3</v>
      </c>
      <c r="K95" s="86">
        <f>VLOOKUP($A95,'Data shares'!$C:$FA,94)</f>
        <v>33832500</v>
      </c>
      <c r="L95" s="86">
        <f>VLOOKUP($A95,'Data shares'!$C:$FA,96)</f>
        <v>-86250</v>
      </c>
      <c r="M95" s="87">
        <f>VLOOKUP($A95,'Data shares'!$C:$FA,97)</f>
        <v>-2.5000000000000001E-3</v>
      </c>
      <c r="N95" s="86">
        <f>VLOOKUP($A95,'Data shares'!$C:$FA,78)</f>
        <v>50505000</v>
      </c>
      <c r="O95" s="87">
        <f>VLOOKUP($A95,'Data shares'!$C:$FA,81)</f>
        <v>-6.0000000000000001E-3</v>
      </c>
    </row>
    <row r="96" spans="1:15" x14ac:dyDescent="0.25">
      <c r="A96" s="100" t="str">
        <f>'OI(Value)'!A96</f>
        <v>IIFL</v>
      </c>
      <c r="B96" s="82">
        <f>VLOOKUP(A96,'Data shares'!$C$2:$CV$215,98,0)</f>
        <v>23979450</v>
      </c>
      <c r="C96" s="82">
        <f>VLOOKUP(A96,'Data shares'!$C$2:$CX$215,100,0)</f>
        <v>-297000</v>
      </c>
      <c r="D96" s="141">
        <f>VLOOKUP(A96,'Data shares'!$C$2:$CY$538,101,0)</f>
        <v>-1.2200000000000001E-2</v>
      </c>
      <c r="E96" s="86">
        <f>VLOOKUP($A96,'Data shares'!$C:$FA,74)</f>
        <v>12054900</v>
      </c>
      <c r="F96" s="86">
        <f>VLOOKUP($A96,'Data shares'!$C:$FA,76)</f>
        <v>-39600</v>
      </c>
      <c r="G96" s="87">
        <f>VLOOKUP(A96,'Data shares'!$C$2:$CA$215,77,0)</f>
        <v>-3.3E-3</v>
      </c>
      <c r="H96" s="86">
        <f>VLOOKUP($A96,'Data shares'!$C:$FA,90)</f>
        <v>7410150</v>
      </c>
      <c r="I96" s="86">
        <f>VLOOKUP($A96,'Data shares'!$C:$FA,92)</f>
        <v>-189750</v>
      </c>
      <c r="J96" s="87">
        <f>VLOOKUP($A96,'Data shares'!$C:$FA,93)</f>
        <v>-2.5000000000000001E-2</v>
      </c>
      <c r="K96" s="86">
        <f>VLOOKUP($A96,'Data shares'!$C:$FA,94)</f>
        <v>4514400</v>
      </c>
      <c r="L96" s="86">
        <f>VLOOKUP($A96,'Data shares'!$C:$FA,96)</f>
        <v>-67650</v>
      </c>
      <c r="M96" s="87">
        <f>VLOOKUP($A96,'Data shares'!$C:$FA,97)</f>
        <v>-1.4800000000000001E-2</v>
      </c>
      <c r="N96" s="86">
        <f>VLOOKUP($A96,'Data shares'!$C:$FA,78)</f>
        <v>11607750</v>
      </c>
      <c r="O96" s="87">
        <f>VLOOKUP($A96,'Data shares'!$C:$FA,81)</f>
        <v>-6.4000000000000003E-3</v>
      </c>
    </row>
    <row r="97" spans="1:15" x14ac:dyDescent="0.25">
      <c r="A97" s="100" t="str">
        <f>'OI(Value)'!A97</f>
        <v>INDHOTEL</v>
      </c>
      <c r="B97" s="82">
        <f>VLOOKUP(A97,'Data shares'!$C$2:$CV$215,98,0)</f>
        <v>44430000</v>
      </c>
      <c r="C97" s="82">
        <f>VLOOKUP(A97,'Data shares'!$C$2:$CX$215,100,0)</f>
        <v>-356000</v>
      </c>
      <c r="D97" s="141">
        <f>VLOOKUP(A97,'Data shares'!$C$2:$CY$538,101,0)</f>
        <v>-7.9000000000000008E-3</v>
      </c>
      <c r="E97" s="86">
        <f>VLOOKUP($A97,'Data shares'!$C:$FA,74)</f>
        <v>26868000</v>
      </c>
      <c r="F97" s="86">
        <f>VLOOKUP($A97,'Data shares'!$C:$FA,76)</f>
        <v>-355000</v>
      </c>
      <c r="G97" s="87">
        <f>VLOOKUP(A97,'Data shares'!$C$2:$CA$215,77,0)</f>
        <v>-1.2999999999999999E-2</v>
      </c>
      <c r="H97" s="86">
        <f>VLOOKUP($A97,'Data shares'!$C:$FA,90)</f>
        <v>10660000</v>
      </c>
      <c r="I97" s="86">
        <f>VLOOKUP($A97,'Data shares'!$C:$FA,92)</f>
        <v>-338000</v>
      </c>
      <c r="J97" s="87">
        <f>VLOOKUP($A97,'Data shares'!$C:$FA,93)</f>
        <v>-3.0700000000000002E-2</v>
      </c>
      <c r="K97" s="86">
        <f>VLOOKUP($A97,'Data shares'!$C:$FA,94)</f>
        <v>6902000</v>
      </c>
      <c r="L97" s="86">
        <f>VLOOKUP($A97,'Data shares'!$C:$FA,96)</f>
        <v>337000</v>
      </c>
      <c r="M97" s="87">
        <f>VLOOKUP($A97,'Data shares'!$C:$FA,97)</f>
        <v>5.1299999999999998E-2</v>
      </c>
      <c r="N97" s="86">
        <f>VLOOKUP($A97,'Data shares'!$C:$FA,78)</f>
        <v>24751000</v>
      </c>
      <c r="O97" s="87">
        <f>VLOOKUP($A97,'Data shares'!$C:$FA,81)</f>
        <v>-2.3900000000000001E-2</v>
      </c>
    </row>
    <row r="98" spans="1:15" x14ac:dyDescent="0.25">
      <c r="A98" s="100" t="str">
        <f>'OI(Value)'!A98</f>
        <v>INDIANB</v>
      </c>
      <c r="B98" s="82">
        <f>VLOOKUP(A98,'Data shares'!$C$2:$CV$215,98,0)</f>
        <v>29105000</v>
      </c>
      <c r="C98" s="82">
        <f>VLOOKUP(A98,'Data shares'!$C$2:$CX$215,100,0)</f>
        <v>-246000</v>
      </c>
      <c r="D98" s="141">
        <f>VLOOKUP(A98,'Data shares'!$C$2:$CY$538,101,0)</f>
        <v>-8.3999999999999995E-3</v>
      </c>
      <c r="E98" s="86">
        <f>VLOOKUP($A98,'Data shares'!$C:$FA,74)</f>
        <v>11744000</v>
      </c>
      <c r="F98" s="86">
        <f>VLOOKUP($A98,'Data shares'!$C:$FA,76)</f>
        <v>16000</v>
      </c>
      <c r="G98" s="87">
        <f>VLOOKUP(A98,'Data shares'!$C$2:$CA$215,77,0)</f>
        <v>1.4E-3</v>
      </c>
      <c r="H98" s="86">
        <f>VLOOKUP($A98,'Data shares'!$C:$FA,90)</f>
        <v>12290000</v>
      </c>
      <c r="I98" s="86">
        <f>VLOOKUP($A98,'Data shares'!$C:$FA,92)</f>
        <v>-252000</v>
      </c>
      <c r="J98" s="87">
        <f>VLOOKUP($A98,'Data shares'!$C:$FA,93)</f>
        <v>-2.01E-2</v>
      </c>
      <c r="K98" s="86">
        <f>VLOOKUP($A98,'Data shares'!$C:$FA,94)</f>
        <v>5071000</v>
      </c>
      <c r="L98" s="86">
        <f>VLOOKUP($A98,'Data shares'!$C:$FA,96)</f>
        <v>-10000</v>
      </c>
      <c r="M98" s="87">
        <f>VLOOKUP($A98,'Data shares'!$C:$FA,97)</f>
        <v>-2E-3</v>
      </c>
      <c r="N98" s="86">
        <f>VLOOKUP($A98,'Data shares'!$C:$FA,78)</f>
        <v>11059000</v>
      </c>
      <c r="O98" s="87">
        <f>VLOOKUP($A98,'Data shares'!$C:$FA,81)</f>
        <v>-2.0999999999999999E-3</v>
      </c>
    </row>
    <row r="99" spans="1:15" x14ac:dyDescent="0.25">
      <c r="A99" s="100" t="str">
        <f>'OI(Value)'!A99</f>
        <v>INDIAVIX</v>
      </c>
      <c r="B99" s="82">
        <f>VLOOKUP(A99,'Data shares'!$C$2:$CV$215,98,0)</f>
        <v>0</v>
      </c>
      <c r="C99" s="82">
        <f>VLOOKUP(A99,'Data shares'!$C$2:$CX$215,100,0)</f>
        <v>0</v>
      </c>
      <c r="D99" s="141">
        <f>VLOOKUP(A99,'Data shares'!$C$2:$CY$538,101,0)</f>
        <v>0</v>
      </c>
      <c r="E99" s="86">
        <f>VLOOKUP($A99,'Data shares'!$C:$FA,74)</f>
        <v>0</v>
      </c>
      <c r="F99" s="86">
        <f>VLOOKUP($A99,'Data shares'!$C:$FA,76)</f>
        <v>0</v>
      </c>
      <c r="G99" s="87">
        <f>VLOOKUP(A99,'Data shares'!$C$2:$CA$215,77,0)</f>
        <v>0</v>
      </c>
      <c r="H99" s="86">
        <f>VLOOKUP($A99,'Data shares'!$C:$FA,90)</f>
        <v>0</v>
      </c>
      <c r="I99" s="86">
        <f>VLOOKUP($A99,'Data shares'!$C:$FA,92)</f>
        <v>0</v>
      </c>
      <c r="J99" s="87">
        <f>VLOOKUP($A99,'Data shares'!$C:$FA,93)</f>
        <v>0</v>
      </c>
      <c r="K99" s="86">
        <f>VLOOKUP($A99,'Data shares'!$C:$FA,94)</f>
        <v>0</v>
      </c>
      <c r="L99" s="86">
        <f>VLOOKUP($A99,'Data shares'!$C:$FA,96)</f>
        <v>0</v>
      </c>
      <c r="M99" s="87">
        <f>VLOOKUP($A99,'Data shares'!$C:$FA,97)</f>
        <v>0</v>
      </c>
      <c r="N99" s="86">
        <f>VLOOKUP($A99,'Data shares'!$C:$FA,78)</f>
        <v>0</v>
      </c>
      <c r="O99" s="87">
        <f>VLOOKUP($A99,'Data shares'!$C:$FA,81)</f>
        <v>0</v>
      </c>
    </row>
    <row r="100" spans="1:15" x14ac:dyDescent="0.25">
      <c r="A100" s="100" t="str">
        <f>'OI(Value)'!A100</f>
        <v>INDIGO</v>
      </c>
      <c r="B100" s="82">
        <f>VLOOKUP(A100,'Data shares'!$C$2:$CV$215,98,0)</f>
        <v>36290700</v>
      </c>
      <c r="C100" s="82">
        <f>VLOOKUP(A100,'Data shares'!$C$2:$CX$215,100,0)</f>
        <v>-1357800</v>
      </c>
      <c r="D100" s="141">
        <f>VLOOKUP(A100,'Data shares'!$C$2:$CY$538,101,0)</f>
        <v>-3.61E-2</v>
      </c>
      <c r="E100" s="86">
        <f>VLOOKUP($A100,'Data shares'!$C:$FA,74)</f>
        <v>11580450</v>
      </c>
      <c r="F100" s="86">
        <f>VLOOKUP($A100,'Data shares'!$C:$FA,76)</f>
        <v>-702150</v>
      </c>
      <c r="G100" s="87">
        <f>VLOOKUP(A100,'Data shares'!$C$2:$CA$215,77,0)</f>
        <v>-5.7200000000000001E-2</v>
      </c>
      <c r="H100" s="86">
        <f>VLOOKUP($A100,'Data shares'!$C:$FA,90)</f>
        <v>15821400</v>
      </c>
      <c r="I100" s="86">
        <f>VLOOKUP($A100,'Data shares'!$C:$FA,92)</f>
        <v>-1300950</v>
      </c>
      <c r="J100" s="87">
        <f>VLOOKUP($A100,'Data shares'!$C:$FA,93)</f>
        <v>-7.5999999999999998E-2</v>
      </c>
      <c r="K100" s="86">
        <f>VLOOKUP($A100,'Data shares'!$C:$FA,94)</f>
        <v>8888850</v>
      </c>
      <c r="L100" s="86">
        <f>VLOOKUP($A100,'Data shares'!$C:$FA,96)</f>
        <v>645300</v>
      </c>
      <c r="M100" s="87">
        <f>VLOOKUP($A100,'Data shares'!$C:$FA,97)</f>
        <v>7.8299999999999995E-2</v>
      </c>
      <c r="N100" s="86">
        <f>VLOOKUP($A100,'Data shares'!$C:$FA,78)</f>
        <v>10038300</v>
      </c>
      <c r="O100" s="87">
        <f>VLOOKUP($A100,'Data shares'!$C:$FA,81)</f>
        <v>-8.2100000000000006E-2</v>
      </c>
    </row>
    <row r="101" spans="1:15" x14ac:dyDescent="0.25">
      <c r="A101" s="100" t="str">
        <f>'OI(Value)'!A101</f>
        <v>INDUSINDBK</v>
      </c>
      <c r="B101" s="82">
        <f>VLOOKUP(A101,'Data shares'!$C$2:$CV$215,98,0)</f>
        <v>70896000</v>
      </c>
      <c r="C101" s="82">
        <f>VLOOKUP(A101,'Data shares'!$C$2:$CX$215,100,0)</f>
        <v>-1041600</v>
      </c>
      <c r="D101" s="141">
        <f>VLOOKUP(A101,'Data shares'!$C$2:$CY$538,101,0)</f>
        <v>-1.4500000000000001E-2</v>
      </c>
      <c r="E101" s="86">
        <f>VLOOKUP($A101,'Data shares'!$C:$FA,74)</f>
        <v>47350800</v>
      </c>
      <c r="F101" s="86">
        <f>VLOOKUP($A101,'Data shares'!$C:$FA,76)</f>
        <v>-441700</v>
      </c>
      <c r="G101" s="87">
        <f>VLOOKUP(A101,'Data shares'!$C$2:$CA$215,77,0)</f>
        <v>-9.1999999999999998E-3</v>
      </c>
      <c r="H101" s="86">
        <f>VLOOKUP($A101,'Data shares'!$C:$FA,90)</f>
        <v>13762700</v>
      </c>
      <c r="I101" s="86">
        <f>VLOOKUP($A101,'Data shares'!$C:$FA,92)</f>
        <v>-447300</v>
      </c>
      <c r="J101" s="87">
        <f>VLOOKUP($A101,'Data shares'!$C:$FA,93)</f>
        <v>-3.15E-2</v>
      </c>
      <c r="K101" s="86">
        <f>VLOOKUP($A101,'Data shares'!$C:$FA,94)</f>
        <v>9782500</v>
      </c>
      <c r="L101" s="86">
        <f>VLOOKUP($A101,'Data shares'!$C:$FA,96)</f>
        <v>-152600</v>
      </c>
      <c r="M101" s="87">
        <f>VLOOKUP($A101,'Data shares'!$C:$FA,97)</f>
        <v>-1.54E-2</v>
      </c>
      <c r="N101" s="86">
        <f>VLOOKUP($A101,'Data shares'!$C:$FA,78)</f>
        <v>42344400</v>
      </c>
      <c r="O101" s="87">
        <f>VLOOKUP($A101,'Data shares'!$C:$FA,81)</f>
        <v>-1.83E-2</v>
      </c>
    </row>
    <row r="102" spans="1:15" x14ac:dyDescent="0.25">
      <c r="A102" s="100" t="str">
        <f>'OI(Value)'!A102</f>
        <v>INDUSTOWER</v>
      </c>
      <c r="B102" s="82">
        <f>VLOOKUP(A102,'Data shares'!$C$2:$CV$215,98,0)</f>
        <v>124822500</v>
      </c>
      <c r="C102" s="82">
        <f>VLOOKUP(A102,'Data shares'!$C$2:$CX$215,100,0)</f>
        <v>-1477300</v>
      </c>
      <c r="D102" s="141">
        <f>VLOOKUP(A102,'Data shares'!$C$2:$CY$538,101,0)</f>
        <v>-1.17E-2</v>
      </c>
      <c r="E102" s="86">
        <f>VLOOKUP($A102,'Data shares'!$C:$FA,74)</f>
        <v>83706300</v>
      </c>
      <c r="F102" s="86">
        <f>VLOOKUP($A102,'Data shares'!$C:$FA,76)</f>
        <v>88400</v>
      </c>
      <c r="G102" s="87">
        <f>VLOOKUP(A102,'Data shares'!$C$2:$CA$215,77,0)</f>
        <v>1.1000000000000001E-3</v>
      </c>
      <c r="H102" s="86">
        <f>VLOOKUP($A102,'Data shares'!$C:$FA,90)</f>
        <v>25683600</v>
      </c>
      <c r="I102" s="86">
        <f>VLOOKUP($A102,'Data shares'!$C:$FA,92)</f>
        <v>-1205300</v>
      </c>
      <c r="J102" s="87">
        <f>VLOOKUP($A102,'Data shares'!$C:$FA,93)</f>
        <v>-4.48E-2</v>
      </c>
      <c r="K102" s="86">
        <f>VLOOKUP($A102,'Data shares'!$C:$FA,94)</f>
        <v>15432600</v>
      </c>
      <c r="L102" s="86">
        <f>VLOOKUP($A102,'Data shares'!$C:$FA,96)</f>
        <v>-360400</v>
      </c>
      <c r="M102" s="87">
        <f>VLOOKUP($A102,'Data shares'!$C:$FA,97)</f>
        <v>-2.2800000000000001E-2</v>
      </c>
      <c r="N102" s="86">
        <f>VLOOKUP($A102,'Data shares'!$C:$FA,78)</f>
        <v>80172000</v>
      </c>
      <c r="O102" s="87">
        <f>VLOOKUP($A102,'Data shares'!$C:$FA,81)</f>
        <v>-7.1999999999999998E-3</v>
      </c>
    </row>
    <row r="103" spans="1:15" x14ac:dyDescent="0.25">
      <c r="A103" s="100" t="str">
        <f>'OI(Value)'!A103</f>
        <v>INFY</v>
      </c>
      <c r="B103" s="82">
        <f>VLOOKUP(A103,'Data shares'!$C$2:$CV$215,98,0)</f>
        <v>121290400</v>
      </c>
      <c r="C103" s="82">
        <f>VLOOKUP(A103,'Data shares'!$C$2:$CX$215,100,0)</f>
        <v>4763200</v>
      </c>
      <c r="D103" s="141">
        <f>VLOOKUP(A103,'Data shares'!$C$2:$CY$538,101,0)</f>
        <v>4.0899999999999999E-2</v>
      </c>
      <c r="E103" s="86">
        <f>VLOOKUP($A103,'Data shares'!$C:$FA,74)</f>
        <v>71837200</v>
      </c>
      <c r="F103" s="86">
        <f>VLOOKUP($A103,'Data shares'!$C:$FA,76)</f>
        <v>1125600</v>
      </c>
      <c r="G103" s="87">
        <f>VLOOKUP(A103,'Data shares'!$C$2:$CA$215,77,0)</f>
        <v>1.5900000000000001E-2</v>
      </c>
      <c r="H103" s="86">
        <f>VLOOKUP($A103,'Data shares'!$C:$FA,90)</f>
        <v>28107600</v>
      </c>
      <c r="I103" s="86">
        <f>VLOOKUP($A103,'Data shares'!$C:$FA,92)</f>
        <v>283600</v>
      </c>
      <c r="J103" s="87">
        <f>VLOOKUP($A103,'Data shares'!$C:$FA,93)</f>
        <v>1.0200000000000001E-2</v>
      </c>
      <c r="K103" s="86">
        <f>VLOOKUP($A103,'Data shares'!$C:$FA,94)</f>
        <v>21345600</v>
      </c>
      <c r="L103" s="86">
        <f>VLOOKUP($A103,'Data shares'!$C:$FA,96)</f>
        <v>3354000</v>
      </c>
      <c r="M103" s="87">
        <f>VLOOKUP($A103,'Data shares'!$C:$FA,97)</f>
        <v>0.18640000000000001</v>
      </c>
      <c r="N103" s="86">
        <f>VLOOKUP($A103,'Data shares'!$C:$FA,78)</f>
        <v>56890000</v>
      </c>
      <c r="O103" s="87">
        <f>VLOOKUP($A103,'Data shares'!$C:$FA,81)</f>
        <v>-4.7199999999999999E-2</v>
      </c>
    </row>
    <row r="104" spans="1:15" x14ac:dyDescent="0.25">
      <c r="A104" s="100" t="str">
        <f>'OI(Value)'!A104</f>
        <v>INOXWIND</v>
      </c>
      <c r="B104" s="82">
        <f>VLOOKUP(A104,'Data shares'!$C$2:$CV$215,98,0)</f>
        <v>157404801</v>
      </c>
      <c r="C104" s="82">
        <f>VLOOKUP(A104,'Data shares'!$C$2:$CX$215,100,0)</f>
        <v>-92761</v>
      </c>
      <c r="D104" s="141">
        <f>VLOOKUP(A104,'Data shares'!$C$2:$CY$538,101,0)</f>
        <v>-5.9999999999999995E-4</v>
      </c>
      <c r="E104" s="86">
        <f>VLOOKUP($A104,'Data shares'!$C:$FA,74)</f>
        <v>88342677</v>
      </c>
      <c r="F104" s="86">
        <f>VLOOKUP($A104,'Data shares'!$C:$FA,76)</f>
        <v>73987</v>
      </c>
      <c r="G104" s="87">
        <f>VLOOKUP(A104,'Data shares'!$C$2:$CA$215,77,0)</f>
        <v>8.0000000000000004E-4</v>
      </c>
      <c r="H104" s="86">
        <f>VLOOKUP($A104,'Data shares'!$C:$FA,90)</f>
        <v>46398003</v>
      </c>
      <c r="I104" s="86">
        <f>VLOOKUP($A104,'Data shares'!$C:$FA,92)</f>
        <v>-116639</v>
      </c>
      <c r="J104" s="87">
        <f>VLOOKUP($A104,'Data shares'!$C:$FA,93)</f>
        <v>-2.5000000000000001E-3</v>
      </c>
      <c r="K104" s="86">
        <f>VLOOKUP($A104,'Data shares'!$C:$FA,94)</f>
        <v>22664121</v>
      </c>
      <c r="L104" s="86">
        <f>VLOOKUP($A104,'Data shares'!$C:$FA,96)</f>
        <v>-50109</v>
      </c>
      <c r="M104" s="87">
        <f>VLOOKUP($A104,'Data shares'!$C:$FA,97)</f>
        <v>-2.2000000000000001E-3</v>
      </c>
      <c r="N104" s="86">
        <f>VLOOKUP($A104,'Data shares'!$C:$FA,78)</f>
        <v>81525152</v>
      </c>
      <c r="O104" s="87">
        <f>VLOOKUP($A104,'Data shares'!$C:$FA,81)</f>
        <v>-3.2000000000000002E-3</v>
      </c>
    </row>
    <row r="105" spans="1:15" x14ac:dyDescent="0.25">
      <c r="A105" s="100" t="str">
        <f>'OI(Value)'!A105</f>
        <v>IOC</v>
      </c>
      <c r="B105" s="82">
        <f>VLOOKUP(A105,'Data shares'!$C$2:$CV$215,98,0)</f>
        <v>201639750</v>
      </c>
      <c r="C105" s="82">
        <f>VLOOKUP(A105,'Data shares'!$C$2:$CX$215,100,0)</f>
        <v>-141375</v>
      </c>
      <c r="D105" s="141">
        <f>VLOOKUP(A105,'Data shares'!$C$2:$CY$538,101,0)</f>
        <v>-6.9999999999999999E-4</v>
      </c>
      <c r="E105" s="86">
        <f>VLOOKUP($A105,'Data shares'!$C:$FA,74)</f>
        <v>98158125</v>
      </c>
      <c r="F105" s="86">
        <f>VLOOKUP($A105,'Data shares'!$C:$FA,76)</f>
        <v>1360125</v>
      </c>
      <c r="G105" s="87">
        <f>VLOOKUP(A105,'Data shares'!$C$2:$CA$215,77,0)</f>
        <v>1.41E-2</v>
      </c>
      <c r="H105" s="86">
        <f>VLOOKUP($A105,'Data shares'!$C:$FA,90)</f>
        <v>61907625</v>
      </c>
      <c r="I105" s="86">
        <f>VLOOKUP($A105,'Data shares'!$C:$FA,92)</f>
        <v>-1287000</v>
      </c>
      <c r="J105" s="87">
        <f>VLOOKUP($A105,'Data shares'!$C:$FA,93)</f>
        <v>-2.0400000000000001E-2</v>
      </c>
      <c r="K105" s="86">
        <f>VLOOKUP($A105,'Data shares'!$C:$FA,94)</f>
        <v>41574000</v>
      </c>
      <c r="L105" s="86">
        <f>VLOOKUP($A105,'Data shares'!$C:$FA,96)</f>
        <v>-214500</v>
      </c>
      <c r="M105" s="87">
        <f>VLOOKUP($A105,'Data shares'!$C:$FA,97)</f>
        <v>-5.1000000000000004E-3</v>
      </c>
      <c r="N105" s="86">
        <f>VLOOKUP($A105,'Data shares'!$C:$FA,78)</f>
        <v>90743250</v>
      </c>
      <c r="O105" s="87">
        <f>VLOOKUP($A105,'Data shares'!$C:$FA,81)</f>
        <v>-2.3E-3</v>
      </c>
    </row>
    <row r="106" spans="1:15" x14ac:dyDescent="0.25">
      <c r="A106" s="100" t="str">
        <f>'OI(Value)'!A106</f>
        <v>IRCTC</v>
      </c>
      <c r="B106" s="82">
        <f>VLOOKUP(A106,'Data shares'!$C$2:$CV$215,98,0)</f>
        <v>37971500</v>
      </c>
      <c r="C106" s="82">
        <f>VLOOKUP(A106,'Data shares'!$C$2:$CX$215,100,0)</f>
        <v>-410375</v>
      </c>
      <c r="D106" s="141">
        <f>VLOOKUP(A106,'Data shares'!$C$2:$CY$538,101,0)</f>
        <v>-1.0699999999999999E-2</v>
      </c>
      <c r="E106" s="86">
        <f>VLOOKUP($A106,'Data shares'!$C:$FA,74)</f>
        <v>20978125</v>
      </c>
      <c r="F106" s="86">
        <f>VLOOKUP($A106,'Data shares'!$C:$FA,76)</f>
        <v>280875</v>
      </c>
      <c r="G106" s="87">
        <f>VLOOKUP(A106,'Data shares'!$C$2:$CA$215,77,0)</f>
        <v>1.3599999999999999E-2</v>
      </c>
      <c r="H106" s="86">
        <f>VLOOKUP($A106,'Data shares'!$C:$FA,90)</f>
        <v>10144750</v>
      </c>
      <c r="I106" s="86">
        <f>VLOOKUP($A106,'Data shares'!$C:$FA,92)</f>
        <v>-234500</v>
      </c>
      <c r="J106" s="87">
        <f>VLOOKUP($A106,'Data shares'!$C:$FA,93)</f>
        <v>-2.2599999999999999E-2</v>
      </c>
      <c r="K106" s="86">
        <f>VLOOKUP($A106,'Data shares'!$C:$FA,94)</f>
        <v>6848625</v>
      </c>
      <c r="L106" s="86">
        <f>VLOOKUP($A106,'Data shares'!$C:$FA,96)</f>
        <v>-456750</v>
      </c>
      <c r="M106" s="87">
        <f>VLOOKUP($A106,'Data shares'!$C:$FA,97)</f>
        <v>-6.25E-2</v>
      </c>
      <c r="N106" s="86">
        <f>VLOOKUP($A106,'Data shares'!$C:$FA,78)</f>
        <v>18312000</v>
      </c>
      <c r="O106" s="87">
        <f>VLOOKUP($A106,'Data shares'!$C:$FA,81)</f>
        <v>2.5999999999999999E-3</v>
      </c>
    </row>
    <row r="107" spans="1:15" x14ac:dyDescent="0.25">
      <c r="A107" s="100" t="str">
        <f>'OI(Value)'!A107</f>
        <v>IREDA</v>
      </c>
      <c r="B107" s="82">
        <f>VLOOKUP(A107,'Data shares'!$C$2:$CV$215,98,0)</f>
        <v>115385250</v>
      </c>
      <c r="C107" s="82">
        <f>VLOOKUP(A107,'Data shares'!$C$2:$CX$215,100,0)</f>
        <v>2597850</v>
      </c>
      <c r="D107" s="141">
        <f>VLOOKUP(A107,'Data shares'!$C$2:$CY$538,101,0)</f>
        <v>2.3E-2</v>
      </c>
      <c r="E107" s="86">
        <f>VLOOKUP($A107,'Data shares'!$C:$FA,74)</f>
        <v>55959000</v>
      </c>
      <c r="F107" s="86">
        <f>VLOOKUP($A107,'Data shares'!$C:$FA,76)</f>
        <v>969450</v>
      </c>
      <c r="G107" s="87">
        <f>VLOOKUP(A107,'Data shares'!$C$2:$CA$215,77,0)</f>
        <v>1.7600000000000001E-2</v>
      </c>
      <c r="H107" s="86">
        <f>VLOOKUP($A107,'Data shares'!$C:$FA,90)</f>
        <v>39405900</v>
      </c>
      <c r="I107" s="86">
        <f>VLOOKUP($A107,'Data shares'!$C:$FA,92)</f>
        <v>883200</v>
      </c>
      <c r="J107" s="87">
        <f>VLOOKUP($A107,'Data shares'!$C:$FA,93)</f>
        <v>2.29E-2</v>
      </c>
      <c r="K107" s="86">
        <f>VLOOKUP($A107,'Data shares'!$C:$FA,94)</f>
        <v>20020350</v>
      </c>
      <c r="L107" s="86">
        <f>VLOOKUP($A107,'Data shares'!$C:$FA,96)</f>
        <v>745200</v>
      </c>
      <c r="M107" s="87">
        <f>VLOOKUP($A107,'Data shares'!$C:$FA,97)</f>
        <v>3.8699999999999998E-2</v>
      </c>
      <c r="N107" s="86">
        <f>VLOOKUP($A107,'Data shares'!$C:$FA,78)</f>
        <v>41144700</v>
      </c>
      <c r="O107" s="87">
        <f>VLOOKUP($A107,'Data shares'!$C:$FA,81)</f>
        <v>-1.11E-2</v>
      </c>
    </row>
    <row r="108" spans="1:15" x14ac:dyDescent="0.25">
      <c r="A108" s="100" t="str">
        <f>'OI(Value)'!A108</f>
        <v>IRFC</v>
      </c>
      <c r="B108" s="82">
        <f>VLOOKUP(A108,'Data shares'!$C$2:$CV$215,98,0)</f>
        <v>112880000</v>
      </c>
      <c r="C108" s="82">
        <f>VLOOKUP(A108,'Data shares'!$C$2:$CX$215,100,0)</f>
        <v>-55250</v>
      </c>
      <c r="D108" s="141">
        <f>VLOOKUP(A108,'Data shares'!$C$2:$CY$538,101,0)</f>
        <v>-5.0000000000000001E-4</v>
      </c>
      <c r="E108" s="86">
        <f>VLOOKUP($A108,'Data shares'!$C:$FA,74)</f>
        <v>47850750</v>
      </c>
      <c r="F108" s="86">
        <f>VLOOKUP($A108,'Data shares'!$C:$FA,76)</f>
        <v>-123250</v>
      </c>
      <c r="G108" s="87">
        <f>VLOOKUP(A108,'Data shares'!$C$2:$CA$215,77,0)</f>
        <v>-2.5999999999999999E-3</v>
      </c>
      <c r="H108" s="86">
        <f>VLOOKUP($A108,'Data shares'!$C:$FA,90)</f>
        <v>43549750</v>
      </c>
      <c r="I108" s="86">
        <f>VLOOKUP($A108,'Data shares'!$C:$FA,92)</f>
        <v>-446250</v>
      </c>
      <c r="J108" s="87">
        <f>VLOOKUP($A108,'Data shares'!$C:$FA,93)</f>
        <v>-1.01E-2</v>
      </c>
      <c r="K108" s="86">
        <f>VLOOKUP($A108,'Data shares'!$C:$FA,94)</f>
        <v>21479500</v>
      </c>
      <c r="L108" s="86">
        <f>VLOOKUP($A108,'Data shares'!$C:$FA,96)</f>
        <v>514250</v>
      </c>
      <c r="M108" s="87">
        <f>VLOOKUP($A108,'Data shares'!$C:$FA,97)</f>
        <v>2.4500000000000001E-2</v>
      </c>
      <c r="N108" s="86">
        <f>VLOOKUP($A108,'Data shares'!$C:$FA,78)</f>
        <v>40987000</v>
      </c>
      <c r="O108" s="87">
        <f>VLOOKUP($A108,'Data shares'!$C:$FA,81)</f>
        <v>-1.15E-2</v>
      </c>
    </row>
    <row r="109" spans="1:15" x14ac:dyDescent="0.25">
      <c r="A109" s="100" t="str">
        <f>'OI(Value)'!A109</f>
        <v>ITC</v>
      </c>
      <c r="B109" s="82">
        <f>VLOOKUP(A109,'Data shares'!$C$2:$CV$215,98,0)</f>
        <v>275734400</v>
      </c>
      <c r="C109" s="82">
        <f>VLOOKUP(A109,'Data shares'!$C$2:$CX$215,100,0)</f>
        <v>-467200</v>
      </c>
      <c r="D109" s="141">
        <f>VLOOKUP(A109,'Data shares'!$C$2:$CY$538,101,0)</f>
        <v>-1.6999999999999999E-3</v>
      </c>
      <c r="E109" s="86">
        <f>VLOOKUP($A109,'Data shares'!$C:$FA,74)</f>
        <v>174612800</v>
      </c>
      <c r="F109" s="86">
        <f>VLOOKUP($A109,'Data shares'!$C:$FA,76)</f>
        <v>673600</v>
      </c>
      <c r="G109" s="87">
        <f>VLOOKUP(A109,'Data shares'!$C$2:$CA$215,77,0)</f>
        <v>3.8999999999999998E-3</v>
      </c>
      <c r="H109" s="86">
        <f>VLOOKUP($A109,'Data shares'!$C:$FA,90)</f>
        <v>63161600</v>
      </c>
      <c r="I109" s="86">
        <f>VLOOKUP($A109,'Data shares'!$C:$FA,92)</f>
        <v>-27200</v>
      </c>
      <c r="J109" s="87">
        <f>VLOOKUP($A109,'Data shares'!$C:$FA,93)</f>
        <v>-4.0000000000000002E-4</v>
      </c>
      <c r="K109" s="86">
        <f>VLOOKUP($A109,'Data shares'!$C:$FA,94)</f>
        <v>37960000</v>
      </c>
      <c r="L109" s="86">
        <f>VLOOKUP($A109,'Data shares'!$C:$FA,96)</f>
        <v>-1113600</v>
      </c>
      <c r="M109" s="87">
        <f>VLOOKUP($A109,'Data shares'!$C:$FA,97)</f>
        <v>-2.8500000000000001E-2</v>
      </c>
      <c r="N109" s="86">
        <f>VLOOKUP($A109,'Data shares'!$C:$FA,78)</f>
        <v>149291200</v>
      </c>
      <c r="O109" s="87">
        <f>VLOOKUP($A109,'Data shares'!$C:$FA,81)</f>
        <v>-3.78E-2</v>
      </c>
    </row>
    <row r="110" spans="1:15" x14ac:dyDescent="0.25">
      <c r="A110" s="100" t="str">
        <f>'OI(Value)'!A110</f>
        <v>JINDALSTEL</v>
      </c>
      <c r="B110" s="82">
        <f>VLOOKUP(A110,'Data shares'!$C$2:$CV$215,98,0)</f>
        <v>23138750</v>
      </c>
      <c r="C110" s="82">
        <f>VLOOKUP(A110,'Data shares'!$C$2:$CX$215,100,0)</f>
        <v>1137500</v>
      </c>
      <c r="D110" s="141">
        <f>VLOOKUP(A110,'Data shares'!$C$2:$CY$538,101,0)</f>
        <v>5.1700000000000003E-2</v>
      </c>
      <c r="E110" s="86">
        <f>VLOOKUP($A110,'Data shares'!$C:$FA,74)</f>
        <v>13302500</v>
      </c>
      <c r="F110" s="86">
        <f>VLOOKUP($A110,'Data shares'!$C:$FA,76)</f>
        <v>723750</v>
      </c>
      <c r="G110" s="87">
        <f>VLOOKUP(A110,'Data shares'!$C$2:$CA$215,77,0)</f>
        <v>5.7500000000000002E-2</v>
      </c>
      <c r="H110" s="86">
        <f>VLOOKUP($A110,'Data shares'!$C:$FA,90)</f>
        <v>6074375</v>
      </c>
      <c r="I110" s="86">
        <f>VLOOKUP($A110,'Data shares'!$C:$FA,92)</f>
        <v>175000</v>
      </c>
      <c r="J110" s="87">
        <f>VLOOKUP($A110,'Data shares'!$C:$FA,93)</f>
        <v>2.9700000000000001E-2</v>
      </c>
      <c r="K110" s="86">
        <f>VLOOKUP($A110,'Data shares'!$C:$FA,94)</f>
        <v>3761875</v>
      </c>
      <c r="L110" s="86">
        <f>VLOOKUP($A110,'Data shares'!$C:$FA,96)</f>
        <v>238750</v>
      </c>
      <c r="M110" s="87">
        <f>VLOOKUP($A110,'Data shares'!$C:$FA,97)</f>
        <v>6.7799999999999999E-2</v>
      </c>
      <c r="N110" s="86">
        <f>VLOOKUP($A110,'Data shares'!$C:$FA,78)</f>
        <v>12700625</v>
      </c>
      <c r="O110" s="87">
        <f>VLOOKUP($A110,'Data shares'!$C:$FA,81)</f>
        <v>3.8100000000000002E-2</v>
      </c>
    </row>
    <row r="111" spans="1:15" x14ac:dyDescent="0.25">
      <c r="A111" s="100" t="str">
        <f>'OI(Value)'!A111</f>
        <v>JIOFIN</v>
      </c>
      <c r="B111" s="82">
        <f>VLOOKUP(A111,'Data shares'!$C$2:$CV$215,98,0)</f>
        <v>278623050</v>
      </c>
      <c r="C111" s="82">
        <f>VLOOKUP(A111,'Data shares'!$C$2:$CX$215,100,0)</f>
        <v>4002050</v>
      </c>
      <c r="D111" s="141">
        <f>VLOOKUP(A111,'Data shares'!$C$2:$CY$538,101,0)</f>
        <v>1.46E-2</v>
      </c>
      <c r="E111" s="86">
        <f>VLOOKUP($A111,'Data shares'!$C:$FA,74)</f>
        <v>160234750</v>
      </c>
      <c r="F111" s="86">
        <f>VLOOKUP($A111,'Data shares'!$C:$FA,76)</f>
        <v>921200</v>
      </c>
      <c r="G111" s="87">
        <f>VLOOKUP(A111,'Data shares'!$C$2:$CA$215,77,0)</f>
        <v>5.7999999999999996E-3</v>
      </c>
      <c r="H111" s="86">
        <f>VLOOKUP($A111,'Data shares'!$C:$FA,90)</f>
        <v>70006500</v>
      </c>
      <c r="I111" s="86">
        <f>VLOOKUP($A111,'Data shares'!$C:$FA,92)</f>
        <v>1374750</v>
      </c>
      <c r="J111" s="87">
        <f>VLOOKUP($A111,'Data shares'!$C:$FA,93)</f>
        <v>0.02</v>
      </c>
      <c r="K111" s="86">
        <f>VLOOKUP($A111,'Data shares'!$C:$FA,94)</f>
        <v>48381800</v>
      </c>
      <c r="L111" s="86">
        <f>VLOOKUP($A111,'Data shares'!$C:$FA,96)</f>
        <v>1706100</v>
      </c>
      <c r="M111" s="87">
        <f>VLOOKUP($A111,'Data shares'!$C:$FA,97)</f>
        <v>3.6600000000000001E-2</v>
      </c>
      <c r="N111" s="86">
        <f>VLOOKUP($A111,'Data shares'!$C:$FA,78)</f>
        <v>132293250</v>
      </c>
      <c r="O111" s="87">
        <f>VLOOKUP($A111,'Data shares'!$C:$FA,81)</f>
        <v>-2.4400000000000002E-2</v>
      </c>
    </row>
    <row r="112" spans="1:15" x14ac:dyDescent="0.25">
      <c r="A112" s="100" t="str">
        <f>'OI(Value)'!A112</f>
        <v>JSWENERGY</v>
      </c>
      <c r="B112" s="82">
        <f>VLOOKUP(A112,'Data shares'!$C$2:$CV$215,98,0)</f>
        <v>72092000</v>
      </c>
      <c r="C112" s="82">
        <f>VLOOKUP(A112,'Data shares'!$C$2:$CX$215,100,0)</f>
        <v>-1121000</v>
      </c>
      <c r="D112" s="141">
        <f>VLOOKUP(A112,'Data shares'!$C$2:$CY$538,101,0)</f>
        <v>-1.5299999999999999E-2</v>
      </c>
      <c r="E112" s="86">
        <f>VLOOKUP($A112,'Data shares'!$C:$FA,74)</f>
        <v>46041000</v>
      </c>
      <c r="F112" s="86">
        <f>VLOOKUP($A112,'Data shares'!$C:$FA,76)</f>
        <v>-737000</v>
      </c>
      <c r="G112" s="87">
        <f>VLOOKUP(A112,'Data shares'!$C$2:$CA$215,77,0)</f>
        <v>-1.5800000000000002E-2</v>
      </c>
      <c r="H112" s="86">
        <f>VLOOKUP($A112,'Data shares'!$C:$FA,90)</f>
        <v>15780000</v>
      </c>
      <c r="I112" s="86">
        <f>VLOOKUP($A112,'Data shares'!$C:$FA,92)</f>
        <v>67000</v>
      </c>
      <c r="J112" s="87">
        <f>VLOOKUP($A112,'Data shares'!$C:$FA,93)</f>
        <v>4.3E-3</v>
      </c>
      <c r="K112" s="86">
        <f>VLOOKUP($A112,'Data shares'!$C:$FA,94)</f>
        <v>10271000</v>
      </c>
      <c r="L112" s="86">
        <f>VLOOKUP($A112,'Data shares'!$C:$FA,96)</f>
        <v>-451000</v>
      </c>
      <c r="M112" s="87">
        <f>VLOOKUP($A112,'Data shares'!$C:$FA,97)</f>
        <v>-4.2099999999999999E-2</v>
      </c>
      <c r="N112" s="86">
        <f>VLOOKUP($A112,'Data shares'!$C:$FA,78)</f>
        <v>43655000</v>
      </c>
      <c r="O112" s="87">
        <f>VLOOKUP($A112,'Data shares'!$C:$FA,81)</f>
        <v>-2.1100000000000001E-2</v>
      </c>
    </row>
    <row r="113" spans="1:15" x14ac:dyDescent="0.25">
      <c r="A113" s="100" t="str">
        <f>'OI(Value)'!A113</f>
        <v>JSWSTEEL</v>
      </c>
      <c r="B113" s="82">
        <f>VLOOKUP(A113,'Data shares'!$C$2:$CV$215,98,0)</f>
        <v>80352000</v>
      </c>
      <c r="C113" s="82">
        <f>VLOOKUP(A113,'Data shares'!$C$2:$CX$215,100,0)</f>
        <v>79650</v>
      </c>
      <c r="D113" s="141">
        <f>VLOOKUP(A113,'Data shares'!$C$2:$CY$538,101,0)</f>
        <v>1E-3</v>
      </c>
      <c r="E113" s="86">
        <f>VLOOKUP($A113,'Data shares'!$C:$FA,74)</f>
        <v>49729950</v>
      </c>
      <c r="F113" s="86">
        <f>VLOOKUP($A113,'Data shares'!$C:$FA,76)</f>
        <v>243000</v>
      </c>
      <c r="G113" s="87">
        <f>VLOOKUP(A113,'Data shares'!$C$2:$CA$215,77,0)</f>
        <v>4.8999999999999998E-3</v>
      </c>
      <c r="H113" s="86">
        <f>VLOOKUP($A113,'Data shares'!$C:$FA,90)</f>
        <v>20084625</v>
      </c>
      <c r="I113" s="86">
        <f>VLOOKUP($A113,'Data shares'!$C:$FA,92)</f>
        <v>-348975</v>
      </c>
      <c r="J113" s="87">
        <f>VLOOKUP($A113,'Data shares'!$C:$FA,93)</f>
        <v>-1.7100000000000001E-2</v>
      </c>
      <c r="K113" s="86">
        <f>VLOOKUP($A113,'Data shares'!$C:$FA,94)</f>
        <v>10537425</v>
      </c>
      <c r="L113" s="86">
        <f>VLOOKUP($A113,'Data shares'!$C:$FA,96)</f>
        <v>185625</v>
      </c>
      <c r="M113" s="87">
        <f>VLOOKUP($A113,'Data shares'!$C:$FA,97)</f>
        <v>1.7899999999999999E-2</v>
      </c>
      <c r="N113" s="86">
        <f>VLOOKUP($A113,'Data shares'!$C:$FA,78)</f>
        <v>46311075</v>
      </c>
      <c r="O113" s="87">
        <f>VLOOKUP($A113,'Data shares'!$C:$FA,81)</f>
        <v>-1.4200000000000001E-2</v>
      </c>
    </row>
    <row r="114" spans="1:15" x14ac:dyDescent="0.25">
      <c r="A114" s="100" t="str">
        <f>'OI(Value)'!A114</f>
        <v>JUBLFOOD</v>
      </c>
      <c r="B114" s="82">
        <f>VLOOKUP(A114,'Data shares'!$C$2:$CV$215,98,0)</f>
        <v>44387500</v>
      </c>
      <c r="C114" s="82">
        <f>VLOOKUP(A114,'Data shares'!$C$2:$CX$215,100,0)</f>
        <v>-511250</v>
      </c>
      <c r="D114" s="141">
        <f>VLOOKUP(A114,'Data shares'!$C$2:$CY$538,101,0)</f>
        <v>-1.14E-2</v>
      </c>
      <c r="E114" s="86">
        <f>VLOOKUP($A114,'Data shares'!$C:$FA,74)</f>
        <v>22183750</v>
      </c>
      <c r="F114" s="86">
        <f>VLOOKUP($A114,'Data shares'!$C:$FA,76)</f>
        <v>-41250</v>
      </c>
      <c r="G114" s="87">
        <f>VLOOKUP(A114,'Data shares'!$C$2:$CA$215,77,0)</f>
        <v>-1.9E-3</v>
      </c>
      <c r="H114" s="86">
        <f>VLOOKUP($A114,'Data shares'!$C:$FA,90)</f>
        <v>13881250</v>
      </c>
      <c r="I114" s="86">
        <f>VLOOKUP($A114,'Data shares'!$C:$FA,92)</f>
        <v>-643750</v>
      </c>
      <c r="J114" s="87">
        <f>VLOOKUP($A114,'Data shares'!$C:$FA,93)</f>
        <v>-4.4299999999999999E-2</v>
      </c>
      <c r="K114" s="86">
        <f>VLOOKUP($A114,'Data shares'!$C:$FA,94)</f>
        <v>8322500</v>
      </c>
      <c r="L114" s="86">
        <f>VLOOKUP($A114,'Data shares'!$C:$FA,96)</f>
        <v>173750</v>
      </c>
      <c r="M114" s="87">
        <f>VLOOKUP($A114,'Data shares'!$C:$FA,97)</f>
        <v>2.1299999999999999E-2</v>
      </c>
      <c r="N114" s="86">
        <f>VLOOKUP($A114,'Data shares'!$C:$FA,78)</f>
        <v>19538750</v>
      </c>
      <c r="O114" s="87">
        <f>VLOOKUP($A114,'Data shares'!$C:$FA,81)</f>
        <v>-1.01E-2</v>
      </c>
    </row>
    <row r="115" spans="1:15" x14ac:dyDescent="0.25">
      <c r="A115" s="100" t="str">
        <f>'OI(Value)'!A115</f>
        <v>KALYANKJIL</v>
      </c>
      <c r="B115" s="82">
        <f>VLOOKUP(A115,'Data shares'!$C$2:$CV$215,98,0)</f>
        <v>52312175</v>
      </c>
      <c r="C115" s="82">
        <f>VLOOKUP(A115,'Data shares'!$C$2:$CX$215,100,0)</f>
        <v>533450</v>
      </c>
      <c r="D115" s="141">
        <f>VLOOKUP(A115,'Data shares'!$C$2:$CY$538,101,0)</f>
        <v>1.03E-2</v>
      </c>
      <c r="E115" s="86">
        <f>VLOOKUP($A115,'Data shares'!$C:$FA,74)</f>
        <v>34076175</v>
      </c>
      <c r="F115" s="86">
        <f>VLOOKUP($A115,'Data shares'!$C:$FA,76)</f>
        <v>91650</v>
      </c>
      <c r="G115" s="87">
        <f>VLOOKUP(A115,'Data shares'!$C$2:$CA$215,77,0)</f>
        <v>2.7000000000000001E-3</v>
      </c>
      <c r="H115" s="86">
        <f>VLOOKUP($A115,'Data shares'!$C:$FA,90)</f>
        <v>11785250</v>
      </c>
      <c r="I115" s="86">
        <f>VLOOKUP($A115,'Data shares'!$C:$FA,92)</f>
        <v>310200</v>
      </c>
      <c r="J115" s="87">
        <f>VLOOKUP($A115,'Data shares'!$C:$FA,93)</f>
        <v>2.7E-2</v>
      </c>
      <c r="K115" s="86">
        <f>VLOOKUP($A115,'Data shares'!$C:$FA,94)</f>
        <v>6450750</v>
      </c>
      <c r="L115" s="86">
        <f>VLOOKUP($A115,'Data shares'!$C:$FA,96)</f>
        <v>131600</v>
      </c>
      <c r="M115" s="87">
        <f>VLOOKUP($A115,'Data shares'!$C:$FA,97)</f>
        <v>2.0799999999999999E-2</v>
      </c>
      <c r="N115" s="86">
        <f>VLOOKUP($A115,'Data shares'!$C:$FA,78)</f>
        <v>32607425</v>
      </c>
      <c r="O115" s="87">
        <f>VLOOKUP($A115,'Data shares'!$C:$FA,81)</f>
        <v>1.1000000000000001E-3</v>
      </c>
    </row>
    <row r="116" spans="1:15" x14ac:dyDescent="0.25">
      <c r="A116" s="100" t="str">
        <f>'OI(Value)'!A116</f>
        <v>KAYNES</v>
      </c>
      <c r="B116" s="82">
        <f>VLOOKUP(A116,'Data shares'!$C$2:$CV$215,98,0)</f>
        <v>15138700</v>
      </c>
      <c r="C116" s="82">
        <f>VLOOKUP(A116,'Data shares'!$C$2:$CX$215,100,0)</f>
        <v>-364300</v>
      </c>
      <c r="D116" s="141">
        <f>VLOOKUP(A116,'Data shares'!$C$2:$CY$538,101,0)</f>
        <v>-2.35E-2</v>
      </c>
      <c r="E116" s="86">
        <f>VLOOKUP($A116,'Data shares'!$C:$FA,74)</f>
        <v>3691200</v>
      </c>
      <c r="F116" s="86">
        <f>VLOOKUP($A116,'Data shares'!$C:$FA,76)</f>
        <v>-126300</v>
      </c>
      <c r="G116" s="87">
        <f>VLOOKUP(A116,'Data shares'!$C$2:$CA$215,77,0)</f>
        <v>-3.3099999999999997E-2</v>
      </c>
      <c r="H116" s="86">
        <f>VLOOKUP($A116,'Data shares'!$C:$FA,90)</f>
        <v>8229700</v>
      </c>
      <c r="I116" s="86">
        <f>VLOOKUP($A116,'Data shares'!$C:$FA,92)</f>
        <v>-122900</v>
      </c>
      <c r="J116" s="87">
        <f>VLOOKUP($A116,'Data shares'!$C:$FA,93)</f>
        <v>-1.47E-2</v>
      </c>
      <c r="K116" s="86">
        <f>VLOOKUP($A116,'Data shares'!$C:$FA,94)</f>
        <v>3217800</v>
      </c>
      <c r="L116" s="86">
        <f>VLOOKUP($A116,'Data shares'!$C:$FA,96)</f>
        <v>-115100</v>
      </c>
      <c r="M116" s="87">
        <f>VLOOKUP($A116,'Data shares'!$C:$FA,97)</f>
        <v>-3.4500000000000003E-2</v>
      </c>
      <c r="N116" s="86">
        <f>VLOOKUP($A116,'Data shares'!$C:$FA,78)</f>
        <v>3106700</v>
      </c>
      <c r="O116" s="87">
        <f>VLOOKUP($A116,'Data shares'!$C:$FA,81)</f>
        <v>-5.0700000000000002E-2</v>
      </c>
    </row>
    <row r="117" spans="1:15" x14ac:dyDescent="0.25">
      <c r="A117" s="100" t="str">
        <f>'OI(Value)'!A117</f>
        <v>KEI</v>
      </c>
      <c r="B117" s="82">
        <f>VLOOKUP(A117,'Data shares'!$C$2:$CV$215,98,0)</f>
        <v>2308075</v>
      </c>
      <c r="C117" s="82">
        <f>VLOOKUP(A117,'Data shares'!$C$2:$CX$215,100,0)</f>
        <v>6650</v>
      </c>
      <c r="D117" s="141">
        <f>VLOOKUP(A117,'Data shares'!$C$2:$CY$538,101,0)</f>
        <v>2.8999999999999998E-3</v>
      </c>
      <c r="E117" s="86">
        <f>VLOOKUP($A117,'Data shares'!$C:$FA,74)</f>
        <v>1185100</v>
      </c>
      <c r="F117" s="86">
        <f>VLOOKUP($A117,'Data shares'!$C:$FA,76)</f>
        <v>28350</v>
      </c>
      <c r="G117" s="87">
        <f>VLOOKUP(A117,'Data shares'!$C$2:$CA$215,77,0)</f>
        <v>2.4500000000000001E-2</v>
      </c>
      <c r="H117" s="86">
        <f>VLOOKUP($A117,'Data shares'!$C:$FA,90)</f>
        <v>662375</v>
      </c>
      <c r="I117" s="86">
        <f>VLOOKUP($A117,'Data shares'!$C:$FA,92)</f>
        <v>-22050</v>
      </c>
      <c r="J117" s="87">
        <f>VLOOKUP($A117,'Data shares'!$C:$FA,93)</f>
        <v>-3.2199999999999999E-2</v>
      </c>
      <c r="K117" s="86">
        <f>VLOOKUP($A117,'Data shares'!$C:$FA,94)</f>
        <v>460600</v>
      </c>
      <c r="L117" s="86">
        <f>VLOOKUP($A117,'Data shares'!$C:$FA,96)</f>
        <v>350</v>
      </c>
      <c r="M117" s="87">
        <f>VLOOKUP($A117,'Data shares'!$C:$FA,97)</f>
        <v>8.0000000000000004E-4</v>
      </c>
      <c r="N117" s="86">
        <f>VLOOKUP($A117,'Data shares'!$C:$FA,78)</f>
        <v>1072575</v>
      </c>
      <c r="O117" s="87">
        <f>VLOOKUP($A117,'Data shares'!$C:$FA,81)</f>
        <v>1.66E-2</v>
      </c>
    </row>
    <row r="118" spans="1:15" x14ac:dyDescent="0.25">
      <c r="A118" s="100" t="str">
        <f>'OI(Value)'!A118</f>
        <v>KFINTECH</v>
      </c>
      <c r="B118" s="82">
        <f>VLOOKUP(A118,'Data shares'!$C$2:$CV$215,98,0)</f>
        <v>7960000</v>
      </c>
      <c r="C118" s="82">
        <f>VLOOKUP(A118,'Data shares'!$C$2:$CX$215,100,0)</f>
        <v>-635300</v>
      </c>
      <c r="D118" s="141">
        <f>VLOOKUP(A118,'Data shares'!$C$2:$CY$538,101,0)</f>
        <v>-7.3899999999999993E-2</v>
      </c>
      <c r="E118" s="86">
        <f>VLOOKUP($A118,'Data shares'!$C:$FA,74)</f>
        <v>3513900</v>
      </c>
      <c r="F118" s="86">
        <f>VLOOKUP($A118,'Data shares'!$C:$FA,76)</f>
        <v>-166550</v>
      </c>
      <c r="G118" s="87">
        <f>VLOOKUP(A118,'Data shares'!$C$2:$CA$215,77,0)</f>
        <v>-4.53E-2</v>
      </c>
      <c r="H118" s="86">
        <f>VLOOKUP($A118,'Data shares'!$C:$FA,90)</f>
        <v>2506150</v>
      </c>
      <c r="I118" s="86">
        <f>VLOOKUP($A118,'Data shares'!$C:$FA,92)</f>
        <v>-490000</v>
      </c>
      <c r="J118" s="87">
        <f>VLOOKUP($A118,'Data shares'!$C:$FA,93)</f>
        <v>-0.16350000000000001</v>
      </c>
      <c r="K118" s="86">
        <f>VLOOKUP($A118,'Data shares'!$C:$FA,94)</f>
        <v>1939950</v>
      </c>
      <c r="L118" s="86">
        <f>VLOOKUP($A118,'Data shares'!$C:$FA,96)</f>
        <v>21250</v>
      </c>
      <c r="M118" s="87">
        <f>VLOOKUP($A118,'Data shares'!$C:$FA,97)</f>
        <v>1.11E-2</v>
      </c>
      <c r="N118" s="86">
        <f>VLOOKUP($A118,'Data shares'!$C:$FA,78)</f>
        <v>3186900</v>
      </c>
      <c r="O118" s="87">
        <f>VLOOKUP($A118,'Data shares'!$C:$FA,81)</f>
        <v>-4.0500000000000001E-2</v>
      </c>
    </row>
    <row r="119" spans="1:15" x14ac:dyDescent="0.25">
      <c r="A119" s="100" t="str">
        <f>'OI(Value)'!A119</f>
        <v>KOTAKBANK</v>
      </c>
      <c r="B119" s="82">
        <f>VLOOKUP(A119,'Data shares'!$C$2:$CV$215,98,0)</f>
        <v>57247600</v>
      </c>
      <c r="C119" s="82">
        <f>VLOOKUP(A119,'Data shares'!$C$2:$CX$215,100,0)</f>
        <v>222000</v>
      </c>
      <c r="D119" s="141">
        <f>VLOOKUP(A119,'Data shares'!$C$2:$CY$538,101,0)</f>
        <v>3.8999999999999998E-3</v>
      </c>
      <c r="E119" s="86">
        <f>VLOOKUP($A119,'Data shares'!$C:$FA,74)</f>
        <v>40759600</v>
      </c>
      <c r="F119" s="86">
        <f>VLOOKUP($A119,'Data shares'!$C:$FA,76)</f>
        <v>327600</v>
      </c>
      <c r="G119" s="87">
        <f>VLOOKUP(A119,'Data shares'!$C$2:$CA$215,77,0)</f>
        <v>8.0999999999999996E-3</v>
      </c>
      <c r="H119" s="86">
        <f>VLOOKUP($A119,'Data shares'!$C:$FA,90)</f>
        <v>8965600</v>
      </c>
      <c r="I119" s="86">
        <f>VLOOKUP($A119,'Data shares'!$C:$FA,92)</f>
        <v>-22400</v>
      </c>
      <c r="J119" s="87">
        <f>VLOOKUP($A119,'Data shares'!$C:$FA,93)</f>
        <v>-2.5000000000000001E-3</v>
      </c>
      <c r="K119" s="86">
        <f>VLOOKUP($A119,'Data shares'!$C:$FA,94)</f>
        <v>7522400</v>
      </c>
      <c r="L119" s="86">
        <f>VLOOKUP($A119,'Data shares'!$C:$FA,96)</f>
        <v>-83200</v>
      </c>
      <c r="M119" s="87">
        <f>VLOOKUP($A119,'Data shares'!$C:$FA,97)</f>
        <v>-1.09E-2</v>
      </c>
      <c r="N119" s="86">
        <f>VLOOKUP($A119,'Data shares'!$C:$FA,78)</f>
        <v>33310000</v>
      </c>
      <c r="O119" s="87">
        <f>VLOOKUP($A119,'Data shares'!$C:$FA,81)</f>
        <v>-4.1700000000000001E-2</v>
      </c>
    </row>
    <row r="120" spans="1:15" x14ac:dyDescent="0.25">
      <c r="A120" s="100" t="str">
        <f>'OI(Value)'!A120</f>
        <v>KPITTECH</v>
      </c>
      <c r="B120" s="82">
        <f>VLOOKUP(A120,'Data shares'!$C$2:$CV$215,98,0)</f>
        <v>8216050</v>
      </c>
      <c r="C120" s="82">
        <f>VLOOKUP(A120,'Data shares'!$C$2:$CX$215,100,0)</f>
        <v>121400</v>
      </c>
      <c r="D120" s="141">
        <f>VLOOKUP(A120,'Data shares'!$C$2:$CY$538,101,0)</f>
        <v>1.4999999999999999E-2</v>
      </c>
      <c r="E120" s="86">
        <f>VLOOKUP($A120,'Data shares'!$C:$FA,74)</f>
        <v>3847575</v>
      </c>
      <c r="F120" s="86">
        <f>VLOOKUP($A120,'Data shares'!$C:$FA,76)</f>
        <v>5125</v>
      </c>
      <c r="G120" s="87">
        <f>VLOOKUP(A120,'Data shares'!$C$2:$CA$215,77,0)</f>
        <v>1.2999999999999999E-3</v>
      </c>
      <c r="H120" s="86">
        <f>VLOOKUP($A120,'Data shares'!$C:$FA,90)</f>
        <v>2778600</v>
      </c>
      <c r="I120" s="86">
        <f>VLOOKUP($A120,'Data shares'!$C:$FA,92)</f>
        <v>100600</v>
      </c>
      <c r="J120" s="87">
        <f>VLOOKUP($A120,'Data shares'!$C:$FA,93)</f>
        <v>3.7600000000000001E-2</v>
      </c>
      <c r="K120" s="86">
        <f>VLOOKUP($A120,'Data shares'!$C:$FA,94)</f>
        <v>1589875</v>
      </c>
      <c r="L120" s="86">
        <f>VLOOKUP($A120,'Data shares'!$C:$FA,96)</f>
        <v>15675</v>
      </c>
      <c r="M120" s="87">
        <f>VLOOKUP($A120,'Data shares'!$C:$FA,97)</f>
        <v>0.01</v>
      </c>
      <c r="N120" s="86">
        <f>VLOOKUP($A120,'Data shares'!$C:$FA,78)</f>
        <v>3480800</v>
      </c>
      <c r="O120" s="87">
        <f>VLOOKUP($A120,'Data shares'!$C:$FA,81)</f>
        <v>-5.8999999999999999E-3</v>
      </c>
    </row>
    <row r="121" spans="1:15" x14ac:dyDescent="0.25">
      <c r="A121" s="100" t="str">
        <f>'OI(Value)'!A121</f>
        <v>LAURUSLABS</v>
      </c>
      <c r="B121" s="82">
        <f>VLOOKUP(A121,'Data shares'!$C$2:$CV$215,98,0)</f>
        <v>29672650</v>
      </c>
      <c r="C121" s="82">
        <f>VLOOKUP(A121,'Data shares'!$C$2:$CX$215,100,0)</f>
        <v>-331500</v>
      </c>
      <c r="D121" s="141">
        <f>VLOOKUP(A121,'Data shares'!$C$2:$CY$538,101,0)</f>
        <v>-1.0999999999999999E-2</v>
      </c>
      <c r="E121" s="86">
        <f>VLOOKUP($A121,'Data shares'!$C:$FA,74)</f>
        <v>16144050</v>
      </c>
      <c r="F121" s="86">
        <f>VLOOKUP($A121,'Data shares'!$C:$FA,76)</f>
        <v>-152150</v>
      </c>
      <c r="G121" s="87">
        <f>VLOOKUP(A121,'Data shares'!$C$2:$CA$215,77,0)</f>
        <v>-9.2999999999999992E-3</v>
      </c>
      <c r="H121" s="86">
        <f>VLOOKUP($A121,'Data shares'!$C:$FA,90)</f>
        <v>8601150</v>
      </c>
      <c r="I121" s="86">
        <f>VLOOKUP($A121,'Data shares'!$C:$FA,92)</f>
        <v>-248200</v>
      </c>
      <c r="J121" s="87">
        <f>VLOOKUP($A121,'Data shares'!$C:$FA,93)</f>
        <v>-2.8000000000000001E-2</v>
      </c>
      <c r="K121" s="86">
        <f>VLOOKUP($A121,'Data shares'!$C:$FA,94)</f>
        <v>4927450</v>
      </c>
      <c r="L121" s="86">
        <f>VLOOKUP($A121,'Data shares'!$C:$FA,96)</f>
        <v>68850</v>
      </c>
      <c r="M121" s="87">
        <f>VLOOKUP($A121,'Data shares'!$C:$FA,97)</f>
        <v>1.4200000000000001E-2</v>
      </c>
      <c r="N121" s="86">
        <f>VLOOKUP($A121,'Data shares'!$C:$FA,78)</f>
        <v>14406650</v>
      </c>
      <c r="O121" s="87">
        <f>VLOOKUP($A121,'Data shares'!$C:$FA,81)</f>
        <v>-2.92E-2</v>
      </c>
    </row>
    <row r="122" spans="1:15" x14ac:dyDescent="0.25">
      <c r="A122" s="100" t="str">
        <f>'OI(Value)'!A122</f>
        <v>LICHSGFIN</v>
      </c>
      <c r="B122" s="82">
        <f>VLOOKUP(A122,'Data shares'!$C$2:$CV$215,98,0)</f>
        <v>54835000</v>
      </c>
      <c r="C122" s="82">
        <f>VLOOKUP(A122,'Data shares'!$C$2:$CX$215,100,0)</f>
        <v>320000</v>
      </c>
      <c r="D122" s="141">
        <f>VLOOKUP(A122,'Data shares'!$C$2:$CY$538,101,0)</f>
        <v>5.8999999999999999E-3</v>
      </c>
      <c r="E122" s="86">
        <f>VLOOKUP($A122,'Data shares'!$C:$FA,74)</f>
        <v>36293000</v>
      </c>
      <c r="F122" s="86">
        <f>VLOOKUP($A122,'Data shares'!$C:$FA,76)</f>
        <v>520000</v>
      </c>
      <c r="G122" s="87">
        <f>VLOOKUP(A122,'Data shares'!$C$2:$CA$215,77,0)</f>
        <v>1.4500000000000001E-2</v>
      </c>
      <c r="H122" s="86">
        <f>VLOOKUP($A122,'Data shares'!$C:$FA,90)</f>
        <v>10461000</v>
      </c>
      <c r="I122" s="86">
        <f>VLOOKUP($A122,'Data shares'!$C:$FA,92)</f>
        <v>-271000</v>
      </c>
      <c r="J122" s="87">
        <f>VLOOKUP($A122,'Data shares'!$C:$FA,93)</f>
        <v>-2.53E-2</v>
      </c>
      <c r="K122" s="86">
        <f>VLOOKUP($A122,'Data shares'!$C:$FA,94)</f>
        <v>8081000</v>
      </c>
      <c r="L122" s="86">
        <f>VLOOKUP($A122,'Data shares'!$C:$FA,96)</f>
        <v>71000</v>
      </c>
      <c r="M122" s="87">
        <f>VLOOKUP($A122,'Data shares'!$C:$FA,97)</f>
        <v>8.8999999999999999E-3</v>
      </c>
      <c r="N122" s="86">
        <f>VLOOKUP($A122,'Data shares'!$C:$FA,78)</f>
        <v>32811000</v>
      </c>
      <c r="O122" s="87">
        <f>VLOOKUP($A122,'Data shares'!$C:$FA,81)</f>
        <v>2.0000000000000001E-4</v>
      </c>
    </row>
    <row r="123" spans="1:15" x14ac:dyDescent="0.25">
      <c r="A123" s="100" t="str">
        <f>'OI(Value)'!A123</f>
        <v>LICI</v>
      </c>
      <c r="B123" s="82">
        <f>VLOOKUP(A123,'Data shares'!$C$2:$CV$215,98,0)</f>
        <v>26332600</v>
      </c>
      <c r="C123" s="82">
        <f>VLOOKUP(A123,'Data shares'!$C$2:$CX$215,100,0)</f>
        <v>738500</v>
      </c>
      <c r="D123" s="141">
        <f>VLOOKUP(A123,'Data shares'!$C$2:$CY$538,101,0)</f>
        <v>2.8899999999999999E-2</v>
      </c>
      <c r="E123" s="86">
        <f>VLOOKUP($A123,'Data shares'!$C:$FA,74)</f>
        <v>12119800</v>
      </c>
      <c r="F123" s="86">
        <f>VLOOKUP($A123,'Data shares'!$C:$FA,76)</f>
        <v>568400</v>
      </c>
      <c r="G123" s="87">
        <f>VLOOKUP(A123,'Data shares'!$C$2:$CA$215,77,0)</f>
        <v>4.9200000000000001E-2</v>
      </c>
      <c r="H123" s="86">
        <f>VLOOKUP($A123,'Data shares'!$C:$FA,90)</f>
        <v>9540300</v>
      </c>
      <c r="I123" s="86">
        <f>VLOOKUP($A123,'Data shares'!$C:$FA,92)</f>
        <v>25900</v>
      </c>
      <c r="J123" s="87">
        <f>VLOOKUP($A123,'Data shares'!$C:$FA,93)</f>
        <v>2.7000000000000001E-3</v>
      </c>
      <c r="K123" s="86">
        <f>VLOOKUP($A123,'Data shares'!$C:$FA,94)</f>
        <v>4672500</v>
      </c>
      <c r="L123" s="86">
        <f>VLOOKUP($A123,'Data shares'!$C:$FA,96)</f>
        <v>144200</v>
      </c>
      <c r="M123" s="87">
        <f>VLOOKUP($A123,'Data shares'!$C:$FA,97)</f>
        <v>3.1800000000000002E-2</v>
      </c>
      <c r="N123" s="86">
        <f>VLOOKUP($A123,'Data shares'!$C:$FA,78)</f>
        <v>10159800</v>
      </c>
      <c r="O123" s="87">
        <f>VLOOKUP($A123,'Data shares'!$C:$FA,81)</f>
        <v>3.1699999999999999E-2</v>
      </c>
    </row>
    <row r="124" spans="1:15" x14ac:dyDescent="0.25">
      <c r="A124" s="100" t="str">
        <f>'OI(Value)'!A124</f>
        <v>LODHA</v>
      </c>
      <c r="B124" s="82">
        <f>VLOOKUP(A124,'Data shares'!$C$2:$CV$215,98,0)</f>
        <v>20659950</v>
      </c>
      <c r="C124" s="82">
        <f>VLOOKUP(A124,'Data shares'!$C$2:$CX$215,100,0)</f>
        <v>-563850</v>
      </c>
      <c r="D124" s="141">
        <f>VLOOKUP(A124,'Data shares'!$C$2:$CY$538,101,0)</f>
        <v>-2.6599999999999999E-2</v>
      </c>
      <c r="E124" s="86">
        <f>VLOOKUP($A124,'Data shares'!$C:$FA,74)</f>
        <v>13113900</v>
      </c>
      <c r="F124" s="86">
        <f>VLOOKUP($A124,'Data shares'!$C:$FA,76)</f>
        <v>-59850</v>
      </c>
      <c r="G124" s="87">
        <f>VLOOKUP(A124,'Data shares'!$C$2:$CA$215,77,0)</f>
        <v>-4.4999999999999997E-3</v>
      </c>
      <c r="H124" s="86">
        <f>VLOOKUP($A124,'Data shares'!$C:$FA,90)</f>
        <v>5134950</v>
      </c>
      <c r="I124" s="86">
        <f>VLOOKUP($A124,'Data shares'!$C:$FA,92)</f>
        <v>-601200</v>
      </c>
      <c r="J124" s="87">
        <f>VLOOKUP($A124,'Data shares'!$C:$FA,93)</f>
        <v>-0.1048</v>
      </c>
      <c r="K124" s="86">
        <f>VLOOKUP($A124,'Data shares'!$C:$FA,94)</f>
        <v>2411100</v>
      </c>
      <c r="L124" s="86">
        <f>VLOOKUP($A124,'Data shares'!$C:$FA,96)</f>
        <v>97200</v>
      </c>
      <c r="M124" s="87">
        <f>VLOOKUP($A124,'Data shares'!$C:$FA,97)</f>
        <v>4.2000000000000003E-2</v>
      </c>
      <c r="N124" s="86">
        <f>VLOOKUP($A124,'Data shares'!$C:$FA,78)</f>
        <v>12124350</v>
      </c>
      <c r="O124" s="87">
        <f>VLOOKUP($A124,'Data shares'!$C:$FA,81)</f>
        <v>-1.5599999999999999E-2</v>
      </c>
    </row>
    <row r="125" spans="1:15" x14ac:dyDescent="0.25">
      <c r="A125" s="100" t="str">
        <f>'OI(Value)'!A125</f>
        <v>LT</v>
      </c>
      <c r="B125" s="82">
        <f>VLOOKUP(A125,'Data shares'!$C$2:$CV$215,98,0)</f>
        <v>22728300</v>
      </c>
      <c r="C125" s="82">
        <f>VLOOKUP(A125,'Data shares'!$C$2:$CX$215,100,0)</f>
        <v>130025</v>
      </c>
      <c r="D125" s="141">
        <f>VLOOKUP(A125,'Data shares'!$C$2:$CY$538,101,0)</f>
        <v>5.7999999999999996E-3</v>
      </c>
      <c r="E125" s="86">
        <f>VLOOKUP($A125,'Data shares'!$C:$FA,74)</f>
        <v>13849150</v>
      </c>
      <c r="F125" s="86">
        <f>VLOOKUP($A125,'Data shares'!$C:$FA,76)</f>
        <v>176925</v>
      </c>
      <c r="G125" s="87">
        <f>VLOOKUP(A125,'Data shares'!$C$2:$CA$215,77,0)</f>
        <v>1.29E-2</v>
      </c>
      <c r="H125" s="86">
        <f>VLOOKUP($A125,'Data shares'!$C:$FA,90)</f>
        <v>5701500</v>
      </c>
      <c r="I125" s="86">
        <f>VLOOKUP($A125,'Data shares'!$C:$FA,92)</f>
        <v>13650</v>
      </c>
      <c r="J125" s="87">
        <f>VLOOKUP($A125,'Data shares'!$C:$FA,93)</f>
        <v>2.3999999999999998E-3</v>
      </c>
      <c r="K125" s="86">
        <f>VLOOKUP($A125,'Data shares'!$C:$FA,94)</f>
        <v>3177650</v>
      </c>
      <c r="L125" s="86">
        <f>VLOOKUP($A125,'Data shares'!$C:$FA,96)</f>
        <v>-60550</v>
      </c>
      <c r="M125" s="87">
        <f>VLOOKUP($A125,'Data shares'!$C:$FA,97)</f>
        <v>-1.8700000000000001E-2</v>
      </c>
      <c r="N125" s="86">
        <f>VLOOKUP($A125,'Data shares'!$C:$FA,78)</f>
        <v>11049150</v>
      </c>
      <c r="O125" s="87">
        <f>VLOOKUP($A125,'Data shares'!$C:$FA,81)</f>
        <v>-5.7599999999999998E-2</v>
      </c>
    </row>
    <row r="126" spans="1:15" x14ac:dyDescent="0.25">
      <c r="A126" s="100" t="str">
        <f>'OI(Value)'!A126</f>
        <v>LTF</v>
      </c>
      <c r="B126" s="82">
        <f>VLOOKUP(A126,'Data shares'!$C$2:$CV$215,98,0)</f>
        <v>102761676</v>
      </c>
      <c r="C126" s="82">
        <f>VLOOKUP(A126,'Data shares'!$C$2:$CX$215,100,0)</f>
        <v>643470</v>
      </c>
      <c r="D126" s="141">
        <f>VLOOKUP(A126,'Data shares'!$C$2:$CY$538,101,0)</f>
        <v>6.3E-3</v>
      </c>
      <c r="E126" s="86">
        <f>VLOOKUP($A126,'Data shares'!$C:$FA,74)</f>
        <v>41187852</v>
      </c>
      <c r="F126" s="86">
        <f>VLOOKUP($A126,'Data shares'!$C:$FA,76)</f>
        <v>591348</v>
      </c>
      <c r="G126" s="87">
        <f>VLOOKUP(A126,'Data shares'!$C$2:$CA$215,77,0)</f>
        <v>1.46E-2</v>
      </c>
      <c r="H126" s="86">
        <f>VLOOKUP($A126,'Data shares'!$C:$FA,90)</f>
        <v>37593358</v>
      </c>
      <c r="I126" s="86">
        <f>VLOOKUP($A126,'Data shares'!$C:$FA,92)</f>
        <v>134270</v>
      </c>
      <c r="J126" s="87">
        <f>VLOOKUP($A126,'Data shares'!$C:$FA,93)</f>
        <v>3.5999999999999999E-3</v>
      </c>
      <c r="K126" s="86">
        <f>VLOOKUP($A126,'Data shares'!$C:$FA,94)</f>
        <v>23980466</v>
      </c>
      <c r="L126" s="86">
        <f>VLOOKUP($A126,'Data shares'!$C:$FA,96)</f>
        <v>-82148</v>
      </c>
      <c r="M126" s="87">
        <f>VLOOKUP($A126,'Data shares'!$C:$FA,97)</f>
        <v>-3.3999999999999998E-3</v>
      </c>
      <c r="N126" s="86">
        <f>VLOOKUP($A126,'Data shares'!$C:$FA,78)</f>
        <v>38913102</v>
      </c>
      <c r="O126" s="87">
        <f>VLOOKUP($A126,'Data shares'!$C:$FA,81)</f>
        <v>1.4999999999999999E-2</v>
      </c>
    </row>
    <row r="127" spans="1:15" x14ac:dyDescent="0.25">
      <c r="A127" s="100" t="str">
        <f>'OI(Value)'!A127</f>
        <v>LTIM</v>
      </c>
      <c r="B127" s="82">
        <f>VLOOKUP(A127,'Data shares'!$C$2:$CV$215,98,0)</f>
        <v>4157550</v>
      </c>
      <c r="C127" s="82">
        <f>VLOOKUP(A127,'Data shares'!$C$2:$CX$215,100,0)</f>
        <v>197700</v>
      </c>
      <c r="D127" s="141">
        <f>VLOOKUP(A127,'Data shares'!$C$2:$CY$538,101,0)</f>
        <v>4.99E-2</v>
      </c>
      <c r="E127" s="86">
        <f>VLOOKUP($A127,'Data shares'!$C:$FA,74)</f>
        <v>2401500</v>
      </c>
      <c r="F127" s="86">
        <f>VLOOKUP($A127,'Data shares'!$C:$FA,76)</f>
        <v>93750</v>
      </c>
      <c r="G127" s="87">
        <f>VLOOKUP(A127,'Data shares'!$C$2:$CA$215,77,0)</f>
        <v>4.0599999999999997E-2</v>
      </c>
      <c r="H127" s="86">
        <f>VLOOKUP($A127,'Data shares'!$C:$FA,90)</f>
        <v>992550</v>
      </c>
      <c r="I127" s="86">
        <f>VLOOKUP($A127,'Data shares'!$C:$FA,92)</f>
        <v>69450</v>
      </c>
      <c r="J127" s="87">
        <f>VLOOKUP($A127,'Data shares'!$C:$FA,93)</f>
        <v>7.5200000000000003E-2</v>
      </c>
      <c r="K127" s="86">
        <f>VLOOKUP($A127,'Data shares'!$C:$FA,94)</f>
        <v>763500</v>
      </c>
      <c r="L127" s="86">
        <f>VLOOKUP($A127,'Data shares'!$C:$FA,96)</f>
        <v>34500</v>
      </c>
      <c r="M127" s="87">
        <f>VLOOKUP($A127,'Data shares'!$C:$FA,97)</f>
        <v>4.7300000000000002E-2</v>
      </c>
      <c r="N127" s="86">
        <f>VLOOKUP($A127,'Data shares'!$C:$FA,78)</f>
        <v>2157900</v>
      </c>
      <c r="O127" s="87">
        <f>VLOOKUP($A127,'Data shares'!$C:$FA,81)</f>
        <v>0.02</v>
      </c>
    </row>
    <row r="128" spans="1:15" x14ac:dyDescent="0.25">
      <c r="A128" s="100" t="str">
        <f>'OI(Value)'!A128</f>
        <v>LUPIN</v>
      </c>
      <c r="B128" s="82">
        <f>VLOOKUP(A128,'Data shares'!$C$2:$CV$215,98,0)</f>
        <v>12431675</v>
      </c>
      <c r="C128" s="82">
        <f>VLOOKUP(A128,'Data shares'!$C$2:$CX$215,100,0)</f>
        <v>-91800</v>
      </c>
      <c r="D128" s="141">
        <f>VLOOKUP(A128,'Data shares'!$C$2:$CY$538,101,0)</f>
        <v>-7.3000000000000001E-3</v>
      </c>
      <c r="E128" s="86">
        <f>VLOOKUP($A128,'Data shares'!$C:$FA,74)</f>
        <v>7176550</v>
      </c>
      <c r="F128" s="86">
        <f>VLOOKUP($A128,'Data shares'!$C:$FA,76)</f>
        <v>-46750</v>
      </c>
      <c r="G128" s="87">
        <f>VLOOKUP(A128,'Data shares'!$C$2:$CA$215,77,0)</f>
        <v>-6.4999999999999997E-3</v>
      </c>
      <c r="H128" s="86">
        <f>VLOOKUP($A128,'Data shares'!$C:$FA,90)</f>
        <v>2922300</v>
      </c>
      <c r="I128" s="86">
        <f>VLOOKUP($A128,'Data shares'!$C:$FA,92)</f>
        <v>-84150</v>
      </c>
      <c r="J128" s="87">
        <f>VLOOKUP($A128,'Data shares'!$C:$FA,93)</f>
        <v>-2.8000000000000001E-2</v>
      </c>
      <c r="K128" s="86">
        <f>VLOOKUP($A128,'Data shares'!$C:$FA,94)</f>
        <v>2332825</v>
      </c>
      <c r="L128" s="86">
        <f>VLOOKUP($A128,'Data shares'!$C:$FA,96)</f>
        <v>39100</v>
      </c>
      <c r="M128" s="87">
        <f>VLOOKUP($A128,'Data shares'!$C:$FA,97)</f>
        <v>1.7000000000000001E-2</v>
      </c>
      <c r="N128" s="86">
        <f>VLOOKUP($A128,'Data shares'!$C:$FA,78)</f>
        <v>6764725</v>
      </c>
      <c r="O128" s="87">
        <f>VLOOKUP($A128,'Data shares'!$C:$FA,81)</f>
        <v>-2.0500000000000001E-2</v>
      </c>
    </row>
    <row r="129" spans="1:15" x14ac:dyDescent="0.25">
      <c r="A129" s="100" t="str">
        <f>'OI(Value)'!A129</f>
        <v>M&amp;M</v>
      </c>
      <c r="B129" s="82">
        <f>VLOOKUP(A129,'Data shares'!$C$2:$CV$215,98,0)</f>
        <v>29124800</v>
      </c>
      <c r="C129" s="82">
        <f>VLOOKUP(A129,'Data shares'!$C$2:$CX$215,100,0)</f>
        <v>406400</v>
      </c>
      <c r="D129" s="141">
        <f>VLOOKUP(A129,'Data shares'!$C$2:$CY$538,101,0)</f>
        <v>1.4200000000000001E-2</v>
      </c>
      <c r="E129" s="86">
        <f>VLOOKUP($A129,'Data shares'!$C:$FA,74)</f>
        <v>18601400</v>
      </c>
      <c r="F129" s="86">
        <f>VLOOKUP($A129,'Data shares'!$C:$FA,76)</f>
        <v>147400</v>
      </c>
      <c r="G129" s="87">
        <f>VLOOKUP(A129,'Data shares'!$C$2:$CA$215,77,0)</f>
        <v>8.0000000000000002E-3</v>
      </c>
      <c r="H129" s="86">
        <f>VLOOKUP($A129,'Data shares'!$C:$FA,90)</f>
        <v>6836600</v>
      </c>
      <c r="I129" s="86">
        <f>VLOOKUP($A129,'Data shares'!$C:$FA,92)</f>
        <v>150000</v>
      </c>
      <c r="J129" s="87">
        <f>VLOOKUP($A129,'Data shares'!$C:$FA,93)</f>
        <v>2.24E-2</v>
      </c>
      <c r="K129" s="86">
        <f>VLOOKUP($A129,'Data shares'!$C:$FA,94)</f>
        <v>3686800</v>
      </c>
      <c r="L129" s="86">
        <f>VLOOKUP($A129,'Data shares'!$C:$FA,96)</f>
        <v>109000</v>
      </c>
      <c r="M129" s="87">
        <f>VLOOKUP($A129,'Data shares'!$C:$FA,97)</f>
        <v>3.0499999999999999E-2</v>
      </c>
      <c r="N129" s="86">
        <f>VLOOKUP($A129,'Data shares'!$C:$FA,78)</f>
        <v>15906800</v>
      </c>
      <c r="O129" s="87">
        <f>VLOOKUP($A129,'Data shares'!$C:$FA,81)</f>
        <v>-4.2200000000000001E-2</v>
      </c>
    </row>
    <row r="130" spans="1:15" x14ac:dyDescent="0.25">
      <c r="A130" s="100" t="str">
        <f>'OI(Value)'!A130</f>
        <v>MANAPPURAM</v>
      </c>
      <c r="B130" s="82">
        <f>VLOOKUP(A130,'Data shares'!$C$2:$CV$215,98,0)</f>
        <v>70836000</v>
      </c>
      <c r="C130" s="82">
        <f>VLOOKUP(A130,'Data shares'!$C$2:$CX$215,100,0)</f>
        <v>1824000</v>
      </c>
      <c r="D130" s="141">
        <f>VLOOKUP(A130,'Data shares'!$C$2:$CY$538,101,0)</f>
        <v>2.64E-2</v>
      </c>
      <c r="E130" s="86">
        <f>VLOOKUP($A130,'Data shares'!$C:$FA,74)</f>
        <v>39015000</v>
      </c>
      <c r="F130" s="86">
        <f>VLOOKUP($A130,'Data shares'!$C:$FA,76)</f>
        <v>-537000</v>
      </c>
      <c r="G130" s="87">
        <f>VLOOKUP(A130,'Data shares'!$C$2:$CA$215,77,0)</f>
        <v>-1.3599999999999999E-2</v>
      </c>
      <c r="H130" s="86">
        <f>VLOOKUP($A130,'Data shares'!$C:$FA,90)</f>
        <v>20064000</v>
      </c>
      <c r="I130" s="86">
        <f>VLOOKUP($A130,'Data shares'!$C:$FA,92)</f>
        <v>2349000</v>
      </c>
      <c r="J130" s="87">
        <f>VLOOKUP($A130,'Data shares'!$C:$FA,93)</f>
        <v>0.1326</v>
      </c>
      <c r="K130" s="86">
        <f>VLOOKUP($A130,'Data shares'!$C:$FA,94)</f>
        <v>11757000</v>
      </c>
      <c r="L130" s="86">
        <f>VLOOKUP($A130,'Data shares'!$C:$FA,96)</f>
        <v>12000</v>
      </c>
      <c r="M130" s="87">
        <f>VLOOKUP($A130,'Data shares'!$C:$FA,97)</f>
        <v>1E-3</v>
      </c>
      <c r="N130" s="86">
        <f>VLOOKUP($A130,'Data shares'!$C:$FA,78)</f>
        <v>36918000</v>
      </c>
      <c r="O130" s="87">
        <f>VLOOKUP($A130,'Data shares'!$C:$FA,81)</f>
        <v>-1.9800000000000002E-2</v>
      </c>
    </row>
    <row r="131" spans="1:15" x14ac:dyDescent="0.25">
      <c r="A131" s="100" t="str">
        <f>'OI(Value)'!A131</f>
        <v>MANKIND</v>
      </c>
      <c r="B131" s="82">
        <f>VLOOKUP(A131,'Data shares'!$C$2:$CV$215,98,0)</f>
        <v>4274550</v>
      </c>
      <c r="C131" s="82">
        <f>VLOOKUP(A131,'Data shares'!$C$2:$CX$215,100,0)</f>
        <v>-134550</v>
      </c>
      <c r="D131" s="141">
        <f>VLOOKUP(A131,'Data shares'!$C$2:$CY$538,101,0)</f>
        <v>-3.0499999999999999E-2</v>
      </c>
      <c r="E131" s="86">
        <f>VLOOKUP($A131,'Data shares'!$C:$FA,74)</f>
        <v>2664900</v>
      </c>
      <c r="F131" s="86">
        <f>VLOOKUP($A131,'Data shares'!$C:$FA,76)</f>
        <v>2925</v>
      </c>
      <c r="G131" s="87">
        <f>VLOOKUP(A131,'Data shares'!$C$2:$CA$215,77,0)</f>
        <v>1.1000000000000001E-3</v>
      </c>
      <c r="H131" s="86">
        <f>VLOOKUP($A131,'Data shares'!$C:$FA,90)</f>
        <v>1050525</v>
      </c>
      <c r="I131" s="86">
        <f>VLOOKUP($A131,'Data shares'!$C:$FA,92)</f>
        <v>-128475</v>
      </c>
      <c r="J131" s="87">
        <f>VLOOKUP($A131,'Data shares'!$C:$FA,93)</f>
        <v>-0.109</v>
      </c>
      <c r="K131" s="86">
        <f>VLOOKUP($A131,'Data shares'!$C:$FA,94)</f>
        <v>559125</v>
      </c>
      <c r="L131" s="86">
        <f>VLOOKUP($A131,'Data shares'!$C:$FA,96)</f>
        <v>-9000</v>
      </c>
      <c r="M131" s="87">
        <f>VLOOKUP($A131,'Data shares'!$C:$FA,97)</f>
        <v>-1.5800000000000002E-2</v>
      </c>
      <c r="N131" s="86">
        <f>VLOOKUP($A131,'Data shares'!$C:$FA,78)</f>
        <v>2408625</v>
      </c>
      <c r="O131" s="87">
        <f>VLOOKUP($A131,'Data shares'!$C:$FA,81)</f>
        <v>-1.8200000000000001E-2</v>
      </c>
    </row>
    <row r="132" spans="1:15" x14ac:dyDescent="0.25">
      <c r="A132" s="100" t="str">
        <f>'OI(Value)'!A132</f>
        <v>MARICO</v>
      </c>
      <c r="B132" s="82">
        <f>VLOOKUP(A132,'Data shares'!$C$2:$CV$215,98,0)</f>
        <v>43657200</v>
      </c>
      <c r="C132" s="82">
        <f>VLOOKUP(A132,'Data shares'!$C$2:$CX$215,100,0)</f>
        <v>-758400</v>
      </c>
      <c r="D132" s="141">
        <f>VLOOKUP(A132,'Data shares'!$C$2:$CY$538,101,0)</f>
        <v>-1.7100000000000001E-2</v>
      </c>
      <c r="E132" s="86">
        <f>VLOOKUP($A132,'Data shares'!$C:$FA,74)</f>
        <v>33601200</v>
      </c>
      <c r="F132" s="86">
        <f>VLOOKUP($A132,'Data shares'!$C:$FA,76)</f>
        <v>-343200</v>
      </c>
      <c r="G132" s="87">
        <f>VLOOKUP(A132,'Data shares'!$C$2:$CA$215,77,0)</f>
        <v>-1.01E-2</v>
      </c>
      <c r="H132" s="86">
        <f>VLOOKUP($A132,'Data shares'!$C:$FA,90)</f>
        <v>6104400</v>
      </c>
      <c r="I132" s="86">
        <f>VLOOKUP($A132,'Data shares'!$C:$FA,92)</f>
        <v>-416400</v>
      </c>
      <c r="J132" s="87">
        <f>VLOOKUP($A132,'Data shares'!$C:$FA,93)</f>
        <v>-6.3899999999999998E-2</v>
      </c>
      <c r="K132" s="86">
        <f>VLOOKUP($A132,'Data shares'!$C:$FA,94)</f>
        <v>3951600</v>
      </c>
      <c r="L132" s="86">
        <f>VLOOKUP($A132,'Data shares'!$C:$FA,96)</f>
        <v>1200</v>
      </c>
      <c r="M132" s="87">
        <f>VLOOKUP($A132,'Data shares'!$C:$FA,97)</f>
        <v>2.9999999999999997E-4</v>
      </c>
      <c r="N132" s="86">
        <f>VLOOKUP($A132,'Data shares'!$C:$FA,78)</f>
        <v>33318000</v>
      </c>
      <c r="O132" s="87">
        <f>VLOOKUP($A132,'Data shares'!$C:$FA,81)</f>
        <v>-1.1299999999999999E-2</v>
      </c>
    </row>
    <row r="133" spans="1:15" x14ac:dyDescent="0.25">
      <c r="A133" s="100" t="str">
        <f>'OI(Value)'!A133</f>
        <v>MARUTI</v>
      </c>
      <c r="B133" s="82">
        <f>VLOOKUP(A133,'Data shares'!$C$2:$CV$215,98,0)</f>
        <v>5947500</v>
      </c>
      <c r="C133" s="82">
        <f>VLOOKUP(A133,'Data shares'!$C$2:$CX$215,100,0)</f>
        <v>-54600</v>
      </c>
      <c r="D133" s="141">
        <f>VLOOKUP(A133,'Data shares'!$C$2:$CY$538,101,0)</f>
        <v>-9.1000000000000004E-3</v>
      </c>
      <c r="E133" s="86">
        <f>VLOOKUP($A133,'Data shares'!$C:$FA,74)</f>
        <v>2870600</v>
      </c>
      <c r="F133" s="86">
        <f>VLOOKUP($A133,'Data shares'!$C:$FA,76)</f>
        <v>16350</v>
      </c>
      <c r="G133" s="87">
        <f>VLOOKUP(A133,'Data shares'!$C$2:$CA$215,77,0)</f>
        <v>5.7000000000000002E-3</v>
      </c>
      <c r="H133" s="86">
        <f>VLOOKUP($A133,'Data shares'!$C:$FA,90)</f>
        <v>1599950</v>
      </c>
      <c r="I133" s="86">
        <f>VLOOKUP($A133,'Data shares'!$C:$FA,92)</f>
        <v>-14150</v>
      </c>
      <c r="J133" s="87">
        <f>VLOOKUP($A133,'Data shares'!$C:$FA,93)</f>
        <v>-8.8000000000000005E-3</v>
      </c>
      <c r="K133" s="86">
        <f>VLOOKUP($A133,'Data shares'!$C:$FA,94)</f>
        <v>1476950</v>
      </c>
      <c r="L133" s="86">
        <f>VLOOKUP($A133,'Data shares'!$C:$FA,96)</f>
        <v>-56800</v>
      </c>
      <c r="M133" s="87">
        <f>VLOOKUP($A133,'Data shares'!$C:$FA,97)</f>
        <v>-3.6999999999999998E-2</v>
      </c>
      <c r="N133" s="86">
        <f>VLOOKUP($A133,'Data shares'!$C:$FA,78)</f>
        <v>2569100</v>
      </c>
      <c r="O133" s="87">
        <f>VLOOKUP($A133,'Data shares'!$C:$FA,81)</f>
        <v>-1.72E-2</v>
      </c>
    </row>
    <row r="134" spans="1:15" x14ac:dyDescent="0.25">
      <c r="A134" s="100" t="str">
        <f>'OI(Value)'!A134</f>
        <v>MAXHEALTH</v>
      </c>
      <c r="B134" s="82">
        <f>VLOOKUP(A134,'Data shares'!$C$2:$CV$215,98,0)</f>
        <v>30499875</v>
      </c>
      <c r="C134" s="82">
        <f>VLOOKUP(A134,'Data shares'!$C$2:$CX$215,100,0)</f>
        <v>-375375</v>
      </c>
      <c r="D134" s="141">
        <f>VLOOKUP(A134,'Data shares'!$C$2:$CY$538,101,0)</f>
        <v>-1.2200000000000001E-2</v>
      </c>
      <c r="E134" s="86">
        <f>VLOOKUP($A134,'Data shares'!$C:$FA,74)</f>
        <v>20565300</v>
      </c>
      <c r="F134" s="86">
        <f>VLOOKUP($A134,'Data shares'!$C:$FA,76)</f>
        <v>842625</v>
      </c>
      <c r="G134" s="87">
        <f>VLOOKUP(A134,'Data shares'!$C$2:$CA$215,77,0)</f>
        <v>4.2700000000000002E-2</v>
      </c>
      <c r="H134" s="86">
        <f>VLOOKUP($A134,'Data shares'!$C:$FA,90)</f>
        <v>6305775</v>
      </c>
      <c r="I134" s="86">
        <f>VLOOKUP($A134,'Data shares'!$C:$FA,92)</f>
        <v>-999600</v>
      </c>
      <c r="J134" s="87">
        <f>VLOOKUP($A134,'Data shares'!$C:$FA,93)</f>
        <v>-0.1368</v>
      </c>
      <c r="K134" s="86">
        <f>VLOOKUP($A134,'Data shares'!$C:$FA,94)</f>
        <v>3628800</v>
      </c>
      <c r="L134" s="86">
        <f>VLOOKUP($A134,'Data shares'!$C:$FA,96)</f>
        <v>-218400</v>
      </c>
      <c r="M134" s="87">
        <f>VLOOKUP($A134,'Data shares'!$C:$FA,97)</f>
        <v>-5.6800000000000003E-2</v>
      </c>
      <c r="N134" s="86">
        <f>VLOOKUP($A134,'Data shares'!$C:$FA,78)</f>
        <v>18665325</v>
      </c>
      <c r="O134" s="87">
        <f>VLOOKUP($A134,'Data shares'!$C:$FA,81)</f>
        <v>2.5000000000000001E-3</v>
      </c>
    </row>
    <row r="135" spans="1:15" x14ac:dyDescent="0.25">
      <c r="A135" s="100" t="str">
        <f>'OI(Value)'!A135</f>
        <v>MAZDOCK</v>
      </c>
      <c r="B135" s="82">
        <f>VLOOKUP(A135,'Data shares'!$C$2:$CV$215,98,0)</f>
        <v>10519150</v>
      </c>
      <c r="C135" s="82">
        <f>VLOOKUP(A135,'Data shares'!$C$2:$CX$215,100,0)</f>
        <v>-60900</v>
      </c>
      <c r="D135" s="141">
        <f>VLOOKUP(A135,'Data shares'!$C$2:$CY$538,101,0)</f>
        <v>-5.7999999999999996E-3</v>
      </c>
      <c r="E135" s="86">
        <f>VLOOKUP($A135,'Data shares'!$C:$FA,74)</f>
        <v>4562200</v>
      </c>
      <c r="F135" s="86">
        <f>VLOOKUP($A135,'Data shares'!$C:$FA,76)</f>
        <v>-22350</v>
      </c>
      <c r="G135" s="87">
        <f>VLOOKUP(A135,'Data shares'!$C$2:$CA$215,77,0)</f>
        <v>-4.8999999999999998E-3</v>
      </c>
      <c r="H135" s="86">
        <f>VLOOKUP($A135,'Data shares'!$C:$FA,90)</f>
        <v>4116200</v>
      </c>
      <c r="I135" s="86">
        <f>VLOOKUP($A135,'Data shares'!$C:$FA,92)</f>
        <v>-90700</v>
      </c>
      <c r="J135" s="87">
        <f>VLOOKUP($A135,'Data shares'!$C:$FA,93)</f>
        <v>-2.1600000000000001E-2</v>
      </c>
      <c r="K135" s="86">
        <f>VLOOKUP($A135,'Data shares'!$C:$FA,94)</f>
        <v>1840750</v>
      </c>
      <c r="L135" s="86">
        <f>VLOOKUP($A135,'Data shares'!$C:$FA,96)</f>
        <v>52150</v>
      </c>
      <c r="M135" s="87">
        <f>VLOOKUP($A135,'Data shares'!$C:$FA,97)</f>
        <v>2.92E-2</v>
      </c>
      <c r="N135" s="86">
        <f>VLOOKUP($A135,'Data shares'!$C:$FA,78)</f>
        <v>4047400</v>
      </c>
      <c r="O135" s="87">
        <f>VLOOKUP($A135,'Data shares'!$C:$FA,81)</f>
        <v>-8.9999999999999993E-3</v>
      </c>
    </row>
    <row r="136" spans="1:15" x14ac:dyDescent="0.25">
      <c r="A136" s="100" t="str">
        <f>'OI(Value)'!A136</f>
        <v>MCX</v>
      </c>
      <c r="B136" s="82">
        <f>VLOOKUP(A136,'Data shares'!$C$2:$CV$215,98,0)</f>
        <v>7756500</v>
      </c>
      <c r="C136" s="82">
        <f>VLOOKUP(A136,'Data shares'!$C$2:$CX$215,100,0)</f>
        <v>-270000</v>
      </c>
      <c r="D136" s="141">
        <f>VLOOKUP(A136,'Data shares'!$C$2:$CY$538,101,0)</f>
        <v>-3.3599999999999998E-2</v>
      </c>
      <c r="E136" s="86">
        <f>VLOOKUP($A136,'Data shares'!$C:$FA,74)</f>
        <v>2899875</v>
      </c>
      <c r="F136" s="86">
        <f>VLOOKUP($A136,'Data shares'!$C:$FA,76)</f>
        <v>11125</v>
      </c>
      <c r="G136" s="87">
        <f>VLOOKUP(A136,'Data shares'!$C$2:$CA$215,77,0)</f>
        <v>3.8999999999999998E-3</v>
      </c>
      <c r="H136" s="86">
        <f>VLOOKUP($A136,'Data shares'!$C:$FA,90)</f>
        <v>2907625</v>
      </c>
      <c r="I136" s="86">
        <f>VLOOKUP($A136,'Data shares'!$C:$FA,92)</f>
        <v>-234375</v>
      </c>
      <c r="J136" s="87">
        <f>VLOOKUP($A136,'Data shares'!$C:$FA,93)</f>
        <v>-7.46E-2</v>
      </c>
      <c r="K136" s="86">
        <f>VLOOKUP($A136,'Data shares'!$C:$FA,94)</f>
        <v>1949000</v>
      </c>
      <c r="L136" s="86">
        <f>VLOOKUP($A136,'Data shares'!$C:$FA,96)</f>
        <v>-46750</v>
      </c>
      <c r="M136" s="87">
        <f>VLOOKUP($A136,'Data shares'!$C:$FA,97)</f>
        <v>-2.3400000000000001E-2</v>
      </c>
      <c r="N136" s="86">
        <f>VLOOKUP($A136,'Data shares'!$C:$FA,78)</f>
        <v>2567750</v>
      </c>
      <c r="O136" s="87">
        <f>VLOOKUP($A136,'Data shares'!$C:$FA,81)</f>
        <v>-4.0000000000000002E-4</v>
      </c>
    </row>
    <row r="137" spans="1:15" x14ac:dyDescent="0.25">
      <c r="A137" s="100" t="str">
        <f>'OI(Value)'!A137</f>
        <v>MFSL</v>
      </c>
      <c r="B137" s="82">
        <f>VLOOKUP(A137,'Data shares'!$C$2:$CV$215,98,0)</f>
        <v>10818400</v>
      </c>
      <c r="C137" s="82">
        <f>VLOOKUP(A137,'Data shares'!$C$2:$CX$215,100,0)</f>
        <v>9600</v>
      </c>
      <c r="D137" s="141">
        <f>VLOOKUP(A137,'Data shares'!$C$2:$CY$538,101,0)</f>
        <v>8.9999999999999998E-4</v>
      </c>
      <c r="E137" s="86">
        <f>VLOOKUP($A137,'Data shares'!$C:$FA,74)</f>
        <v>7978400</v>
      </c>
      <c r="F137" s="86">
        <f>VLOOKUP($A137,'Data shares'!$C:$FA,76)</f>
        <v>28400</v>
      </c>
      <c r="G137" s="87">
        <f>VLOOKUP(A137,'Data shares'!$C$2:$CA$215,77,0)</f>
        <v>3.5999999999999999E-3</v>
      </c>
      <c r="H137" s="86">
        <f>VLOOKUP($A137,'Data shares'!$C:$FA,90)</f>
        <v>1829200</v>
      </c>
      <c r="I137" s="86">
        <f>VLOOKUP($A137,'Data shares'!$C:$FA,92)</f>
        <v>-35600</v>
      </c>
      <c r="J137" s="87">
        <f>VLOOKUP($A137,'Data shares'!$C:$FA,93)</f>
        <v>-1.9099999999999999E-2</v>
      </c>
      <c r="K137" s="86">
        <f>VLOOKUP($A137,'Data shares'!$C:$FA,94)</f>
        <v>1010800</v>
      </c>
      <c r="L137" s="86">
        <f>VLOOKUP($A137,'Data shares'!$C:$FA,96)</f>
        <v>16800</v>
      </c>
      <c r="M137" s="87">
        <f>VLOOKUP($A137,'Data shares'!$C:$FA,97)</f>
        <v>1.6899999999999998E-2</v>
      </c>
      <c r="N137" s="86">
        <f>VLOOKUP($A137,'Data shares'!$C:$FA,78)</f>
        <v>7775200</v>
      </c>
      <c r="O137" s="87">
        <f>VLOOKUP($A137,'Data shares'!$C:$FA,81)</f>
        <v>-3.3E-3</v>
      </c>
    </row>
    <row r="138" spans="1:15" x14ac:dyDescent="0.25">
      <c r="A138" s="100" t="str">
        <f>'OI(Value)'!A138</f>
        <v>MIDCPNIFTY</v>
      </c>
      <c r="B138" s="82">
        <f>VLOOKUP(A138,'Data shares'!$C$2:$CV$215,98,0)</f>
        <v>22409540</v>
      </c>
      <c r="C138" s="82">
        <f>VLOOKUP(A138,'Data shares'!$C$2:$CX$215,100,0)</f>
        <v>-22620</v>
      </c>
      <c r="D138" s="141">
        <f>VLOOKUP(A138,'Data shares'!$C$2:$CY$538,101,0)</f>
        <v>-1E-3</v>
      </c>
      <c r="E138" s="86">
        <f>VLOOKUP($A138,'Data shares'!$C:$FA,74)</f>
        <v>2510880</v>
      </c>
      <c r="F138" s="86">
        <f>VLOOKUP($A138,'Data shares'!$C:$FA,76)</f>
        <v>-35760</v>
      </c>
      <c r="G138" s="87">
        <f>VLOOKUP(A138,'Data shares'!$C$2:$CA$215,77,0)</f>
        <v>-1.4E-2</v>
      </c>
      <c r="H138" s="86">
        <f>VLOOKUP($A138,'Data shares'!$C:$FA,90)</f>
        <v>10325440</v>
      </c>
      <c r="I138" s="86">
        <f>VLOOKUP($A138,'Data shares'!$C:$FA,92)</f>
        <v>-363780</v>
      </c>
      <c r="J138" s="87">
        <f>VLOOKUP($A138,'Data shares'!$C:$FA,93)</f>
        <v>-3.4000000000000002E-2</v>
      </c>
      <c r="K138" s="86">
        <f>VLOOKUP($A138,'Data shares'!$C:$FA,94)</f>
        <v>9573220</v>
      </c>
      <c r="L138" s="86">
        <f>VLOOKUP($A138,'Data shares'!$C:$FA,96)</f>
        <v>376920</v>
      </c>
      <c r="M138" s="87">
        <f>VLOOKUP($A138,'Data shares'!$C:$FA,97)</f>
        <v>4.1000000000000002E-2</v>
      </c>
      <c r="N138" s="86">
        <f>VLOOKUP($A138,'Data shares'!$C:$FA,78)</f>
        <v>2358720</v>
      </c>
      <c r="O138" s="87">
        <f>VLOOKUP($A138,'Data shares'!$C:$FA,81)</f>
        <v>-2.1299999999999999E-2</v>
      </c>
    </row>
    <row r="139" spans="1:15" x14ac:dyDescent="0.25">
      <c r="A139" s="100" t="str">
        <f>'OI(Value)'!A139</f>
        <v>MOTHERSON</v>
      </c>
      <c r="B139" s="82">
        <f>VLOOKUP(A139,'Data shares'!$C$2:$CV$215,98,0)</f>
        <v>291270150</v>
      </c>
      <c r="C139" s="82">
        <f>VLOOKUP(A139,'Data shares'!$C$2:$CX$215,100,0)</f>
        <v>-7921200</v>
      </c>
      <c r="D139" s="141">
        <f>VLOOKUP(A139,'Data shares'!$C$2:$CY$538,101,0)</f>
        <v>-2.6499999999999999E-2</v>
      </c>
      <c r="E139" s="86">
        <f>VLOOKUP($A139,'Data shares'!$C:$FA,74)</f>
        <v>191332650</v>
      </c>
      <c r="F139" s="86">
        <f>VLOOKUP($A139,'Data shares'!$C:$FA,76)</f>
        <v>1137750</v>
      </c>
      <c r="G139" s="87">
        <f>VLOOKUP(A139,'Data shares'!$C$2:$CA$215,77,0)</f>
        <v>6.0000000000000001E-3</v>
      </c>
      <c r="H139" s="86">
        <f>VLOOKUP($A139,'Data shares'!$C:$FA,90)</f>
        <v>59365950</v>
      </c>
      <c r="I139" s="86">
        <f>VLOOKUP($A139,'Data shares'!$C:$FA,92)</f>
        <v>-1691250</v>
      </c>
      <c r="J139" s="87">
        <f>VLOOKUP($A139,'Data shares'!$C:$FA,93)</f>
        <v>-2.7699999999999999E-2</v>
      </c>
      <c r="K139" s="86">
        <f>VLOOKUP($A139,'Data shares'!$C:$FA,94)</f>
        <v>40571550</v>
      </c>
      <c r="L139" s="86">
        <f>VLOOKUP($A139,'Data shares'!$C:$FA,96)</f>
        <v>-7367700</v>
      </c>
      <c r="M139" s="87">
        <f>VLOOKUP($A139,'Data shares'!$C:$FA,97)</f>
        <v>-0.1537</v>
      </c>
      <c r="N139" s="86">
        <f>VLOOKUP($A139,'Data shares'!$C:$FA,78)</f>
        <v>181683300</v>
      </c>
      <c r="O139" s="87">
        <f>VLOOKUP($A139,'Data shares'!$C:$FA,81)</f>
        <v>-5.7000000000000002E-3</v>
      </c>
    </row>
    <row r="140" spans="1:15" x14ac:dyDescent="0.25">
      <c r="A140" s="100" t="str">
        <f>'OI(Value)'!A140</f>
        <v>MPHASIS</v>
      </c>
      <c r="B140" s="82">
        <f>VLOOKUP(A140,'Data shares'!$C$2:$CV$215,98,0)</f>
        <v>9034850</v>
      </c>
      <c r="C140" s="82">
        <f>VLOOKUP(A140,'Data shares'!$C$2:$CX$215,100,0)</f>
        <v>209550</v>
      </c>
      <c r="D140" s="141">
        <f>VLOOKUP(A140,'Data shares'!$C$2:$CY$538,101,0)</f>
        <v>2.3699999999999999E-2</v>
      </c>
      <c r="E140" s="86">
        <f>VLOOKUP($A140,'Data shares'!$C:$FA,74)</f>
        <v>6394850</v>
      </c>
      <c r="F140" s="86">
        <f>VLOOKUP($A140,'Data shares'!$C:$FA,76)</f>
        <v>-14850</v>
      </c>
      <c r="G140" s="87">
        <f>VLOOKUP(A140,'Data shares'!$C$2:$CA$215,77,0)</f>
        <v>-2.3E-3</v>
      </c>
      <c r="H140" s="86">
        <f>VLOOKUP($A140,'Data shares'!$C:$FA,90)</f>
        <v>1507550</v>
      </c>
      <c r="I140" s="86">
        <f>VLOOKUP($A140,'Data shares'!$C:$FA,92)</f>
        <v>139975</v>
      </c>
      <c r="J140" s="87">
        <f>VLOOKUP($A140,'Data shares'!$C:$FA,93)</f>
        <v>0.1024</v>
      </c>
      <c r="K140" s="86">
        <f>VLOOKUP($A140,'Data shares'!$C:$FA,94)</f>
        <v>1132450</v>
      </c>
      <c r="L140" s="86">
        <f>VLOOKUP($A140,'Data shares'!$C:$FA,96)</f>
        <v>84425</v>
      </c>
      <c r="M140" s="87">
        <f>VLOOKUP($A140,'Data shares'!$C:$FA,97)</f>
        <v>8.0600000000000005E-2</v>
      </c>
      <c r="N140" s="86">
        <f>VLOOKUP($A140,'Data shares'!$C:$FA,78)</f>
        <v>6210600</v>
      </c>
      <c r="O140" s="87">
        <f>VLOOKUP($A140,'Data shares'!$C:$FA,81)</f>
        <v>-9.1000000000000004E-3</v>
      </c>
    </row>
    <row r="141" spans="1:15" x14ac:dyDescent="0.25">
      <c r="A141" s="100" t="str">
        <f>'OI(Value)'!A141</f>
        <v>MUTHOOTFIN</v>
      </c>
      <c r="B141" s="82">
        <f>VLOOKUP(A141,'Data shares'!$C$2:$CV$215,98,0)</f>
        <v>8539025</v>
      </c>
      <c r="C141" s="82">
        <f>VLOOKUP(A141,'Data shares'!$C$2:$CX$215,100,0)</f>
        <v>92950</v>
      </c>
      <c r="D141" s="141">
        <f>VLOOKUP(A141,'Data shares'!$C$2:$CY$538,101,0)</f>
        <v>1.0999999999999999E-2</v>
      </c>
      <c r="E141" s="86">
        <f>VLOOKUP($A141,'Data shares'!$C:$FA,74)</f>
        <v>3381125</v>
      </c>
      <c r="F141" s="86">
        <f>VLOOKUP($A141,'Data shares'!$C:$FA,76)</f>
        <v>218625</v>
      </c>
      <c r="G141" s="87">
        <f>VLOOKUP(A141,'Data shares'!$C$2:$CA$215,77,0)</f>
        <v>6.9099999999999995E-2</v>
      </c>
      <c r="H141" s="86">
        <f>VLOOKUP($A141,'Data shares'!$C:$FA,90)</f>
        <v>3401475</v>
      </c>
      <c r="I141" s="86">
        <f>VLOOKUP($A141,'Data shares'!$C:$FA,92)</f>
        <v>-72600</v>
      </c>
      <c r="J141" s="87">
        <f>VLOOKUP($A141,'Data shares'!$C:$FA,93)</f>
        <v>-2.0899999999999998E-2</v>
      </c>
      <c r="K141" s="86">
        <f>VLOOKUP($A141,'Data shares'!$C:$FA,94)</f>
        <v>1756425</v>
      </c>
      <c r="L141" s="86">
        <f>VLOOKUP($A141,'Data shares'!$C:$FA,96)</f>
        <v>-53075</v>
      </c>
      <c r="M141" s="87">
        <f>VLOOKUP($A141,'Data shares'!$C:$FA,97)</f>
        <v>-2.93E-2</v>
      </c>
      <c r="N141" s="86">
        <f>VLOOKUP($A141,'Data shares'!$C:$FA,78)</f>
        <v>2909775</v>
      </c>
      <c r="O141" s="87">
        <f>VLOOKUP($A141,'Data shares'!$C:$FA,81)</f>
        <v>4.2900000000000001E-2</v>
      </c>
    </row>
    <row r="142" spans="1:15" x14ac:dyDescent="0.25">
      <c r="A142" s="100" t="str">
        <f>'OI(Value)'!A142</f>
        <v>NATIONALUM</v>
      </c>
      <c r="B142" s="82">
        <f>VLOOKUP(A142,'Data shares'!$C$2:$CV$215,98,0)</f>
        <v>120483750</v>
      </c>
      <c r="C142" s="82">
        <f>VLOOKUP(A142,'Data shares'!$C$2:$CX$215,100,0)</f>
        <v>-581250</v>
      </c>
      <c r="D142" s="141">
        <f>VLOOKUP(A142,'Data shares'!$C$2:$CY$538,101,0)</f>
        <v>-4.7999999999999996E-3</v>
      </c>
      <c r="E142" s="86">
        <f>VLOOKUP($A142,'Data shares'!$C:$FA,74)</f>
        <v>56797500</v>
      </c>
      <c r="F142" s="86">
        <f>VLOOKUP($A142,'Data shares'!$C:$FA,76)</f>
        <v>-2733750</v>
      </c>
      <c r="G142" s="87">
        <f>VLOOKUP(A142,'Data shares'!$C$2:$CA$215,77,0)</f>
        <v>-4.5900000000000003E-2</v>
      </c>
      <c r="H142" s="86">
        <f>VLOOKUP($A142,'Data shares'!$C:$FA,90)</f>
        <v>33956250</v>
      </c>
      <c r="I142" s="86">
        <f>VLOOKUP($A142,'Data shares'!$C:$FA,92)</f>
        <v>660000</v>
      </c>
      <c r="J142" s="87">
        <f>VLOOKUP($A142,'Data shares'!$C:$FA,93)</f>
        <v>1.9800000000000002E-2</v>
      </c>
      <c r="K142" s="86">
        <f>VLOOKUP($A142,'Data shares'!$C:$FA,94)</f>
        <v>29730000</v>
      </c>
      <c r="L142" s="86">
        <f>VLOOKUP($A142,'Data shares'!$C:$FA,96)</f>
        <v>1492500</v>
      </c>
      <c r="M142" s="87">
        <f>VLOOKUP($A142,'Data shares'!$C:$FA,97)</f>
        <v>5.2900000000000003E-2</v>
      </c>
      <c r="N142" s="86">
        <f>VLOOKUP($A142,'Data shares'!$C:$FA,78)</f>
        <v>50355000</v>
      </c>
      <c r="O142" s="87">
        <f>VLOOKUP($A142,'Data shares'!$C:$FA,81)</f>
        <v>-5.91E-2</v>
      </c>
    </row>
    <row r="143" spans="1:15" x14ac:dyDescent="0.25">
      <c r="A143" s="100" t="str">
        <f>'OI(Value)'!A143</f>
        <v>NAUKRI</v>
      </c>
      <c r="B143" s="82">
        <f>VLOOKUP(A143,'Data shares'!$C$2:$CV$215,98,0)</f>
        <v>13563750</v>
      </c>
      <c r="C143" s="82">
        <f>VLOOKUP(A143,'Data shares'!$C$2:$CX$215,100,0)</f>
        <v>-35250</v>
      </c>
      <c r="D143" s="141">
        <f>VLOOKUP(A143,'Data shares'!$C$2:$CY$538,101,0)</f>
        <v>-2.5999999999999999E-3</v>
      </c>
      <c r="E143" s="86">
        <f>VLOOKUP($A143,'Data shares'!$C:$FA,74)</f>
        <v>8539500</v>
      </c>
      <c r="F143" s="86">
        <f>VLOOKUP($A143,'Data shares'!$C:$FA,76)</f>
        <v>38250</v>
      </c>
      <c r="G143" s="87">
        <f>VLOOKUP(A143,'Data shares'!$C$2:$CA$215,77,0)</f>
        <v>4.4999999999999997E-3</v>
      </c>
      <c r="H143" s="86">
        <f>VLOOKUP($A143,'Data shares'!$C:$FA,90)</f>
        <v>2779875</v>
      </c>
      <c r="I143" s="86">
        <f>VLOOKUP($A143,'Data shares'!$C:$FA,92)</f>
        <v>4125</v>
      </c>
      <c r="J143" s="87">
        <f>VLOOKUP($A143,'Data shares'!$C:$FA,93)</f>
        <v>1.5E-3</v>
      </c>
      <c r="K143" s="86">
        <f>VLOOKUP($A143,'Data shares'!$C:$FA,94)</f>
        <v>2244375</v>
      </c>
      <c r="L143" s="86">
        <f>VLOOKUP($A143,'Data shares'!$C:$FA,96)</f>
        <v>-77625</v>
      </c>
      <c r="M143" s="87">
        <f>VLOOKUP($A143,'Data shares'!$C:$FA,97)</f>
        <v>-3.3399999999999999E-2</v>
      </c>
      <c r="N143" s="86">
        <f>VLOOKUP($A143,'Data shares'!$C:$FA,78)</f>
        <v>7869750</v>
      </c>
      <c r="O143" s="87">
        <f>VLOOKUP($A143,'Data shares'!$C:$FA,81)</f>
        <v>-3.0000000000000001E-3</v>
      </c>
    </row>
    <row r="144" spans="1:15" x14ac:dyDescent="0.25">
      <c r="A144" s="100" t="str">
        <f>'OI(Value)'!A144</f>
        <v>NBCC</v>
      </c>
      <c r="B144" s="82">
        <f>VLOOKUP(A144,'Data shares'!$C$2:$CV$215,98,0)</f>
        <v>176254000</v>
      </c>
      <c r="C144" s="82">
        <f>VLOOKUP(A144,'Data shares'!$C$2:$CX$215,100,0)</f>
        <v>7156500</v>
      </c>
      <c r="D144" s="141">
        <f>VLOOKUP(A144,'Data shares'!$C$2:$CY$538,101,0)</f>
        <v>4.2299999999999997E-2</v>
      </c>
      <c r="E144" s="86">
        <f>VLOOKUP($A144,'Data shares'!$C:$FA,74)</f>
        <v>89713000</v>
      </c>
      <c r="F144" s="86">
        <f>VLOOKUP($A144,'Data shares'!$C:$FA,76)</f>
        <v>1677000</v>
      </c>
      <c r="G144" s="87">
        <f>VLOOKUP(A144,'Data shares'!$C$2:$CA$215,77,0)</f>
        <v>1.9E-2</v>
      </c>
      <c r="H144" s="86">
        <f>VLOOKUP($A144,'Data shares'!$C:$FA,90)</f>
        <v>62257000</v>
      </c>
      <c r="I144" s="86">
        <f>VLOOKUP($A144,'Data shares'!$C:$FA,92)</f>
        <v>4504500</v>
      </c>
      <c r="J144" s="87">
        <f>VLOOKUP($A144,'Data shares'!$C:$FA,93)</f>
        <v>7.8E-2</v>
      </c>
      <c r="K144" s="86">
        <f>VLOOKUP($A144,'Data shares'!$C:$FA,94)</f>
        <v>24284000</v>
      </c>
      <c r="L144" s="86">
        <f>VLOOKUP($A144,'Data shares'!$C:$FA,96)</f>
        <v>975000</v>
      </c>
      <c r="M144" s="87">
        <f>VLOOKUP($A144,'Data shares'!$C:$FA,97)</f>
        <v>4.1799999999999997E-2</v>
      </c>
      <c r="N144" s="86">
        <f>VLOOKUP($A144,'Data shares'!$C:$FA,78)</f>
        <v>82803500</v>
      </c>
      <c r="O144" s="87">
        <f>VLOOKUP($A144,'Data shares'!$C:$FA,81)</f>
        <v>3.5999999999999999E-3</v>
      </c>
    </row>
    <row r="145" spans="1:15" x14ac:dyDescent="0.25">
      <c r="A145" s="100" t="str">
        <f>'OI(Value)'!A145</f>
        <v>NCC</v>
      </c>
      <c r="B145" s="82">
        <f>VLOOKUP(A145,'Data shares'!$C$2:$CV$215,98,0)</f>
        <v>56192400</v>
      </c>
      <c r="C145" s="82">
        <f>VLOOKUP(A145,'Data shares'!$C$2:$CX$215,100,0)</f>
        <v>197100</v>
      </c>
      <c r="D145" s="141">
        <f>VLOOKUP(A145,'Data shares'!$C$2:$CY$538,101,0)</f>
        <v>3.5000000000000001E-3</v>
      </c>
      <c r="E145" s="86">
        <f>VLOOKUP($A145,'Data shares'!$C:$FA,74)</f>
        <v>21816000</v>
      </c>
      <c r="F145" s="86">
        <f>VLOOKUP($A145,'Data shares'!$C:$FA,76)</f>
        <v>-545400</v>
      </c>
      <c r="G145" s="87">
        <f>VLOOKUP(A145,'Data shares'!$C$2:$CA$215,77,0)</f>
        <v>-2.4400000000000002E-2</v>
      </c>
      <c r="H145" s="86">
        <f>VLOOKUP($A145,'Data shares'!$C:$FA,90)</f>
        <v>24289200</v>
      </c>
      <c r="I145" s="86">
        <f>VLOOKUP($A145,'Data shares'!$C:$FA,92)</f>
        <v>599400</v>
      </c>
      <c r="J145" s="87">
        <f>VLOOKUP($A145,'Data shares'!$C:$FA,93)</f>
        <v>2.53E-2</v>
      </c>
      <c r="K145" s="86">
        <f>VLOOKUP($A145,'Data shares'!$C:$FA,94)</f>
        <v>10087200</v>
      </c>
      <c r="L145" s="86">
        <f>VLOOKUP($A145,'Data shares'!$C:$FA,96)</f>
        <v>143100</v>
      </c>
      <c r="M145" s="87">
        <f>VLOOKUP($A145,'Data shares'!$C:$FA,97)</f>
        <v>1.44E-2</v>
      </c>
      <c r="N145" s="86">
        <f>VLOOKUP($A145,'Data shares'!$C:$FA,78)</f>
        <v>21816000</v>
      </c>
      <c r="O145" s="87">
        <f>VLOOKUP($A145,'Data shares'!$C:$FA,81)</f>
        <v>-2.4400000000000002E-2</v>
      </c>
    </row>
    <row r="146" spans="1:15" x14ac:dyDescent="0.25">
      <c r="A146" s="100" t="str">
        <f>'OI(Value)'!A146</f>
        <v>NESTLEIND</v>
      </c>
      <c r="B146" s="82">
        <f>VLOOKUP(A146,'Data shares'!$C$2:$CV$215,98,0)</f>
        <v>26131500</v>
      </c>
      <c r="C146" s="82">
        <f>VLOOKUP(A146,'Data shares'!$C$2:$CX$215,100,0)</f>
        <v>61500</v>
      </c>
      <c r="D146" s="141">
        <f>VLOOKUP(A146,'Data shares'!$C$2:$CY$538,101,0)</f>
        <v>2.3999999999999998E-3</v>
      </c>
      <c r="E146" s="86">
        <f>VLOOKUP($A146,'Data shares'!$C:$FA,74)</f>
        <v>16547000</v>
      </c>
      <c r="F146" s="86">
        <f>VLOOKUP($A146,'Data shares'!$C:$FA,76)</f>
        <v>53000</v>
      </c>
      <c r="G146" s="87">
        <f>VLOOKUP(A146,'Data shares'!$C$2:$CA$215,77,0)</f>
        <v>3.2000000000000002E-3</v>
      </c>
      <c r="H146" s="86">
        <f>VLOOKUP($A146,'Data shares'!$C:$FA,90)</f>
        <v>7313500</v>
      </c>
      <c r="I146" s="86">
        <f>VLOOKUP($A146,'Data shares'!$C:$FA,92)</f>
        <v>30500</v>
      </c>
      <c r="J146" s="87">
        <f>VLOOKUP($A146,'Data shares'!$C:$FA,93)</f>
        <v>4.1999999999999997E-3</v>
      </c>
      <c r="K146" s="86">
        <f>VLOOKUP($A146,'Data shares'!$C:$FA,94)</f>
        <v>2271000</v>
      </c>
      <c r="L146" s="86">
        <f>VLOOKUP($A146,'Data shares'!$C:$FA,96)</f>
        <v>-22000</v>
      </c>
      <c r="M146" s="87">
        <f>VLOOKUP($A146,'Data shares'!$C:$FA,97)</f>
        <v>-9.5999999999999992E-3</v>
      </c>
      <c r="N146" s="86">
        <f>VLOOKUP($A146,'Data shares'!$C:$FA,78)</f>
        <v>14251000</v>
      </c>
      <c r="O146" s="87">
        <f>VLOOKUP($A146,'Data shares'!$C:$FA,81)</f>
        <v>-2.0400000000000001E-2</v>
      </c>
    </row>
    <row r="147" spans="1:15" x14ac:dyDescent="0.25">
      <c r="A147" s="100" t="str">
        <f>'OI(Value)'!A147</f>
        <v>NHPC</v>
      </c>
      <c r="B147" s="82">
        <f>VLOOKUP(A147,'Data shares'!$C$2:$CV$215,98,0)</f>
        <v>143923200</v>
      </c>
      <c r="C147" s="82">
        <f>VLOOKUP(A147,'Data shares'!$C$2:$CX$215,100,0)</f>
        <v>1990400</v>
      </c>
      <c r="D147" s="141">
        <f>VLOOKUP(A147,'Data shares'!$C$2:$CY$538,101,0)</f>
        <v>1.4E-2</v>
      </c>
      <c r="E147" s="86">
        <f>VLOOKUP($A147,'Data shares'!$C:$FA,74)</f>
        <v>75033600</v>
      </c>
      <c r="F147" s="86">
        <f>VLOOKUP($A147,'Data shares'!$C:$FA,76)</f>
        <v>896000</v>
      </c>
      <c r="G147" s="87">
        <f>VLOOKUP(A147,'Data shares'!$C$2:$CA$215,77,0)</f>
        <v>1.21E-2</v>
      </c>
      <c r="H147" s="86">
        <f>VLOOKUP($A147,'Data shares'!$C:$FA,90)</f>
        <v>47872000</v>
      </c>
      <c r="I147" s="86">
        <f>VLOOKUP($A147,'Data shares'!$C:$FA,92)</f>
        <v>960000</v>
      </c>
      <c r="J147" s="87">
        <f>VLOOKUP($A147,'Data shares'!$C:$FA,93)</f>
        <v>2.0500000000000001E-2</v>
      </c>
      <c r="K147" s="86">
        <f>VLOOKUP($A147,'Data shares'!$C:$FA,94)</f>
        <v>21017600</v>
      </c>
      <c r="L147" s="86">
        <f>VLOOKUP($A147,'Data shares'!$C:$FA,96)</f>
        <v>134400</v>
      </c>
      <c r="M147" s="87">
        <f>VLOOKUP($A147,'Data shares'!$C:$FA,97)</f>
        <v>6.4000000000000003E-3</v>
      </c>
      <c r="N147" s="86">
        <f>VLOOKUP($A147,'Data shares'!$C:$FA,78)</f>
        <v>65632000</v>
      </c>
      <c r="O147" s="87">
        <f>VLOOKUP($A147,'Data shares'!$C:$FA,81)</f>
        <v>-1.32E-2</v>
      </c>
    </row>
    <row r="148" spans="1:15" x14ac:dyDescent="0.25">
      <c r="A148" s="100" t="str">
        <f>'OI(Value)'!A148</f>
        <v>NIFTY</v>
      </c>
      <c r="B148" s="82">
        <f>VLOOKUP(A148,'Data shares'!$C$2:$CV$215,98,0)</f>
        <v>486108005</v>
      </c>
      <c r="C148" s="82">
        <f>VLOOKUP(A148,'Data shares'!$C$2:$CX$215,100,0)</f>
        <v>33054875</v>
      </c>
      <c r="D148" s="141">
        <f>VLOOKUP(A148,'Data shares'!$C$2:$CY$538,101,0)</f>
        <v>7.2999999999999995E-2</v>
      </c>
      <c r="E148" s="86">
        <f>VLOOKUP($A148,'Data shares'!$C:$FA,74)</f>
        <v>18298915</v>
      </c>
      <c r="F148" s="86">
        <f>VLOOKUP($A148,'Data shares'!$C:$FA,76)</f>
        <v>-270170</v>
      </c>
      <c r="G148" s="87">
        <f>VLOOKUP(A148,'Data shares'!$C$2:$CA$215,77,0)</f>
        <v>-1.4500000000000001E-2</v>
      </c>
      <c r="H148" s="86">
        <f>VLOOKUP($A148,'Data shares'!$C:$FA,90)</f>
        <v>255442560</v>
      </c>
      <c r="I148" s="86">
        <f>VLOOKUP($A148,'Data shares'!$C:$FA,92)</f>
        <v>9728795</v>
      </c>
      <c r="J148" s="87">
        <f>VLOOKUP($A148,'Data shares'!$C:$FA,93)</f>
        <v>3.9600000000000003E-2</v>
      </c>
      <c r="K148" s="86">
        <f>VLOOKUP($A148,'Data shares'!$C:$FA,94)</f>
        <v>212366530</v>
      </c>
      <c r="L148" s="86">
        <f>VLOOKUP($A148,'Data shares'!$C:$FA,96)</f>
        <v>23596250</v>
      </c>
      <c r="M148" s="87">
        <f>VLOOKUP($A148,'Data shares'!$C:$FA,97)</f>
        <v>0.125</v>
      </c>
      <c r="N148" s="86">
        <f>VLOOKUP($A148,'Data shares'!$C:$FA,78)</f>
        <v>16043025</v>
      </c>
      <c r="O148" s="87">
        <f>VLOOKUP($A148,'Data shares'!$C:$FA,81)</f>
        <v>-2.2599999999999999E-2</v>
      </c>
    </row>
    <row r="149" spans="1:15" x14ac:dyDescent="0.25">
      <c r="A149" s="100" t="str">
        <f>'OI(Value)'!A149</f>
        <v>NIFTYNXT50</v>
      </c>
      <c r="B149" s="82">
        <f>VLOOKUP(A149,'Data shares'!$C$2:$CV$215,98,0)</f>
        <v>64875</v>
      </c>
      <c r="C149" s="82">
        <f>VLOOKUP(A149,'Data shares'!$C$2:$CX$215,100,0)</f>
        <v>4175</v>
      </c>
      <c r="D149" s="141">
        <f>VLOOKUP(A149,'Data shares'!$C$2:$CY$538,101,0)</f>
        <v>6.88E-2</v>
      </c>
      <c r="E149" s="86">
        <f>VLOOKUP($A149,'Data shares'!$C:$FA,74)</f>
        <v>31425</v>
      </c>
      <c r="F149" s="86">
        <f>VLOOKUP($A149,'Data shares'!$C:$FA,76)</f>
        <v>1825</v>
      </c>
      <c r="G149" s="87">
        <f>VLOOKUP(A149,'Data shares'!$C$2:$CA$215,77,0)</f>
        <v>6.1699999999999998E-2</v>
      </c>
      <c r="H149" s="86">
        <f>VLOOKUP($A149,'Data shares'!$C:$FA,90)</f>
        <v>18175</v>
      </c>
      <c r="I149" s="86">
        <f>VLOOKUP($A149,'Data shares'!$C:$FA,92)</f>
        <v>2025</v>
      </c>
      <c r="J149" s="87">
        <f>VLOOKUP($A149,'Data shares'!$C:$FA,93)</f>
        <v>0.12540000000000001</v>
      </c>
      <c r="K149" s="86">
        <f>VLOOKUP($A149,'Data shares'!$C:$FA,94)</f>
        <v>15275</v>
      </c>
      <c r="L149" s="86">
        <f>VLOOKUP($A149,'Data shares'!$C:$FA,96)</f>
        <v>325</v>
      </c>
      <c r="M149" s="87">
        <f>VLOOKUP($A149,'Data shares'!$C:$FA,97)</f>
        <v>2.1700000000000001E-2</v>
      </c>
      <c r="N149" s="86">
        <f>VLOOKUP($A149,'Data shares'!$C:$FA,78)</f>
        <v>27600</v>
      </c>
      <c r="O149" s="87">
        <f>VLOOKUP($A149,'Data shares'!$C:$FA,81)</f>
        <v>5.1400000000000001E-2</v>
      </c>
    </row>
    <row r="150" spans="1:15" x14ac:dyDescent="0.25">
      <c r="A150" s="100" t="str">
        <f>'OI(Value)'!A150</f>
        <v>NMDC</v>
      </c>
      <c r="B150" s="82">
        <f>VLOOKUP(A150,'Data shares'!$C$2:$CV$215,98,0)</f>
        <v>519237000</v>
      </c>
      <c r="C150" s="82">
        <f>VLOOKUP(A150,'Data shares'!$C$2:$CX$215,100,0)</f>
        <v>1356750</v>
      </c>
      <c r="D150" s="141">
        <f>VLOOKUP(A150,'Data shares'!$C$2:$CY$538,101,0)</f>
        <v>2.5999999999999999E-3</v>
      </c>
      <c r="E150" s="86">
        <f>VLOOKUP($A150,'Data shares'!$C:$FA,74)</f>
        <v>340206750</v>
      </c>
      <c r="F150" s="86">
        <f>VLOOKUP($A150,'Data shares'!$C:$FA,76)</f>
        <v>1289250</v>
      </c>
      <c r="G150" s="87">
        <f>VLOOKUP(A150,'Data shares'!$C$2:$CA$215,77,0)</f>
        <v>3.8E-3</v>
      </c>
      <c r="H150" s="86">
        <f>VLOOKUP($A150,'Data shares'!$C:$FA,90)</f>
        <v>106373250</v>
      </c>
      <c r="I150" s="86">
        <f>VLOOKUP($A150,'Data shares'!$C:$FA,92)</f>
        <v>-209250</v>
      </c>
      <c r="J150" s="87">
        <f>VLOOKUP($A150,'Data shares'!$C:$FA,93)</f>
        <v>-2E-3</v>
      </c>
      <c r="K150" s="86">
        <f>VLOOKUP($A150,'Data shares'!$C:$FA,94)</f>
        <v>72657000</v>
      </c>
      <c r="L150" s="86">
        <f>VLOOKUP($A150,'Data shares'!$C:$FA,96)</f>
        <v>276750</v>
      </c>
      <c r="M150" s="87">
        <f>VLOOKUP($A150,'Data shares'!$C:$FA,97)</f>
        <v>3.8E-3</v>
      </c>
      <c r="N150" s="86">
        <f>VLOOKUP($A150,'Data shares'!$C:$FA,78)</f>
        <v>321691500</v>
      </c>
      <c r="O150" s="87">
        <f>VLOOKUP($A150,'Data shares'!$C:$FA,81)</f>
        <v>-2.5999999999999999E-3</v>
      </c>
    </row>
    <row r="151" spans="1:15" x14ac:dyDescent="0.25">
      <c r="A151" s="100" t="str">
        <f>'OI(Value)'!A151</f>
        <v>NTPC</v>
      </c>
      <c r="B151" s="82">
        <f>VLOOKUP(A151,'Data shares'!$C$2:$CV$215,98,0)</f>
        <v>150919500</v>
      </c>
      <c r="C151" s="82">
        <f>VLOOKUP(A151,'Data shares'!$C$2:$CX$215,100,0)</f>
        <v>2442000</v>
      </c>
      <c r="D151" s="141">
        <f>VLOOKUP(A151,'Data shares'!$C$2:$CY$538,101,0)</f>
        <v>1.6400000000000001E-2</v>
      </c>
      <c r="E151" s="86">
        <f>VLOOKUP($A151,'Data shares'!$C:$FA,74)</f>
        <v>92343000</v>
      </c>
      <c r="F151" s="86">
        <f>VLOOKUP($A151,'Data shares'!$C:$FA,76)</f>
        <v>846000</v>
      </c>
      <c r="G151" s="87">
        <f>VLOOKUP(A151,'Data shares'!$C$2:$CA$215,77,0)</f>
        <v>9.1999999999999998E-3</v>
      </c>
      <c r="H151" s="86">
        <f>VLOOKUP($A151,'Data shares'!$C:$FA,90)</f>
        <v>36501000</v>
      </c>
      <c r="I151" s="86">
        <f>VLOOKUP($A151,'Data shares'!$C:$FA,92)</f>
        <v>1287000</v>
      </c>
      <c r="J151" s="87">
        <f>VLOOKUP($A151,'Data shares'!$C:$FA,93)</f>
        <v>3.6499999999999998E-2</v>
      </c>
      <c r="K151" s="86">
        <f>VLOOKUP($A151,'Data shares'!$C:$FA,94)</f>
        <v>22075500</v>
      </c>
      <c r="L151" s="86">
        <f>VLOOKUP($A151,'Data shares'!$C:$FA,96)</f>
        <v>309000</v>
      </c>
      <c r="M151" s="87">
        <f>VLOOKUP($A151,'Data shares'!$C:$FA,97)</f>
        <v>1.4200000000000001E-2</v>
      </c>
      <c r="N151" s="86">
        <f>VLOOKUP($A151,'Data shares'!$C:$FA,78)</f>
        <v>81556500</v>
      </c>
      <c r="O151" s="87">
        <f>VLOOKUP($A151,'Data shares'!$C:$FA,81)</f>
        <v>-2.3199999999999998E-2</v>
      </c>
    </row>
    <row r="152" spans="1:15" x14ac:dyDescent="0.25">
      <c r="A152" s="100" t="str">
        <f>'OI(Value)'!A152</f>
        <v>NUVAMA</v>
      </c>
      <c r="B152" s="82">
        <f>VLOOKUP(A152,'Data shares'!$C$2:$CV$215,98,0)</f>
        <v>1108075</v>
      </c>
      <c r="C152" s="82">
        <f>VLOOKUP(A152,'Data shares'!$C$2:$CX$215,100,0)</f>
        <v>225500</v>
      </c>
      <c r="D152" s="141">
        <f>VLOOKUP(A152,'Data shares'!$C$2:$CY$538,101,0)</f>
        <v>0.2555</v>
      </c>
      <c r="E152" s="86">
        <f>VLOOKUP($A152,'Data shares'!$C:$FA,74)</f>
        <v>428350</v>
      </c>
      <c r="F152" s="86">
        <f>VLOOKUP($A152,'Data shares'!$C:$FA,76)</f>
        <v>51450</v>
      </c>
      <c r="G152" s="87">
        <f>VLOOKUP(A152,'Data shares'!$C$2:$CA$215,77,0)</f>
        <v>0.13650000000000001</v>
      </c>
      <c r="H152" s="86">
        <f>VLOOKUP($A152,'Data shares'!$C:$FA,90)</f>
        <v>448450</v>
      </c>
      <c r="I152" s="86">
        <f>VLOOKUP($A152,'Data shares'!$C:$FA,92)</f>
        <v>137175</v>
      </c>
      <c r="J152" s="87">
        <f>VLOOKUP($A152,'Data shares'!$C:$FA,93)</f>
        <v>0.44069999999999998</v>
      </c>
      <c r="K152" s="86">
        <f>VLOOKUP($A152,'Data shares'!$C:$FA,94)</f>
        <v>231275</v>
      </c>
      <c r="L152" s="86">
        <f>VLOOKUP($A152,'Data shares'!$C:$FA,96)</f>
        <v>36875</v>
      </c>
      <c r="M152" s="87">
        <f>VLOOKUP($A152,'Data shares'!$C:$FA,97)</f>
        <v>0.18970000000000001</v>
      </c>
      <c r="N152" s="86">
        <f>VLOOKUP($A152,'Data shares'!$C:$FA,78)</f>
        <v>402750</v>
      </c>
      <c r="O152" s="87">
        <f>VLOOKUP($A152,'Data shares'!$C:$FA,81)</f>
        <v>0.1216</v>
      </c>
    </row>
    <row r="153" spans="1:15" x14ac:dyDescent="0.25">
      <c r="A153" s="100" t="str">
        <f>'OI(Value)'!A153</f>
        <v>NYKAA</v>
      </c>
      <c r="B153" s="82">
        <f>VLOOKUP(A153,'Data shares'!$C$2:$CV$215,98,0)</f>
        <v>89521875</v>
      </c>
      <c r="C153" s="82">
        <f>VLOOKUP(A153,'Data shares'!$C$2:$CX$215,100,0)</f>
        <v>1418750</v>
      </c>
      <c r="D153" s="141">
        <f>VLOOKUP(A153,'Data shares'!$C$2:$CY$538,101,0)</f>
        <v>1.61E-2</v>
      </c>
      <c r="E153" s="86">
        <f>VLOOKUP($A153,'Data shares'!$C:$FA,74)</f>
        <v>57143750</v>
      </c>
      <c r="F153" s="86">
        <f>VLOOKUP($A153,'Data shares'!$C:$FA,76)</f>
        <v>575000</v>
      </c>
      <c r="G153" s="87">
        <f>VLOOKUP(A153,'Data shares'!$C$2:$CA$215,77,0)</f>
        <v>1.0200000000000001E-2</v>
      </c>
      <c r="H153" s="86">
        <f>VLOOKUP($A153,'Data shares'!$C:$FA,90)</f>
        <v>22940625</v>
      </c>
      <c r="I153" s="86">
        <f>VLOOKUP($A153,'Data shares'!$C:$FA,92)</f>
        <v>603125</v>
      </c>
      <c r="J153" s="87">
        <f>VLOOKUP($A153,'Data shares'!$C:$FA,93)</f>
        <v>2.7E-2</v>
      </c>
      <c r="K153" s="86">
        <f>VLOOKUP($A153,'Data shares'!$C:$FA,94)</f>
        <v>9437500</v>
      </c>
      <c r="L153" s="86">
        <f>VLOOKUP($A153,'Data shares'!$C:$FA,96)</f>
        <v>240625</v>
      </c>
      <c r="M153" s="87">
        <f>VLOOKUP($A153,'Data shares'!$C:$FA,97)</f>
        <v>2.6200000000000001E-2</v>
      </c>
      <c r="N153" s="86">
        <f>VLOOKUP($A153,'Data shares'!$C:$FA,78)</f>
        <v>54118750</v>
      </c>
      <c r="O153" s="87">
        <f>VLOOKUP($A153,'Data shares'!$C:$FA,81)</f>
        <v>3.3E-3</v>
      </c>
    </row>
    <row r="154" spans="1:15" x14ac:dyDescent="0.25">
      <c r="A154" s="100" t="str">
        <f>'OI(Value)'!A154</f>
        <v>OBEROIRLTY</v>
      </c>
      <c r="B154" s="82">
        <f>VLOOKUP(A154,'Data shares'!$C$2:$CV$215,98,0)</f>
        <v>8097250</v>
      </c>
      <c r="C154" s="82">
        <f>VLOOKUP(A154,'Data shares'!$C$2:$CX$215,100,0)</f>
        <v>-109900</v>
      </c>
      <c r="D154" s="141">
        <f>VLOOKUP(A154,'Data shares'!$C$2:$CY$538,101,0)</f>
        <v>-1.34E-2</v>
      </c>
      <c r="E154" s="86">
        <f>VLOOKUP($A154,'Data shares'!$C:$FA,74)</f>
        <v>4828950</v>
      </c>
      <c r="F154" s="86">
        <f>VLOOKUP($A154,'Data shares'!$C:$FA,76)</f>
        <v>49350</v>
      </c>
      <c r="G154" s="87">
        <f>VLOOKUP(A154,'Data shares'!$C$2:$CA$215,77,0)</f>
        <v>1.03E-2</v>
      </c>
      <c r="H154" s="86">
        <f>VLOOKUP($A154,'Data shares'!$C:$FA,90)</f>
        <v>1904350</v>
      </c>
      <c r="I154" s="86">
        <f>VLOOKUP($A154,'Data shares'!$C:$FA,92)</f>
        <v>-213500</v>
      </c>
      <c r="J154" s="87">
        <f>VLOOKUP($A154,'Data shares'!$C:$FA,93)</f>
        <v>-0.1008</v>
      </c>
      <c r="K154" s="86">
        <f>VLOOKUP($A154,'Data shares'!$C:$FA,94)</f>
        <v>1363950</v>
      </c>
      <c r="L154" s="86">
        <f>VLOOKUP($A154,'Data shares'!$C:$FA,96)</f>
        <v>54250</v>
      </c>
      <c r="M154" s="87">
        <f>VLOOKUP($A154,'Data shares'!$C:$FA,97)</f>
        <v>4.1399999999999999E-2</v>
      </c>
      <c r="N154" s="86">
        <f>VLOOKUP($A154,'Data shares'!$C:$FA,78)</f>
        <v>4460750</v>
      </c>
      <c r="O154" s="87">
        <f>VLOOKUP($A154,'Data shares'!$C:$FA,81)</f>
        <v>-6.8999999999999999E-3</v>
      </c>
    </row>
    <row r="155" spans="1:15" x14ac:dyDescent="0.25">
      <c r="A155" s="100" t="str">
        <f>'OI(Value)'!A155</f>
        <v>OFSS</v>
      </c>
      <c r="B155" s="82">
        <f>VLOOKUP(A155,'Data shares'!$C$2:$CV$215,98,0)</f>
        <v>2834475</v>
      </c>
      <c r="C155" s="82">
        <f>VLOOKUP(A155,'Data shares'!$C$2:$CX$215,100,0)</f>
        <v>80550</v>
      </c>
      <c r="D155" s="141">
        <f>VLOOKUP(A155,'Data shares'!$C$2:$CY$538,101,0)</f>
        <v>2.92E-2</v>
      </c>
      <c r="E155" s="86">
        <f>VLOOKUP($A155,'Data shares'!$C:$FA,74)</f>
        <v>1485675</v>
      </c>
      <c r="F155" s="86">
        <f>VLOOKUP($A155,'Data shares'!$C:$FA,76)</f>
        <v>29175</v>
      </c>
      <c r="G155" s="87">
        <f>VLOOKUP(A155,'Data shares'!$C$2:$CA$215,77,0)</f>
        <v>0.02</v>
      </c>
      <c r="H155" s="86">
        <f>VLOOKUP($A155,'Data shares'!$C:$FA,90)</f>
        <v>864225</v>
      </c>
      <c r="I155" s="86">
        <f>VLOOKUP($A155,'Data shares'!$C:$FA,92)</f>
        <v>73725</v>
      </c>
      <c r="J155" s="87">
        <f>VLOOKUP($A155,'Data shares'!$C:$FA,93)</f>
        <v>9.3299999999999994E-2</v>
      </c>
      <c r="K155" s="86">
        <f>VLOOKUP($A155,'Data shares'!$C:$FA,94)</f>
        <v>484575</v>
      </c>
      <c r="L155" s="86">
        <f>VLOOKUP($A155,'Data shares'!$C:$FA,96)</f>
        <v>-22350</v>
      </c>
      <c r="M155" s="87">
        <f>VLOOKUP($A155,'Data shares'!$C:$FA,97)</f>
        <v>-4.41E-2</v>
      </c>
      <c r="N155" s="86">
        <f>VLOOKUP($A155,'Data shares'!$C:$FA,78)</f>
        <v>1378575</v>
      </c>
      <c r="O155" s="87">
        <f>VLOOKUP($A155,'Data shares'!$C:$FA,81)</f>
        <v>1.1900000000000001E-2</v>
      </c>
    </row>
    <row r="156" spans="1:15" x14ac:dyDescent="0.25">
      <c r="A156" s="100" t="str">
        <f>'OI(Value)'!A156</f>
        <v>OIL</v>
      </c>
      <c r="B156" s="82">
        <f>VLOOKUP(A156,'Data shares'!$C$2:$CV$215,98,0)</f>
        <v>22040200</v>
      </c>
      <c r="C156" s="82">
        <f>VLOOKUP(A156,'Data shares'!$C$2:$CX$215,100,0)</f>
        <v>-263200</v>
      </c>
      <c r="D156" s="141">
        <f>VLOOKUP(A156,'Data shares'!$C$2:$CY$538,101,0)</f>
        <v>-1.18E-2</v>
      </c>
      <c r="E156" s="86">
        <f>VLOOKUP($A156,'Data shares'!$C:$FA,74)</f>
        <v>11179000</v>
      </c>
      <c r="F156" s="86">
        <f>VLOOKUP($A156,'Data shares'!$C:$FA,76)</f>
        <v>-50400</v>
      </c>
      <c r="G156" s="87">
        <f>VLOOKUP(A156,'Data shares'!$C$2:$CA$215,77,0)</f>
        <v>-4.4999999999999997E-3</v>
      </c>
      <c r="H156" s="86">
        <f>VLOOKUP($A156,'Data shares'!$C:$FA,90)</f>
        <v>7012600</v>
      </c>
      <c r="I156" s="86">
        <f>VLOOKUP($A156,'Data shares'!$C:$FA,92)</f>
        <v>-243600</v>
      </c>
      <c r="J156" s="87">
        <f>VLOOKUP($A156,'Data shares'!$C:$FA,93)</f>
        <v>-3.3599999999999998E-2</v>
      </c>
      <c r="K156" s="86">
        <f>VLOOKUP($A156,'Data shares'!$C:$FA,94)</f>
        <v>3848600</v>
      </c>
      <c r="L156" s="86">
        <f>VLOOKUP($A156,'Data shares'!$C:$FA,96)</f>
        <v>30800</v>
      </c>
      <c r="M156" s="87">
        <f>VLOOKUP($A156,'Data shares'!$C:$FA,97)</f>
        <v>8.0999999999999996E-3</v>
      </c>
      <c r="N156" s="86">
        <f>VLOOKUP($A156,'Data shares'!$C:$FA,78)</f>
        <v>10472000</v>
      </c>
      <c r="O156" s="87">
        <f>VLOOKUP($A156,'Data shares'!$C:$FA,81)</f>
        <v>-9.7000000000000003E-3</v>
      </c>
    </row>
    <row r="157" spans="1:15" x14ac:dyDescent="0.25">
      <c r="A157" s="100" t="str">
        <f>'OI(Value)'!A157</f>
        <v>ONGC</v>
      </c>
      <c r="B157" s="82">
        <f>VLOOKUP(A157,'Data shares'!$C$2:$CV$215,98,0)</f>
        <v>191391750</v>
      </c>
      <c r="C157" s="82">
        <f>VLOOKUP(A157,'Data shares'!$C$2:$CX$215,100,0)</f>
        <v>238500</v>
      </c>
      <c r="D157" s="141">
        <f>VLOOKUP(A157,'Data shares'!$C$2:$CY$538,101,0)</f>
        <v>1.1999999999999999E-3</v>
      </c>
      <c r="E157" s="86">
        <f>VLOOKUP($A157,'Data shares'!$C:$FA,74)</f>
        <v>101094750</v>
      </c>
      <c r="F157" s="86">
        <f>VLOOKUP($A157,'Data shares'!$C:$FA,76)</f>
        <v>510750</v>
      </c>
      <c r="G157" s="87">
        <f>VLOOKUP(A157,'Data shares'!$C$2:$CA$215,77,0)</f>
        <v>5.1000000000000004E-3</v>
      </c>
      <c r="H157" s="86">
        <f>VLOOKUP($A157,'Data shares'!$C:$FA,90)</f>
        <v>64129500</v>
      </c>
      <c r="I157" s="86">
        <f>VLOOKUP($A157,'Data shares'!$C:$FA,92)</f>
        <v>92250</v>
      </c>
      <c r="J157" s="87">
        <f>VLOOKUP($A157,'Data shares'!$C:$FA,93)</f>
        <v>1.4E-3</v>
      </c>
      <c r="K157" s="86">
        <f>VLOOKUP($A157,'Data shares'!$C:$FA,94)</f>
        <v>26167500</v>
      </c>
      <c r="L157" s="86">
        <f>VLOOKUP($A157,'Data shares'!$C:$FA,96)</f>
        <v>-364500</v>
      </c>
      <c r="M157" s="87">
        <f>VLOOKUP($A157,'Data shares'!$C:$FA,97)</f>
        <v>-1.37E-2</v>
      </c>
      <c r="N157" s="86">
        <f>VLOOKUP($A157,'Data shares'!$C:$FA,78)</f>
        <v>91417500</v>
      </c>
      <c r="O157" s="87">
        <f>VLOOKUP($A157,'Data shares'!$C:$FA,81)</f>
        <v>-1.4800000000000001E-2</v>
      </c>
    </row>
    <row r="158" spans="1:15" x14ac:dyDescent="0.25">
      <c r="A158" s="100" t="str">
        <f>'OI(Value)'!A158</f>
        <v>PAGEIND</v>
      </c>
      <c r="B158" s="82">
        <f>VLOOKUP(A158,'Data shares'!$C$2:$CV$215,98,0)</f>
        <v>460755</v>
      </c>
      <c r="C158" s="82">
        <f>VLOOKUP(A158,'Data shares'!$C$2:$CX$215,100,0)</f>
        <v>5340</v>
      </c>
      <c r="D158" s="141">
        <f>VLOOKUP(A158,'Data shares'!$C$2:$CY$538,101,0)</f>
        <v>1.17E-2</v>
      </c>
      <c r="E158" s="86">
        <f>VLOOKUP($A158,'Data shares'!$C:$FA,74)</f>
        <v>275445</v>
      </c>
      <c r="F158" s="86">
        <f>VLOOKUP($A158,'Data shares'!$C:$FA,76)</f>
        <v>3645</v>
      </c>
      <c r="G158" s="87">
        <f>VLOOKUP(A158,'Data shares'!$C$2:$CA$215,77,0)</f>
        <v>1.34E-2</v>
      </c>
      <c r="H158" s="86">
        <f>VLOOKUP($A158,'Data shares'!$C:$FA,90)</f>
        <v>130230</v>
      </c>
      <c r="I158" s="86">
        <f>VLOOKUP($A158,'Data shares'!$C:$FA,92)</f>
        <v>135</v>
      </c>
      <c r="J158" s="87">
        <f>VLOOKUP($A158,'Data shares'!$C:$FA,93)</f>
        <v>1E-3</v>
      </c>
      <c r="K158" s="86">
        <f>VLOOKUP($A158,'Data shares'!$C:$FA,94)</f>
        <v>55080</v>
      </c>
      <c r="L158" s="86">
        <f>VLOOKUP($A158,'Data shares'!$C:$FA,96)</f>
        <v>1560</v>
      </c>
      <c r="M158" s="87">
        <f>VLOOKUP($A158,'Data shares'!$C:$FA,97)</f>
        <v>2.9100000000000001E-2</v>
      </c>
      <c r="N158" s="86">
        <f>VLOOKUP($A158,'Data shares'!$C:$FA,78)</f>
        <v>253260</v>
      </c>
      <c r="O158" s="87">
        <f>VLOOKUP($A158,'Data shares'!$C:$FA,81)</f>
        <v>-1E-4</v>
      </c>
    </row>
    <row r="159" spans="1:15" x14ac:dyDescent="0.25">
      <c r="A159" s="100" t="str">
        <f>'OI(Value)'!A159</f>
        <v>PATANJALI</v>
      </c>
      <c r="B159" s="82">
        <f>VLOOKUP(A159,'Data shares'!$C$2:$CV$215,98,0)</f>
        <v>49893300</v>
      </c>
      <c r="C159" s="82">
        <f>VLOOKUP(A159,'Data shares'!$C$2:$CX$215,100,0)</f>
        <v>855000</v>
      </c>
      <c r="D159" s="141">
        <f>VLOOKUP(A159,'Data shares'!$C$2:$CY$538,101,0)</f>
        <v>1.7399999999999999E-2</v>
      </c>
      <c r="E159" s="86">
        <f>VLOOKUP($A159,'Data shares'!$C:$FA,74)</f>
        <v>37819800</v>
      </c>
      <c r="F159" s="86">
        <f>VLOOKUP($A159,'Data shares'!$C:$FA,76)</f>
        <v>783000</v>
      </c>
      <c r="G159" s="87">
        <f>VLOOKUP(A159,'Data shares'!$C$2:$CA$215,77,0)</f>
        <v>2.1100000000000001E-2</v>
      </c>
      <c r="H159" s="86">
        <f>VLOOKUP($A159,'Data shares'!$C:$FA,90)</f>
        <v>7715700</v>
      </c>
      <c r="I159" s="86">
        <f>VLOOKUP($A159,'Data shares'!$C:$FA,92)</f>
        <v>-390600</v>
      </c>
      <c r="J159" s="87">
        <f>VLOOKUP($A159,'Data shares'!$C:$FA,93)</f>
        <v>-4.82E-2</v>
      </c>
      <c r="K159" s="86">
        <f>VLOOKUP($A159,'Data shares'!$C:$FA,94)</f>
        <v>4357800</v>
      </c>
      <c r="L159" s="86">
        <f>VLOOKUP($A159,'Data shares'!$C:$FA,96)</f>
        <v>462600</v>
      </c>
      <c r="M159" s="87">
        <f>VLOOKUP($A159,'Data shares'!$C:$FA,97)</f>
        <v>0.1188</v>
      </c>
      <c r="N159" s="86">
        <f>VLOOKUP($A159,'Data shares'!$C:$FA,78)</f>
        <v>36438300</v>
      </c>
      <c r="O159" s="87">
        <f>VLOOKUP($A159,'Data shares'!$C:$FA,81)</f>
        <v>8.6E-3</v>
      </c>
    </row>
    <row r="160" spans="1:15" x14ac:dyDescent="0.25">
      <c r="A160" s="100" t="str">
        <f>'OI(Value)'!A160</f>
        <v>PAYTM</v>
      </c>
      <c r="B160" s="82">
        <f>VLOOKUP(A160,'Data shares'!$C$2:$CV$215,98,0)</f>
        <v>35764975</v>
      </c>
      <c r="C160" s="82">
        <f>VLOOKUP(A160,'Data shares'!$C$2:$CX$215,100,0)</f>
        <v>187775</v>
      </c>
      <c r="D160" s="141">
        <f>VLOOKUP(A160,'Data shares'!$C$2:$CY$538,101,0)</f>
        <v>5.3E-3</v>
      </c>
      <c r="E160" s="86">
        <f>VLOOKUP($A160,'Data shares'!$C:$FA,74)</f>
        <v>19005875</v>
      </c>
      <c r="F160" s="86">
        <f>VLOOKUP($A160,'Data shares'!$C:$FA,76)</f>
        <v>223300</v>
      </c>
      <c r="G160" s="87">
        <f>VLOOKUP(A160,'Data shares'!$C$2:$CA$215,77,0)</f>
        <v>1.1900000000000001E-2</v>
      </c>
      <c r="H160" s="86">
        <f>VLOOKUP($A160,'Data shares'!$C:$FA,90)</f>
        <v>10670550</v>
      </c>
      <c r="I160" s="86">
        <f>VLOOKUP($A160,'Data shares'!$C:$FA,92)</f>
        <v>-220400</v>
      </c>
      <c r="J160" s="87">
        <f>VLOOKUP($A160,'Data shares'!$C:$FA,93)</f>
        <v>-2.0199999999999999E-2</v>
      </c>
      <c r="K160" s="86">
        <f>VLOOKUP($A160,'Data shares'!$C:$FA,94)</f>
        <v>6088550</v>
      </c>
      <c r="L160" s="86">
        <f>VLOOKUP($A160,'Data shares'!$C:$FA,96)</f>
        <v>184875</v>
      </c>
      <c r="M160" s="87">
        <f>VLOOKUP($A160,'Data shares'!$C:$FA,97)</f>
        <v>3.1300000000000001E-2</v>
      </c>
      <c r="N160" s="86">
        <f>VLOOKUP($A160,'Data shares'!$C:$FA,78)</f>
        <v>17763950</v>
      </c>
      <c r="O160" s="87">
        <f>VLOOKUP($A160,'Data shares'!$C:$FA,81)</f>
        <v>1.1000000000000001E-3</v>
      </c>
    </row>
    <row r="161" spans="1:15" x14ac:dyDescent="0.25">
      <c r="A161" s="100" t="str">
        <f>'OI(Value)'!A161</f>
        <v>PERSISTENT</v>
      </c>
      <c r="B161" s="82">
        <f>VLOOKUP(A161,'Data shares'!$C$2:$CV$215,98,0)</f>
        <v>4073600</v>
      </c>
      <c r="C161" s="82">
        <f>VLOOKUP(A161,'Data shares'!$C$2:$CX$215,100,0)</f>
        <v>20200</v>
      </c>
      <c r="D161" s="141">
        <f>VLOOKUP(A161,'Data shares'!$C$2:$CY$538,101,0)</f>
        <v>5.0000000000000001E-3</v>
      </c>
      <c r="E161" s="86">
        <f>VLOOKUP($A161,'Data shares'!$C:$FA,74)</f>
        <v>2205300</v>
      </c>
      <c r="F161" s="86">
        <f>VLOOKUP($A161,'Data shares'!$C:$FA,76)</f>
        <v>10300</v>
      </c>
      <c r="G161" s="87">
        <f>VLOOKUP(A161,'Data shares'!$C$2:$CA$215,77,0)</f>
        <v>4.7000000000000002E-3</v>
      </c>
      <c r="H161" s="86">
        <f>VLOOKUP($A161,'Data shares'!$C:$FA,90)</f>
        <v>1153500</v>
      </c>
      <c r="I161" s="86">
        <f>VLOOKUP($A161,'Data shares'!$C:$FA,92)</f>
        <v>-25800</v>
      </c>
      <c r="J161" s="87">
        <f>VLOOKUP($A161,'Data shares'!$C:$FA,93)</f>
        <v>-2.1899999999999999E-2</v>
      </c>
      <c r="K161" s="86">
        <f>VLOOKUP($A161,'Data shares'!$C:$FA,94)</f>
        <v>714800</v>
      </c>
      <c r="L161" s="86">
        <f>VLOOKUP($A161,'Data shares'!$C:$FA,96)</f>
        <v>35700</v>
      </c>
      <c r="M161" s="87">
        <f>VLOOKUP($A161,'Data shares'!$C:$FA,97)</f>
        <v>5.2600000000000001E-2</v>
      </c>
      <c r="N161" s="86">
        <f>VLOOKUP($A161,'Data shares'!$C:$FA,78)</f>
        <v>2065100</v>
      </c>
      <c r="O161" s="87">
        <f>VLOOKUP($A161,'Data shares'!$C:$FA,81)</f>
        <v>-6.6E-3</v>
      </c>
    </row>
    <row r="162" spans="1:15" x14ac:dyDescent="0.25">
      <c r="A162" s="100" t="str">
        <f>'OI(Value)'!A162</f>
        <v>PETRONET</v>
      </c>
      <c r="B162" s="82">
        <f>VLOOKUP(A162,'Data shares'!$C$2:$CV$215,98,0)</f>
        <v>82166300</v>
      </c>
      <c r="C162" s="82">
        <f>VLOOKUP(A162,'Data shares'!$C$2:$CX$215,100,0)</f>
        <v>218100</v>
      </c>
      <c r="D162" s="141">
        <f>VLOOKUP(A162,'Data shares'!$C$2:$CY$538,101,0)</f>
        <v>2.7000000000000001E-3</v>
      </c>
      <c r="E162" s="86">
        <f>VLOOKUP($A162,'Data shares'!$C:$FA,74)</f>
        <v>47041900</v>
      </c>
      <c r="F162" s="86">
        <f>VLOOKUP($A162,'Data shares'!$C:$FA,76)</f>
        <v>-205300</v>
      </c>
      <c r="G162" s="87">
        <f>VLOOKUP(A162,'Data shares'!$C$2:$CA$215,77,0)</f>
        <v>-4.3E-3</v>
      </c>
      <c r="H162" s="86">
        <f>VLOOKUP($A162,'Data shares'!$C:$FA,90)</f>
        <v>17431200</v>
      </c>
      <c r="I162" s="86">
        <f>VLOOKUP($A162,'Data shares'!$C:$FA,92)</f>
        <v>199900</v>
      </c>
      <c r="J162" s="87">
        <f>VLOOKUP($A162,'Data shares'!$C:$FA,93)</f>
        <v>1.1599999999999999E-2</v>
      </c>
      <c r="K162" s="86">
        <f>VLOOKUP($A162,'Data shares'!$C:$FA,94)</f>
        <v>17693200</v>
      </c>
      <c r="L162" s="86">
        <f>VLOOKUP($A162,'Data shares'!$C:$FA,96)</f>
        <v>223500</v>
      </c>
      <c r="M162" s="87">
        <f>VLOOKUP($A162,'Data shares'!$C:$FA,97)</f>
        <v>1.2800000000000001E-2</v>
      </c>
      <c r="N162" s="86">
        <f>VLOOKUP($A162,'Data shares'!$C:$FA,78)</f>
        <v>42856200</v>
      </c>
      <c r="O162" s="87">
        <f>VLOOKUP($A162,'Data shares'!$C:$FA,81)</f>
        <v>-1.72E-2</v>
      </c>
    </row>
    <row r="163" spans="1:15" x14ac:dyDescent="0.25">
      <c r="A163" s="100" t="str">
        <f>'OI(Value)'!A163</f>
        <v>PFC</v>
      </c>
      <c r="B163" s="82">
        <f>VLOOKUP(A163,'Data shares'!$C$2:$CV$215,98,0)</f>
        <v>168389000</v>
      </c>
      <c r="C163" s="82">
        <f>VLOOKUP(A163,'Data shares'!$C$2:$CX$215,100,0)</f>
        <v>2431000</v>
      </c>
      <c r="D163" s="141">
        <f>VLOOKUP(A163,'Data shares'!$C$2:$CY$538,101,0)</f>
        <v>1.46E-2</v>
      </c>
      <c r="E163" s="86">
        <f>VLOOKUP($A163,'Data shares'!$C:$FA,74)</f>
        <v>87223500</v>
      </c>
      <c r="F163" s="86">
        <f>VLOOKUP($A163,'Data shares'!$C:$FA,76)</f>
        <v>709800</v>
      </c>
      <c r="G163" s="87">
        <f>VLOOKUP(A163,'Data shares'!$C$2:$CA$215,77,0)</f>
        <v>8.2000000000000007E-3</v>
      </c>
      <c r="H163" s="86">
        <f>VLOOKUP($A163,'Data shares'!$C:$FA,90)</f>
        <v>50568700</v>
      </c>
      <c r="I163" s="86">
        <f>VLOOKUP($A163,'Data shares'!$C:$FA,92)</f>
        <v>694200</v>
      </c>
      <c r="J163" s="87">
        <f>VLOOKUP($A163,'Data shares'!$C:$FA,93)</f>
        <v>1.3899999999999999E-2</v>
      </c>
      <c r="K163" s="86">
        <f>VLOOKUP($A163,'Data shares'!$C:$FA,94)</f>
        <v>30596800</v>
      </c>
      <c r="L163" s="86">
        <f>VLOOKUP($A163,'Data shares'!$C:$FA,96)</f>
        <v>1027000</v>
      </c>
      <c r="M163" s="87">
        <f>VLOOKUP($A163,'Data shares'!$C:$FA,97)</f>
        <v>3.4700000000000002E-2</v>
      </c>
      <c r="N163" s="86">
        <f>VLOOKUP($A163,'Data shares'!$C:$FA,78)</f>
        <v>75108800</v>
      </c>
      <c r="O163" s="87">
        <f>VLOOKUP($A163,'Data shares'!$C:$FA,81)</f>
        <v>-1.21E-2</v>
      </c>
    </row>
    <row r="164" spans="1:15" x14ac:dyDescent="0.25">
      <c r="A164" s="100" t="str">
        <f>'OI(Value)'!A164</f>
        <v>PGEL</v>
      </c>
      <c r="B164" s="82">
        <f>VLOOKUP(A164,'Data shares'!$C$2:$CV$215,98,0)</f>
        <v>24250200</v>
      </c>
      <c r="C164" s="82">
        <f>VLOOKUP(A164,'Data shares'!$C$2:$CX$215,100,0)</f>
        <v>-313450</v>
      </c>
      <c r="D164" s="141">
        <f>VLOOKUP(A164,'Data shares'!$C$2:$CY$538,101,0)</f>
        <v>-1.2800000000000001E-2</v>
      </c>
      <c r="E164" s="86">
        <f>VLOOKUP($A164,'Data shares'!$C:$FA,74)</f>
        <v>10200300</v>
      </c>
      <c r="F164" s="86">
        <f>VLOOKUP($A164,'Data shares'!$C:$FA,76)</f>
        <v>206450</v>
      </c>
      <c r="G164" s="87">
        <f>VLOOKUP(A164,'Data shares'!$C$2:$CA$215,77,0)</f>
        <v>2.07E-2</v>
      </c>
      <c r="H164" s="86">
        <f>VLOOKUP($A164,'Data shares'!$C:$FA,90)</f>
        <v>8486650</v>
      </c>
      <c r="I164" s="86">
        <f>VLOOKUP($A164,'Data shares'!$C:$FA,92)</f>
        <v>-453500</v>
      </c>
      <c r="J164" s="87">
        <f>VLOOKUP($A164,'Data shares'!$C:$FA,93)</f>
        <v>-5.0700000000000002E-2</v>
      </c>
      <c r="K164" s="86">
        <f>VLOOKUP($A164,'Data shares'!$C:$FA,94)</f>
        <v>5563250</v>
      </c>
      <c r="L164" s="86">
        <f>VLOOKUP($A164,'Data shares'!$C:$FA,96)</f>
        <v>-66400</v>
      </c>
      <c r="M164" s="87">
        <f>VLOOKUP($A164,'Data shares'!$C:$FA,97)</f>
        <v>-1.18E-2</v>
      </c>
      <c r="N164" s="86">
        <f>VLOOKUP($A164,'Data shares'!$C:$FA,78)</f>
        <v>9474500</v>
      </c>
      <c r="O164" s="87">
        <f>VLOOKUP($A164,'Data shares'!$C:$FA,81)</f>
        <v>1E-3</v>
      </c>
    </row>
    <row r="165" spans="1:15" x14ac:dyDescent="0.25">
      <c r="A165" s="100" t="str">
        <f>'OI(Value)'!A165</f>
        <v>PHOENIXLTD</v>
      </c>
      <c r="B165" s="82">
        <f>VLOOKUP(A165,'Data shares'!$C$2:$CV$215,98,0)</f>
        <v>5345900</v>
      </c>
      <c r="C165" s="82">
        <f>VLOOKUP(A165,'Data shares'!$C$2:$CX$215,100,0)</f>
        <v>-9100</v>
      </c>
      <c r="D165" s="141">
        <f>VLOOKUP(A165,'Data shares'!$C$2:$CY$538,101,0)</f>
        <v>-1.6999999999999999E-3</v>
      </c>
      <c r="E165" s="86">
        <f>VLOOKUP($A165,'Data shares'!$C:$FA,74)</f>
        <v>3302250</v>
      </c>
      <c r="F165" s="86">
        <f>VLOOKUP($A165,'Data shares'!$C:$FA,76)</f>
        <v>35350</v>
      </c>
      <c r="G165" s="87">
        <f>VLOOKUP(A165,'Data shares'!$C$2:$CA$215,77,0)</f>
        <v>1.0800000000000001E-2</v>
      </c>
      <c r="H165" s="86">
        <f>VLOOKUP($A165,'Data shares'!$C:$FA,90)</f>
        <v>1333150</v>
      </c>
      <c r="I165" s="86">
        <f>VLOOKUP($A165,'Data shares'!$C:$FA,92)</f>
        <v>-54250</v>
      </c>
      <c r="J165" s="87">
        <f>VLOOKUP($A165,'Data shares'!$C:$FA,93)</f>
        <v>-3.9100000000000003E-2</v>
      </c>
      <c r="K165" s="86">
        <f>VLOOKUP($A165,'Data shares'!$C:$FA,94)</f>
        <v>710500</v>
      </c>
      <c r="L165" s="86">
        <f>VLOOKUP($A165,'Data shares'!$C:$FA,96)</f>
        <v>9800</v>
      </c>
      <c r="M165" s="87">
        <f>VLOOKUP($A165,'Data shares'!$C:$FA,97)</f>
        <v>1.4E-2</v>
      </c>
      <c r="N165" s="86">
        <f>VLOOKUP($A165,'Data shares'!$C:$FA,78)</f>
        <v>3180450</v>
      </c>
      <c r="O165" s="87">
        <f>VLOOKUP($A165,'Data shares'!$C:$FA,81)</f>
        <v>3.5999999999999999E-3</v>
      </c>
    </row>
    <row r="166" spans="1:15" x14ac:dyDescent="0.25">
      <c r="A166" s="100" t="str">
        <f>'OI(Value)'!A166</f>
        <v>PIDILITIND</v>
      </c>
      <c r="B166" s="82">
        <f>VLOOKUP(A166,'Data shares'!$C$2:$CV$215,98,0)</f>
        <v>9879500</v>
      </c>
      <c r="C166" s="82">
        <f>VLOOKUP(A166,'Data shares'!$C$2:$CX$215,100,0)</f>
        <v>195500</v>
      </c>
      <c r="D166" s="141">
        <f>VLOOKUP(A166,'Data shares'!$C$2:$CY$538,101,0)</f>
        <v>2.0199999999999999E-2</v>
      </c>
      <c r="E166" s="86">
        <f>VLOOKUP($A166,'Data shares'!$C:$FA,74)</f>
        <v>7368500</v>
      </c>
      <c r="F166" s="86">
        <f>VLOOKUP($A166,'Data shares'!$C:$FA,76)</f>
        <v>133500</v>
      </c>
      <c r="G166" s="87">
        <f>VLOOKUP(A166,'Data shares'!$C$2:$CA$215,77,0)</f>
        <v>1.8499999999999999E-2</v>
      </c>
      <c r="H166" s="86">
        <f>VLOOKUP($A166,'Data shares'!$C:$FA,90)</f>
        <v>1456000</v>
      </c>
      <c r="I166" s="86">
        <f>VLOOKUP($A166,'Data shares'!$C:$FA,92)</f>
        <v>45000</v>
      </c>
      <c r="J166" s="87">
        <f>VLOOKUP($A166,'Data shares'!$C:$FA,93)</f>
        <v>3.1899999999999998E-2</v>
      </c>
      <c r="K166" s="86">
        <f>VLOOKUP($A166,'Data shares'!$C:$FA,94)</f>
        <v>1055000</v>
      </c>
      <c r="L166" s="86">
        <f>VLOOKUP($A166,'Data shares'!$C:$FA,96)</f>
        <v>17000</v>
      </c>
      <c r="M166" s="87">
        <f>VLOOKUP($A166,'Data shares'!$C:$FA,97)</f>
        <v>1.6400000000000001E-2</v>
      </c>
      <c r="N166" s="86">
        <f>VLOOKUP($A166,'Data shares'!$C:$FA,78)</f>
        <v>6353000</v>
      </c>
      <c r="O166" s="87">
        <f>VLOOKUP($A166,'Data shares'!$C:$FA,81)</f>
        <v>-1.78E-2</v>
      </c>
    </row>
    <row r="167" spans="1:15" x14ac:dyDescent="0.25">
      <c r="A167" s="100" t="str">
        <f>'OI(Value)'!A167</f>
        <v>PIIND</v>
      </c>
      <c r="B167" s="82">
        <f>VLOOKUP(A167,'Data shares'!$C$2:$CV$215,98,0)</f>
        <v>4452000</v>
      </c>
      <c r="C167" s="82">
        <f>VLOOKUP(A167,'Data shares'!$C$2:$CX$215,100,0)</f>
        <v>-30800</v>
      </c>
      <c r="D167" s="141">
        <f>VLOOKUP(A167,'Data shares'!$C$2:$CY$538,101,0)</f>
        <v>-6.8999999999999999E-3</v>
      </c>
      <c r="E167" s="86">
        <f>VLOOKUP($A167,'Data shares'!$C:$FA,74)</f>
        <v>2695350</v>
      </c>
      <c r="F167" s="86">
        <f>VLOOKUP($A167,'Data shares'!$C:$FA,76)</f>
        <v>-46900</v>
      </c>
      <c r="G167" s="87">
        <f>VLOOKUP(A167,'Data shares'!$C$2:$CA$215,77,0)</f>
        <v>-1.7100000000000001E-2</v>
      </c>
      <c r="H167" s="86">
        <f>VLOOKUP($A167,'Data shares'!$C:$FA,90)</f>
        <v>1039150</v>
      </c>
      <c r="I167" s="86">
        <f>VLOOKUP($A167,'Data shares'!$C:$FA,92)</f>
        <v>-26600</v>
      </c>
      <c r="J167" s="87">
        <f>VLOOKUP($A167,'Data shares'!$C:$FA,93)</f>
        <v>-2.5000000000000001E-2</v>
      </c>
      <c r="K167" s="86">
        <f>VLOOKUP($A167,'Data shares'!$C:$FA,94)</f>
        <v>717500</v>
      </c>
      <c r="L167" s="86">
        <f>VLOOKUP($A167,'Data shares'!$C:$FA,96)</f>
        <v>42700</v>
      </c>
      <c r="M167" s="87">
        <f>VLOOKUP($A167,'Data shares'!$C:$FA,97)</f>
        <v>6.3299999999999995E-2</v>
      </c>
      <c r="N167" s="86">
        <f>VLOOKUP($A167,'Data shares'!$C:$FA,78)</f>
        <v>2392250</v>
      </c>
      <c r="O167" s="87">
        <f>VLOOKUP($A167,'Data shares'!$C:$FA,81)</f>
        <v>-2.29E-2</v>
      </c>
    </row>
    <row r="168" spans="1:15" x14ac:dyDescent="0.25">
      <c r="A168" s="100" t="str">
        <f>'OI(Value)'!A168</f>
        <v>PNB</v>
      </c>
      <c r="B168" s="82">
        <f>VLOOKUP(A168,'Data shares'!$C$2:$CV$215,98,0)</f>
        <v>533504000</v>
      </c>
      <c r="C168" s="82">
        <f>VLOOKUP(A168,'Data shares'!$C$2:$CX$215,100,0)</f>
        <v>3968000</v>
      </c>
      <c r="D168" s="141">
        <f>VLOOKUP(A168,'Data shares'!$C$2:$CY$538,101,0)</f>
        <v>7.4999999999999997E-3</v>
      </c>
      <c r="E168" s="86">
        <f>VLOOKUP($A168,'Data shares'!$C:$FA,74)</f>
        <v>245792000</v>
      </c>
      <c r="F168" s="86">
        <f>VLOOKUP($A168,'Data shares'!$C:$FA,76)</f>
        <v>-104000</v>
      </c>
      <c r="G168" s="87">
        <f>VLOOKUP(A168,'Data shares'!$C$2:$CA$215,77,0)</f>
        <v>-4.0000000000000002E-4</v>
      </c>
      <c r="H168" s="86">
        <f>VLOOKUP($A168,'Data shares'!$C:$FA,90)</f>
        <v>186152000</v>
      </c>
      <c r="I168" s="86">
        <f>VLOOKUP($A168,'Data shares'!$C:$FA,92)</f>
        <v>3144000</v>
      </c>
      <c r="J168" s="87">
        <f>VLOOKUP($A168,'Data shares'!$C:$FA,93)</f>
        <v>1.72E-2</v>
      </c>
      <c r="K168" s="86">
        <f>VLOOKUP($A168,'Data shares'!$C:$FA,94)</f>
        <v>101560000</v>
      </c>
      <c r="L168" s="86">
        <f>VLOOKUP($A168,'Data shares'!$C:$FA,96)</f>
        <v>928000</v>
      </c>
      <c r="M168" s="87">
        <f>VLOOKUP($A168,'Data shares'!$C:$FA,97)</f>
        <v>9.1999999999999998E-3</v>
      </c>
      <c r="N168" s="86">
        <f>VLOOKUP($A168,'Data shares'!$C:$FA,78)</f>
        <v>208672000</v>
      </c>
      <c r="O168" s="87">
        <f>VLOOKUP($A168,'Data shares'!$C:$FA,81)</f>
        <v>-1.2800000000000001E-2</v>
      </c>
    </row>
    <row r="169" spans="1:15" x14ac:dyDescent="0.25">
      <c r="A169" s="100" t="str">
        <f>'OI(Value)'!A169</f>
        <v>PNBHOUSING</v>
      </c>
      <c r="B169" s="82">
        <f>VLOOKUP(A169,'Data shares'!$C$2:$CV$215,98,0)</f>
        <v>28880800</v>
      </c>
      <c r="C169" s="82">
        <f>VLOOKUP(A169,'Data shares'!$C$2:$CX$215,100,0)</f>
        <v>200850</v>
      </c>
      <c r="D169" s="141">
        <f>VLOOKUP(A169,'Data shares'!$C$2:$CY$538,101,0)</f>
        <v>7.0000000000000001E-3</v>
      </c>
      <c r="E169" s="86">
        <f>VLOOKUP($A169,'Data shares'!$C:$FA,74)</f>
        <v>16302650</v>
      </c>
      <c r="F169" s="86">
        <f>VLOOKUP($A169,'Data shares'!$C:$FA,76)</f>
        <v>-57200</v>
      </c>
      <c r="G169" s="87">
        <f>VLOOKUP(A169,'Data shares'!$C$2:$CA$215,77,0)</f>
        <v>-3.5000000000000001E-3</v>
      </c>
      <c r="H169" s="86">
        <f>VLOOKUP($A169,'Data shares'!$C:$FA,90)</f>
        <v>7969650</v>
      </c>
      <c r="I169" s="86">
        <f>VLOOKUP($A169,'Data shares'!$C:$FA,92)</f>
        <v>354250</v>
      </c>
      <c r="J169" s="87">
        <f>VLOOKUP($A169,'Data shares'!$C:$FA,93)</f>
        <v>4.65E-2</v>
      </c>
      <c r="K169" s="86">
        <f>VLOOKUP($A169,'Data shares'!$C:$FA,94)</f>
        <v>4608500</v>
      </c>
      <c r="L169" s="86">
        <f>VLOOKUP($A169,'Data shares'!$C:$FA,96)</f>
        <v>-96200</v>
      </c>
      <c r="M169" s="87">
        <f>VLOOKUP($A169,'Data shares'!$C:$FA,97)</f>
        <v>-2.0400000000000001E-2</v>
      </c>
      <c r="N169" s="86">
        <f>VLOOKUP($A169,'Data shares'!$C:$FA,78)</f>
        <v>15593500</v>
      </c>
      <c r="O169" s="87">
        <f>VLOOKUP($A169,'Data shares'!$C:$FA,81)</f>
        <v>-8.0999999999999996E-3</v>
      </c>
    </row>
    <row r="170" spans="1:15" x14ac:dyDescent="0.25">
      <c r="A170" s="100" t="str">
        <f>'OI(Value)'!A170</f>
        <v>POLICYBZR</v>
      </c>
      <c r="B170" s="82">
        <f>VLOOKUP(A170,'Data shares'!$C$2:$CV$215,98,0)</f>
        <v>11936750</v>
      </c>
      <c r="C170" s="82">
        <f>VLOOKUP(A170,'Data shares'!$C$2:$CX$215,100,0)</f>
        <v>-330050</v>
      </c>
      <c r="D170" s="141">
        <f>VLOOKUP(A170,'Data shares'!$C$2:$CY$538,101,0)</f>
        <v>-2.69E-2</v>
      </c>
      <c r="E170" s="86">
        <f>VLOOKUP($A170,'Data shares'!$C:$FA,74)</f>
        <v>6603100</v>
      </c>
      <c r="F170" s="86">
        <f>VLOOKUP($A170,'Data shares'!$C:$FA,76)</f>
        <v>4200</v>
      </c>
      <c r="G170" s="87">
        <f>VLOOKUP(A170,'Data shares'!$C$2:$CA$215,77,0)</f>
        <v>5.9999999999999995E-4</v>
      </c>
      <c r="H170" s="86">
        <f>VLOOKUP($A170,'Data shares'!$C:$FA,90)</f>
        <v>3137750</v>
      </c>
      <c r="I170" s="86">
        <f>VLOOKUP($A170,'Data shares'!$C:$FA,92)</f>
        <v>-351750</v>
      </c>
      <c r="J170" s="87">
        <f>VLOOKUP($A170,'Data shares'!$C:$FA,93)</f>
        <v>-0.1008</v>
      </c>
      <c r="K170" s="86">
        <f>VLOOKUP($A170,'Data shares'!$C:$FA,94)</f>
        <v>2195900</v>
      </c>
      <c r="L170" s="86">
        <f>VLOOKUP($A170,'Data shares'!$C:$FA,96)</f>
        <v>17500</v>
      </c>
      <c r="M170" s="87">
        <f>VLOOKUP($A170,'Data shares'!$C:$FA,97)</f>
        <v>8.0000000000000002E-3</v>
      </c>
      <c r="N170" s="86">
        <f>VLOOKUP($A170,'Data shares'!$C:$FA,78)</f>
        <v>6077750</v>
      </c>
      <c r="O170" s="87">
        <f>VLOOKUP($A170,'Data shares'!$C:$FA,81)</f>
        <v>-5.9999999999999995E-4</v>
      </c>
    </row>
    <row r="171" spans="1:15" x14ac:dyDescent="0.25">
      <c r="A171" s="100" t="str">
        <f>'OI(Value)'!A171</f>
        <v>POLYCAB</v>
      </c>
      <c r="B171" s="82">
        <f>VLOOKUP(A171,'Data shares'!$C$2:$CV$215,98,0)</f>
        <v>3858375</v>
      </c>
      <c r="C171" s="82">
        <f>VLOOKUP(A171,'Data shares'!$C$2:$CX$215,100,0)</f>
        <v>-157375</v>
      </c>
      <c r="D171" s="141">
        <f>VLOOKUP(A171,'Data shares'!$C$2:$CY$538,101,0)</f>
        <v>-3.9199999999999999E-2</v>
      </c>
      <c r="E171" s="86">
        <f>VLOOKUP($A171,'Data shares'!$C:$FA,74)</f>
        <v>2269000</v>
      </c>
      <c r="F171" s="86">
        <f>VLOOKUP($A171,'Data shares'!$C:$FA,76)</f>
        <v>40250</v>
      </c>
      <c r="G171" s="87">
        <f>VLOOKUP(A171,'Data shares'!$C$2:$CA$215,77,0)</f>
        <v>1.8100000000000002E-2</v>
      </c>
      <c r="H171" s="86">
        <f>VLOOKUP($A171,'Data shares'!$C:$FA,90)</f>
        <v>987375</v>
      </c>
      <c r="I171" s="86">
        <f>VLOOKUP($A171,'Data shares'!$C:$FA,92)</f>
        <v>-92000</v>
      </c>
      <c r="J171" s="87">
        <f>VLOOKUP($A171,'Data shares'!$C:$FA,93)</f>
        <v>-8.5199999999999998E-2</v>
      </c>
      <c r="K171" s="86">
        <f>VLOOKUP($A171,'Data shares'!$C:$FA,94)</f>
        <v>602000</v>
      </c>
      <c r="L171" s="86">
        <f>VLOOKUP($A171,'Data shares'!$C:$FA,96)</f>
        <v>-105625</v>
      </c>
      <c r="M171" s="87">
        <f>VLOOKUP($A171,'Data shares'!$C:$FA,97)</f>
        <v>-0.14929999999999999</v>
      </c>
      <c r="N171" s="86">
        <f>VLOOKUP($A171,'Data shares'!$C:$FA,78)</f>
        <v>2065375</v>
      </c>
      <c r="O171" s="87">
        <f>VLOOKUP($A171,'Data shares'!$C:$FA,81)</f>
        <v>2.0000000000000001E-4</v>
      </c>
    </row>
    <row r="172" spans="1:15" x14ac:dyDescent="0.25">
      <c r="A172" s="100" t="str">
        <f>'OI(Value)'!A172</f>
        <v>POWERGRID</v>
      </c>
      <c r="B172" s="82">
        <f>VLOOKUP(A172,'Data shares'!$C$2:$CV$215,98,0)</f>
        <v>145864900</v>
      </c>
      <c r="C172" s="82">
        <f>VLOOKUP(A172,'Data shares'!$C$2:$CX$215,100,0)</f>
        <v>7180100</v>
      </c>
      <c r="D172" s="141">
        <f>VLOOKUP(A172,'Data shares'!$C$2:$CY$538,101,0)</f>
        <v>5.1799999999999999E-2</v>
      </c>
      <c r="E172" s="86">
        <f>VLOOKUP($A172,'Data shares'!$C:$FA,74)</f>
        <v>87183400</v>
      </c>
      <c r="F172" s="86">
        <f>VLOOKUP($A172,'Data shares'!$C:$FA,76)</f>
        <v>4322500</v>
      </c>
      <c r="G172" s="87">
        <f>VLOOKUP(A172,'Data shares'!$C$2:$CA$215,77,0)</f>
        <v>5.2200000000000003E-2</v>
      </c>
      <c r="H172" s="86">
        <f>VLOOKUP($A172,'Data shares'!$C:$FA,90)</f>
        <v>36903700</v>
      </c>
      <c r="I172" s="86">
        <f>VLOOKUP($A172,'Data shares'!$C:$FA,92)</f>
        <v>2152700</v>
      </c>
      <c r="J172" s="87">
        <f>VLOOKUP($A172,'Data shares'!$C:$FA,93)</f>
        <v>6.1899999999999997E-2</v>
      </c>
      <c r="K172" s="86">
        <f>VLOOKUP($A172,'Data shares'!$C:$FA,94)</f>
        <v>21777800</v>
      </c>
      <c r="L172" s="86">
        <f>VLOOKUP($A172,'Data shares'!$C:$FA,96)</f>
        <v>704900</v>
      </c>
      <c r="M172" s="87">
        <f>VLOOKUP($A172,'Data shares'!$C:$FA,97)</f>
        <v>3.3500000000000002E-2</v>
      </c>
      <c r="N172" s="86">
        <f>VLOOKUP($A172,'Data shares'!$C:$FA,78)</f>
        <v>73303900</v>
      </c>
      <c r="O172" s="87">
        <f>VLOOKUP($A172,'Data shares'!$C:$FA,81)</f>
        <v>-3.3E-3</v>
      </c>
    </row>
    <row r="173" spans="1:15" x14ac:dyDescent="0.25">
      <c r="A173" s="100" t="str">
        <f>'OI(Value)'!A173</f>
        <v>POWERINDIA</v>
      </c>
      <c r="B173" s="82">
        <f>VLOOKUP(A173,'Data shares'!$C$2:$CV$215,98,0)</f>
        <v>1157050</v>
      </c>
      <c r="C173" s="82">
        <f>VLOOKUP(A173,'Data shares'!$C$2:$CX$215,100,0)</f>
        <v>168300</v>
      </c>
      <c r="D173" s="141">
        <f>VLOOKUP(A173,'Data shares'!$C$2:$CY$538,101,0)</f>
        <v>0.17019999999999999</v>
      </c>
      <c r="E173" s="86">
        <f>VLOOKUP($A173,'Data shares'!$C:$FA,74)</f>
        <v>288400</v>
      </c>
      <c r="F173" s="86">
        <f>VLOOKUP($A173,'Data shares'!$C:$FA,76)</f>
        <v>20100</v>
      </c>
      <c r="G173" s="87">
        <f>VLOOKUP(A173,'Data shares'!$C$2:$CA$215,77,0)</f>
        <v>7.4899999999999994E-2</v>
      </c>
      <c r="H173" s="86">
        <f>VLOOKUP($A173,'Data shares'!$C:$FA,90)</f>
        <v>660000</v>
      </c>
      <c r="I173" s="86">
        <f>VLOOKUP($A173,'Data shares'!$C:$FA,92)</f>
        <v>137800</v>
      </c>
      <c r="J173" s="87">
        <f>VLOOKUP($A173,'Data shares'!$C:$FA,93)</f>
        <v>0.26390000000000002</v>
      </c>
      <c r="K173" s="86">
        <f>VLOOKUP($A173,'Data shares'!$C:$FA,94)</f>
        <v>208650</v>
      </c>
      <c r="L173" s="86">
        <f>VLOOKUP($A173,'Data shares'!$C:$FA,96)</f>
        <v>10400</v>
      </c>
      <c r="M173" s="87">
        <f>VLOOKUP($A173,'Data shares'!$C:$FA,97)</f>
        <v>5.2499999999999998E-2</v>
      </c>
      <c r="N173" s="86">
        <f>VLOOKUP($A173,'Data shares'!$C:$FA,78)</f>
        <v>264250</v>
      </c>
      <c r="O173" s="87">
        <f>VLOOKUP($A173,'Data shares'!$C:$FA,81)</f>
        <v>3.9899999999999998E-2</v>
      </c>
    </row>
    <row r="174" spans="1:15" x14ac:dyDescent="0.25">
      <c r="A174" s="100" t="str">
        <f>'OI(Value)'!A174</f>
        <v>PPLPHARMA</v>
      </c>
      <c r="B174" s="82">
        <f>VLOOKUP(A174,'Data shares'!$C$2:$CV$215,98,0)</f>
        <v>54531875</v>
      </c>
      <c r="C174" s="82">
        <f>VLOOKUP(A174,'Data shares'!$C$2:$CX$215,100,0)</f>
        <v>329000</v>
      </c>
      <c r="D174" s="141">
        <f>VLOOKUP(A174,'Data shares'!$C$2:$CY$538,101,0)</f>
        <v>6.1000000000000004E-3</v>
      </c>
      <c r="E174" s="86">
        <f>VLOOKUP($A174,'Data shares'!$C:$FA,74)</f>
        <v>28325125</v>
      </c>
      <c r="F174" s="86">
        <f>VLOOKUP($A174,'Data shares'!$C:$FA,76)</f>
        <v>-74000</v>
      </c>
      <c r="G174" s="87">
        <f>VLOOKUP(A174,'Data shares'!$C$2:$CA$215,77,0)</f>
        <v>-2.5999999999999999E-3</v>
      </c>
      <c r="H174" s="86">
        <f>VLOOKUP($A174,'Data shares'!$C:$FA,90)</f>
        <v>18397375</v>
      </c>
      <c r="I174" s="86">
        <f>VLOOKUP($A174,'Data shares'!$C:$FA,92)</f>
        <v>324375</v>
      </c>
      <c r="J174" s="87">
        <f>VLOOKUP($A174,'Data shares'!$C:$FA,93)</f>
        <v>1.7899999999999999E-2</v>
      </c>
      <c r="K174" s="86">
        <f>VLOOKUP($A174,'Data shares'!$C:$FA,94)</f>
        <v>7809375</v>
      </c>
      <c r="L174" s="86">
        <f>VLOOKUP($A174,'Data shares'!$C:$FA,96)</f>
        <v>78625</v>
      </c>
      <c r="M174" s="87">
        <f>VLOOKUP($A174,'Data shares'!$C:$FA,97)</f>
        <v>1.0200000000000001E-2</v>
      </c>
      <c r="N174" s="86">
        <f>VLOOKUP($A174,'Data shares'!$C:$FA,78)</f>
        <v>24437500</v>
      </c>
      <c r="O174" s="87">
        <f>VLOOKUP($A174,'Data shares'!$C:$FA,81)</f>
        <v>-1.6500000000000001E-2</v>
      </c>
    </row>
    <row r="175" spans="1:15" x14ac:dyDescent="0.25">
      <c r="A175" s="100" t="str">
        <f>'OI(Value)'!A175</f>
        <v>PRESTIGE</v>
      </c>
      <c r="B175" s="82">
        <f>VLOOKUP(A175,'Data shares'!$C$2:$CV$215,98,0)</f>
        <v>7489800</v>
      </c>
      <c r="C175" s="82">
        <f>VLOOKUP(A175,'Data shares'!$C$2:$CX$215,100,0)</f>
        <v>28800</v>
      </c>
      <c r="D175" s="141">
        <f>VLOOKUP(A175,'Data shares'!$C$2:$CY$538,101,0)</f>
        <v>3.8999999999999998E-3</v>
      </c>
      <c r="E175" s="86">
        <f>VLOOKUP($A175,'Data shares'!$C:$FA,74)</f>
        <v>4166100</v>
      </c>
      <c r="F175" s="86">
        <f>VLOOKUP($A175,'Data shares'!$C:$FA,76)</f>
        <v>55800</v>
      </c>
      <c r="G175" s="87">
        <f>VLOOKUP(A175,'Data shares'!$C$2:$CA$215,77,0)</f>
        <v>1.3599999999999999E-2</v>
      </c>
      <c r="H175" s="86">
        <f>VLOOKUP($A175,'Data shares'!$C:$FA,90)</f>
        <v>2018700</v>
      </c>
      <c r="I175" s="86">
        <f>VLOOKUP($A175,'Data shares'!$C:$FA,92)</f>
        <v>-16200</v>
      </c>
      <c r="J175" s="87">
        <f>VLOOKUP($A175,'Data shares'!$C:$FA,93)</f>
        <v>-8.0000000000000002E-3</v>
      </c>
      <c r="K175" s="86">
        <f>VLOOKUP($A175,'Data shares'!$C:$FA,94)</f>
        <v>1305000</v>
      </c>
      <c r="L175" s="86">
        <f>VLOOKUP($A175,'Data shares'!$C:$FA,96)</f>
        <v>-10800</v>
      </c>
      <c r="M175" s="87">
        <f>VLOOKUP($A175,'Data shares'!$C:$FA,97)</f>
        <v>-8.2000000000000007E-3</v>
      </c>
      <c r="N175" s="86">
        <f>VLOOKUP($A175,'Data shares'!$C:$FA,78)</f>
        <v>3968550</v>
      </c>
      <c r="O175" s="87">
        <f>VLOOKUP($A175,'Data shares'!$C:$FA,81)</f>
        <v>-1.0500000000000001E-2</v>
      </c>
    </row>
    <row r="176" spans="1:15" x14ac:dyDescent="0.25">
      <c r="A176" s="100" t="str">
        <f>'OI(Value)'!A176</f>
        <v>RBLBANK</v>
      </c>
      <c r="B176" s="82">
        <f>VLOOKUP(A176,'Data shares'!$C$2:$CV$215,98,0)</f>
        <v>121729500</v>
      </c>
      <c r="C176" s="82">
        <f>VLOOKUP(A176,'Data shares'!$C$2:$CX$215,100,0)</f>
        <v>-368300</v>
      </c>
      <c r="D176" s="141">
        <f>VLOOKUP(A176,'Data shares'!$C$2:$CY$538,101,0)</f>
        <v>-3.0000000000000001E-3</v>
      </c>
      <c r="E176" s="86">
        <f>VLOOKUP($A176,'Data shares'!$C:$FA,74)</f>
        <v>77584300</v>
      </c>
      <c r="F176" s="86">
        <f>VLOOKUP($A176,'Data shares'!$C:$FA,76)</f>
        <v>104775</v>
      </c>
      <c r="G176" s="87">
        <f>VLOOKUP(A176,'Data shares'!$C$2:$CA$215,77,0)</f>
        <v>1.4E-3</v>
      </c>
      <c r="H176" s="86">
        <f>VLOOKUP($A176,'Data shares'!$C:$FA,90)</f>
        <v>26850975</v>
      </c>
      <c r="I176" s="86">
        <f>VLOOKUP($A176,'Data shares'!$C:$FA,92)</f>
        <v>-555625</v>
      </c>
      <c r="J176" s="87">
        <f>VLOOKUP($A176,'Data shares'!$C:$FA,93)</f>
        <v>-2.0299999999999999E-2</v>
      </c>
      <c r="K176" s="86">
        <f>VLOOKUP($A176,'Data shares'!$C:$FA,94)</f>
        <v>17294225</v>
      </c>
      <c r="L176" s="86">
        <f>VLOOKUP($A176,'Data shares'!$C:$FA,96)</f>
        <v>82550</v>
      </c>
      <c r="M176" s="87">
        <f>VLOOKUP($A176,'Data shares'!$C:$FA,97)</f>
        <v>4.7999999999999996E-3</v>
      </c>
      <c r="N176" s="86">
        <f>VLOOKUP($A176,'Data shares'!$C:$FA,78)</f>
        <v>74450575</v>
      </c>
      <c r="O176" s="87">
        <f>VLOOKUP($A176,'Data shares'!$C:$FA,81)</f>
        <v>-2.2000000000000001E-3</v>
      </c>
    </row>
    <row r="177" spans="1:15" x14ac:dyDescent="0.25">
      <c r="A177" s="100" t="str">
        <f>'OI(Value)'!A177</f>
        <v>RECLTD</v>
      </c>
      <c r="B177" s="82">
        <f>VLOOKUP(A177,'Data shares'!$C$2:$CV$215,98,0)</f>
        <v>183250700</v>
      </c>
      <c r="C177" s="82">
        <f>VLOOKUP(A177,'Data shares'!$C$2:$CX$215,100,0)</f>
        <v>-1778775</v>
      </c>
      <c r="D177" s="141">
        <f>VLOOKUP(A177,'Data shares'!$C$2:$CY$538,101,0)</f>
        <v>-9.5999999999999992E-3</v>
      </c>
      <c r="E177" s="86">
        <f>VLOOKUP($A177,'Data shares'!$C:$FA,74)</f>
        <v>102591925</v>
      </c>
      <c r="F177" s="86">
        <f>VLOOKUP($A177,'Data shares'!$C:$FA,76)</f>
        <v>-384000</v>
      </c>
      <c r="G177" s="87">
        <f>VLOOKUP(A177,'Data shares'!$C$2:$CA$215,77,0)</f>
        <v>-3.7000000000000002E-3</v>
      </c>
      <c r="H177" s="86">
        <f>VLOOKUP($A177,'Data shares'!$C:$FA,90)</f>
        <v>49555900</v>
      </c>
      <c r="I177" s="86">
        <f>VLOOKUP($A177,'Data shares'!$C:$FA,92)</f>
        <v>-1417375</v>
      </c>
      <c r="J177" s="87">
        <f>VLOOKUP($A177,'Data shares'!$C:$FA,93)</f>
        <v>-2.7799999999999998E-2</v>
      </c>
      <c r="K177" s="86">
        <f>VLOOKUP($A177,'Data shares'!$C:$FA,94)</f>
        <v>31102875</v>
      </c>
      <c r="L177" s="86">
        <f>VLOOKUP($A177,'Data shares'!$C:$FA,96)</f>
        <v>22600</v>
      </c>
      <c r="M177" s="87">
        <f>VLOOKUP($A177,'Data shares'!$C:$FA,97)</f>
        <v>6.9999999999999999E-4</v>
      </c>
      <c r="N177" s="86">
        <f>VLOOKUP($A177,'Data shares'!$C:$FA,78)</f>
        <v>90778725</v>
      </c>
      <c r="O177" s="87">
        <f>VLOOKUP($A177,'Data shares'!$C:$FA,81)</f>
        <v>-1.2500000000000001E-2</v>
      </c>
    </row>
    <row r="178" spans="1:15" x14ac:dyDescent="0.25">
      <c r="A178" s="100" t="str">
        <f>'OI(Value)'!A178</f>
        <v>RELIANCE</v>
      </c>
      <c r="B178" s="82">
        <f>VLOOKUP(A178,'Data shares'!$C$2:$CV$215,98,0)</f>
        <v>178264500</v>
      </c>
      <c r="C178" s="82">
        <f>VLOOKUP(A178,'Data shares'!$C$2:$CX$215,100,0)</f>
        <v>-326000</v>
      </c>
      <c r="D178" s="141">
        <f>VLOOKUP(A178,'Data shares'!$C$2:$CY$538,101,0)</f>
        <v>-1.8E-3</v>
      </c>
      <c r="E178" s="86">
        <f>VLOOKUP($A178,'Data shares'!$C:$FA,74)</f>
        <v>99818000</v>
      </c>
      <c r="F178" s="86">
        <f>VLOOKUP($A178,'Data shares'!$C:$FA,76)</f>
        <v>619000</v>
      </c>
      <c r="G178" s="87">
        <f>VLOOKUP(A178,'Data shares'!$C$2:$CA$215,77,0)</f>
        <v>6.1999999999999998E-3</v>
      </c>
      <c r="H178" s="86">
        <f>VLOOKUP($A178,'Data shares'!$C:$FA,90)</f>
        <v>51209000</v>
      </c>
      <c r="I178" s="86">
        <f>VLOOKUP($A178,'Data shares'!$C:$FA,92)</f>
        <v>-644000</v>
      </c>
      <c r="J178" s="87">
        <f>VLOOKUP($A178,'Data shares'!$C:$FA,93)</f>
        <v>-1.24E-2</v>
      </c>
      <c r="K178" s="86">
        <f>VLOOKUP($A178,'Data shares'!$C:$FA,94)</f>
        <v>27237500</v>
      </c>
      <c r="L178" s="86">
        <f>VLOOKUP($A178,'Data shares'!$C:$FA,96)</f>
        <v>-301000</v>
      </c>
      <c r="M178" s="87">
        <f>VLOOKUP($A178,'Data shares'!$C:$FA,97)</f>
        <v>-1.09E-2</v>
      </c>
      <c r="N178" s="86">
        <f>VLOOKUP($A178,'Data shares'!$C:$FA,78)</f>
        <v>83377000</v>
      </c>
      <c r="O178" s="87">
        <f>VLOOKUP($A178,'Data shares'!$C:$FA,81)</f>
        <v>-4.8500000000000001E-2</v>
      </c>
    </row>
    <row r="179" spans="1:15" x14ac:dyDescent="0.25">
      <c r="A179" s="100" t="str">
        <f>'OI(Value)'!A179</f>
        <v>RVNL</v>
      </c>
      <c r="B179" s="82">
        <f>VLOOKUP(A179,'Data shares'!$C$2:$CV$215,98,0)</f>
        <v>80274850</v>
      </c>
      <c r="C179" s="82">
        <f>VLOOKUP(A179,'Data shares'!$C$2:$CX$215,100,0)</f>
        <v>824650</v>
      </c>
      <c r="D179" s="141">
        <f>VLOOKUP(A179,'Data shares'!$C$2:$CY$538,101,0)</f>
        <v>1.04E-2</v>
      </c>
      <c r="E179" s="86">
        <f>VLOOKUP($A179,'Data shares'!$C:$FA,74)</f>
        <v>48846950</v>
      </c>
      <c r="F179" s="86">
        <f>VLOOKUP($A179,'Data shares'!$C:$FA,76)</f>
        <v>770625</v>
      </c>
      <c r="G179" s="87">
        <f>VLOOKUP(A179,'Data shares'!$C$2:$CA$215,77,0)</f>
        <v>1.6E-2</v>
      </c>
      <c r="H179" s="86">
        <f>VLOOKUP($A179,'Data shares'!$C:$FA,90)</f>
        <v>21595750</v>
      </c>
      <c r="I179" s="86">
        <f>VLOOKUP($A179,'Data shares'!$C:$FA,92)</f>
        <v>51025</v>
      </c>
      <c r="J179" s="87">
        <f>VLOOKUP($A179,'Data shares'!$C:$FA,93)</f>
        <v>2.3999999999999998E-3</v>
      </c>
      <c r="K179" s="86">
        <f>VLOOKUP($A179,'Data shares'!$C:$FA,94)</f>
        <v>9832150</v>
      </c>
      <c r="L179" s="86">
        <f>VLOOKUP($A179,'Data shares'!$C:$FA,96)</f>
        <v>3000</v>
      </c>
      <c r="M179" s="87">
        <f>VLOOKUP($A179,'Data shares'!$C:$FA,97)</f>
        <v>2.9999999999999997E-4</v>
      </c>
      <c r="N179" s="86">
        <f>VLOOKUP($A179,'Data shares'!$C:$FA,78)</f>
        <v>39074750</v>
      </c>
      <c r="O179" s="87">
        <f>VLOOKUP($A179,'Data shares'!$C:$FA,81)</f>
        <v>5.9999999999999995E-4</v>
      </c>
    </row>
    <row r="180" spans="1:15" x14ac:dyDescent="0.25">
      <c r="A180" s="100" t="str">
        <f>'OI(Value)'!A180</f>
        <v>SAIL</v>
      </c>
      <c r="B180" s="82">
        <f>VLOOKUP(A180,'Data shares'!$C$2:$CV$215,98,0)</f>
        <v>264624100</v>
      </c>
      <c r="C180" s="82">
        <f>VLOOKUP(A180,'Data shares'!$C$2:$CX$215,100,0)</f>
        <v>6142900</v>
      </c>
      <c r="D180" s="141">
        <f>VLOOKUP(A180,'Data shares'!$C$2:$CY$538,101,0)</f>
        <v>2.3800000000000002E-2</v>
      </c>
      <c r="E180" s="86">
        <f>VLOOKUP($A180,'Data shares'!$C:$FA,74)</f>
        <v>177692900</v>
      </c>
      <c r="F180" s="86">
        <f>VLOOKUP($A180,'Data shares'!$C:$FA,76)</f>
        <v>1870600</v>
      </c>
      <c r="G180" s="87">
        <f>VLOOKUP(A180,'Data shares'!$C$2:$CA$215,77,0)</f>
        <v>1.06E-2</v>
      </c>
      <c r="H180" s="86">
        <f>VLOOKUP($A180,'Data shares'!$C:$FA,90)</f>
        <v>56089800</v>
      </c>
      <c r="I180" s="86">
        <f>VLOOKUP($A180,'Data shares'!$C:$FA,92)</f>
        <v>3243000</v>
      </c>
      <c r="J180" s="87">
        <f>VLOOKUP($A180,'Data shares'!$C:$FA,93)</f>
        <v>6.1400000000000003E-2</v>
      </c>
      <c r="K180" s="86">
        <f>VLOOKUP($A180,'Data shares'!$C:$FA,94)</f>
        <v>30841400</v>
      </c>
      <c r="L180" s="86">
        <f>VLOOKUP($A180,'Data shares'!$C:$FA,96)</f>
        <v>1029300</v>
      </c>
      <c r="M180" s="87">
        <f>VLOOKUP($A180,'Data shares'!$C:$FA,97)</f>
        <v>3.4500000000000003E-2</v>
      </c>
      <c r="N180" s="86">
        <f>VLOOKUP($A180,'Data shares'!$C:$FA,78)</f>
        <v>157069300</v>
      </c>
      <c r="O180" s="87">
        <f>VLOOKUP($A180,'Data shares'!$C:$FA,81)</f>
        <v>3.0999999999999999E-3</v>
      </c>
    </row>
    <row r="181" spans="1:15" x14ac:dyDescent="0.25">
      <c r="A181" s="100" t="str">
        <f>'OI(Value)'!A181</f>
        <v>SAMMAANCAP</v>
      </c>
      <c r="B181" s="82">
        <f>VLOOKUP(A181,'Data shares'!$C$2:$CV$215,98,0)</f>
        <v>229585600</v>
      </c>
      <c r="C181" s="82">
        <f>VLOOKUP(A181,'Data shares'!$C$2:$CX$215,100,0)</f>
        <v>9021400</v>
      </c>
      <c r="D181" s="141">
        <f>VLOOKUP(A181,'Data shares'!$C$2:$CY$538,101,0)</f>
        <v>4.0899999999999999E-2</v>
      </c>
      <c r="E181" s="86">
        <f>VLOOKUP($A181,'Data shares'!$C:$FA,74)</f>
        <v>118052200</v>
      </c>
      <c r="F181" s="86">
        <f>VLOOKUP($A181,'Data shares'!$C:$FA,76)</f>
        <v>3861400</v>
      </c>
      <c r="G181" s="87">
        <f>VLOOKUP(A181,'Data shares'!$C$2:$CA$215,77,0)</f>
        <v>3.3799999999999997E-2</v>
      </c>
      <c r="H181" s="86">
        <f>VLOOKUP($A181,'Data shares'!$C:$FA,90)</f>
        <v>65368600</v>
      </c>
      <c r="I181" s="86">
        <f>VLOOKUP($A181,'Data shares'!$C:$FA,92)</f>
        <v>68800</v>
      </c>
      <c r="J181" s="87">
        <f>VLOOKUP($A181,'Data shares'!$C:$FA,93)</f>
        <v>1.1000000000000001E-3</v>
      </c>
      <c r="K181" s="86">
        <f>VLOOKUP($A181,'Data shares'!$C:$FA,94)</f>
        <v>46164800</v>
      </c>
      <c r="L181" s="86">
        <f>VLOOKUP($A181,'Data shares'!$C:$FA,96)</f>
        <v>5091200</v>
      </c>
      <c r="M181" s="87">
        <f>VLOOKUP($A181,'Data shares'!$C:$FA,97)</f>
        <v>0.124</v>
      </c>
      <c r="N181" s="86">
        <f>VLOOKUP($A181,'Data shares'!$C:$FA,78)</f>
        <v>85703300</v>
      </c>
      <c r="O181" s="87">
        <f>VLOOKUP($A181,'Data shares'!$C:$FA,81)</f>
        <v>4.7000000000000002E-3</v>
      </c>
    </row>
    <row r="182" spans="1:15" x14ac:dyDescent="0.25">
      <c r="A182" s="100" t="str">
        <f>'OI(Value)'!A182</f>
        <v>SBICARD</v>
      </c>
      <c r="B182" s="82">
        <f>VLOOKUP(A182,'Data shares'!$C$2:$CV$215,98,0)</f>
        <v>26717600</v>
      </c>
      <c r="C182" s="82">
        <f>VLOOKUP(A182,'Data shares'!$C$2:$CX$215,100,0)</f>
        <v>-1126400</v>
      </c>
      <c r="D182" s="141">
        <f>VLOOKUP(A182,'Data shares'!$C$2:$CY$538,101,0)</f>
        <v>-4.0500000000000001E-2</v>
      </c>
      <c r="E182" s="86">
        <f>VLOOKUP($A182,'Data shares'!$C:$FA,74)</f>
        <v>16547200</v>
      </c>
      <c r="F182" s="86">
        <f>VLOOKUP($A182,'Data shares'!$C:$FA,76)</f>
        <v>-355200</v>
      </c>
      <c r="G182" s="87">
        <f>VLOOKUP(A182,'Data shares'!$C$2:$CA$215,77,0)</f>
        <v>-2.1000000000000001E-2</v>
      </c>
      <c r="H182" s="86">
        <f>VLOOKUP($A182,'Data shares'!$C:$FA,90)</f>
        <v>5924000</v>
      </c>
      <c r="I182" s="86">
        <f>VLOOKUP($A182,'Data shares'!$C:$FA,92)</f>
        <v>-663200</v>
      </c>
      <c r="J182" s="87">
        <f>VLOOKUP($A182,'Data shares'!$C:$FA,93)</f>
        <v>-0.1007</v>
      </c>
      <c r="K182" s="86">
        <f>VLOOKUP($A182,'Data shares'!$C:$FA,94)</f>
        <v>4246400</v>
      </c>
      <c r="L182" s="86">
        <f>VLOOKUP($A182,'Data shares'!$C:$FA,96)</f>
        <v>-108000</v>
      </c>
      <c r="M182" s="87">
        <f>VLOOKUP($A182,'Data shares'!$C:$FA,97)</f>
        <v>-2.4799999999999999E-2</v>
      </c>
      <c r="N182" s="86">
        <f>VLOOKUP($A182,'Data shares'!$C:$FA,78)</f>
        <v>15112800</v>
      </c>
      <c r="O182" s="87">
        <f>VLOOKUP($A182,'Data shares'!$C:$FA,81)</f>
        <v>-2.4400000000000002E-2</v>
      </c>
    </row>
    <row r="183" spans="1:15" x14ac:dyDescent="0.25">
      <c r="A183" s="100" t="str">
        <f>'OI(Value)'!A183</f>
        <v>SBILIFE</v>
      </c>
      <c r="B183" s="82">
        <f>VLOOKUP(A183,'Data shares'!$C$2:$CV$215,98,0)</f>
        <v>14508375</v>
      </c>
      <c r="C183" s="82">
        <f>VLOOKUP(A183,'Data shares'!$C$2:$CX$215,100,0)</f>
        <v>63000</v>
      </c>
      <c r="D183" s="141">
        <f>VLOOKUP(A183,'Data shares'!$C$2:$CY$538,101,0)</f>
        <v>4.4000000000000003E-3</v>
      </c>
      <c r="E183" s="86">
        <f>VLOOKUP($A183,'Data shares'!$C:$FA,74)</f>
        <v>7870125</v>
      </c>
      <c r="F183" s="86">
        <f>VLOOKUP($A183,'Data shares'!$C:$FA,76)</f>
        <v>-39000</v>
      </c>
      <c r="G183" s="87">
        <f>VLOOKUP(A183,'Data shares'!$C$2:$CA$215,77,0)</f>
        <v>-4.8999999999999998E-3</v>
      </c>
      <c r="H183" s="86">
        <f>VLOOKUP($A183,'Data shares'!$C:$FA,90)</f>
        <v>4469250</v>
      </c>
      <c r="I183" s="86">
        <f>VLOOKUP($A183,'Data shares'!$C:$FA,92)</f>
        <v>57750</v>
      </c>
      <c r="J183" s="87">
        <f>VLOOKUP($A183,'Data shares'!$C:$FA,93)</f>
        <v>1.3100000000000001E-2</v>
      </c>
      <c r="K183" s="86">
        <f>VLOOKUP($A183,'Data shares'!$C:$FA,94)</f>
        <v>2169000</v>
      </c>
      <c r="L183" s="86">
        <f>VLOOKUP($A183,'Data shares'!$C:$FA,96)</f>
        <v>44250</v>
      </c>
      <c r="M183" s="87">
        <f>VLOOKUP($A183,'Data shares'!$C:$FA,97)</f>
        <v>2.0799999999999999E-2</v>
      </c>
      <c r="N183" s="86">
        <f>VLOOKUP($A183,'Data shares'!$C:$FA,78)</f>
        <v>7330875</v>
      </c>
      <c r="O183" s="87">
        <f>VLOOKUP($A183,'Data shares'!$C:$FA,81)</f>
        <v>-1.9800000000000002E-2</v>
      </c>
    </row>
    <row r="184" spans="1:15" x14ac:dyDescent="0.25">
      <c r="A184" s="100" t="str">
        <f>'OI(Value)'!A184</f>
        <v>SBIN</v>
      </c>
      <c r="B184" s="82">
        <f>VLOOKUP(A184,'Data shares'!$C$2:$CV$215,98,0)</f>
        <v>155183250</v>
      </c>
      <c r="C184" s="82">
        <f>VLOOKUP(A184,'Data shares'!$C$2:$CX$215,100,0)</f>
        <v>-1077000</v>
      </c>
      <c r="D184" s="141">
        <f>VLOOKUP(A184,'Data shares'!$C$2:$CY$538,101,0)</f>
        <v>-6.8999999999999999E-3</v>
      </c>
      <c r="E184" s="86">
        <f>VLOOKUP($A184,'Data shares'!$C:$FA,74)</f>
        <v>73932750</v>
      </c>
      <c r="F184" s="86">
        <f>VLOOKUP($A184,'Data shares'!$C:$FA,76)</f>
        <v>-31500</v>
      </c>
      <c r="G184" s="87">
        <f>VLOOKUP(A184,'Data shares'!$C$2:$CA$215,77,0)</f>
        <v>-4.0000000000000002E-4</v>
      </c>
      <c r="H184" s="86">
        <f>VLOOKUP($A184,'Data shares'!$C:$FA,90)</f>
        <v>47121750</v>
      </c>
      <c r="I184" s="86">
        <f>VLOOKUP($A184,'Data shares'!$C:$FA,92)</f>
        <v>-1142250</v>
      </c>
      <c r="J184" s="87">
        <f>VLOOKUP($A184,'Data shares'!$C:$FA,93)</f>
        <v>-2.3699999999999999E-2</v>
      </c>
      <c r="K184" s="86">
        <f>VLOOKUP($A184,'Data shares'!$C:$FA,94)</f>
        <v>34128750</v>
      </c>
      <c r="L184" s="86">
        <f>VLOOKUP($A184,'Data shares'!$C:$FA,96)</f>
        <v>96750</v>
      </c>
      <c r="M184" s="87">
        <f>VLOOKUP($A184,'Data shares'!$C:$FA,97)</f>
        <v>2.8E-3</v>
      </c>
      <c r="N184" s="86">
        <f>VLOOKUP($A184,'Data shares'!$C:$FA,78)</f>
        <v>57329250</v>
      </c>
      <c r="O184" s="87">
        <f>VLOOKUP($A184,'Data shares'!$C:$FA,81)</f>
        <v>-4.9399999999999999E-2</v>
      </c>
    </row>
    <row r="185" spans="1:15" x14ac:dyDescent="0.25">
      <c r="A185" s="100" t="str">
        <f>'OI(Value)'!A185</f>
        <v>SHREECEM</v>
      </c>
      <c r="B185" s="82">
        <f>VLOOKUP(A185,'Data shares'!$C$2:$CV$215,98,0)</f>
        <v>548225</v>
      </c>
      <c r="C185" s="82">
        <f>VLOOKUP(A185,'Data shares'!$C$2:$CX$215,100,0)</f>
        <v>23025</v>
      </c>
      <c r="D185" s="141">
        <f>VLOOKUP(A185,'Data shares'!$C$2:$CY$538,101,0)</f>
        <v>4.3799999999999999E-2</v>
      </c>
      <c r="E185" s="86">
        <f>VLOOKUP($A185,'Data shares'!$C:$FA,74)</f>
        <v>336175</v>
      </c>
      <c r="F185" s="86">
        <f>VLOOKUP($A185,'Data shares'!$C:$FA,76)</f>
        <v>10550</v>
      </c>
      <c r="G185" s="87">
        <f>VLOOKUP(A185,'Data shares'!$C$2:$CA$215,77,0)</f>
        <v>3.2399999999999998E-2</v>
      </c>
      <c r="H185" s="86">
        <f>VLOOKUP($A185,'Data shares'!$C:$FA,90)</f>
        <v>151400</v>
      </c>
      <c r="I185" s="86">
        <f>VLOOKUP($A185,'Data shares'!$C:$FA,92)</f>
        <v>12750</v>
      </c>
      <c r="J185" s="87">
        <f>VLOOKUP($A185,'Data shares'!$C:$FA,93)</f>
        <v>9.1999999999999998E-2</v>
      </c>
      <c r="K185" s="86">
        <f>VLOOKUP($A185,'Data shares'!$C:$FA,94)</f>
        <v>60650</v>
      </c>
      <c r="L185" s="86">
        <f>VLOOKUP($A185,'Data shares'!$C:$FA,96)</f>
        <v>-275</v>
      </c>
      <c r="M185" s="87">
        <f>VLOOKUP($A185,'Data shares'!$C:$FA,97)</f>
        <v>-4.4999999999999997E-3</v>
      </c>
      <c r="N185" s="86">
        <f>VLOOKUP($A185,'Data shares'!$C:$FA,78)</f>
        <v>297250</v>
      </c>
      <c r="O185" s="87">
        <f>VLOOKUP($A185,'Data shares'!$C:$FA,81)</f>
        <v>1.9599999999999999E-2</v>
      </c>
    </row>
    <row r="186" spans="1:15" x14ac:dyDescent="0.25">
      <c r="A186" s="100" t="str">
        <f>'OI(Value)'!A186</f>
        <v>SHRIRAMFIN</v>
      </c>
      <c r="B186" s="82">
        <f>VLOOKUP(A186,'Data shares'!$C$2:$CV$215,98,0)</f>
        <v>99533775</v>
      </c>
      <c r="C186" s="82">
        <f>VLOOKUP(A186,'Data shares'!$C$2:$CX$215,100,0)</f>
        <v>-3419625</v>
      </c>
      <c r="D186" s="141">
        <f>VLOOKUP(A186,'Data shares'!$C$2:$CY$538,101,0)</f>
        <v>-3.32E-2</v>
      </c>
      <c r="E186" s="86">
        <f>VLOOKUP($A186,'Data shares'!$C:$FA,74)</f>
        <v>64087650</v>
      </c>
      <c r="F186" s="86">
        <f>VLOOKUP($A186,'Data shares'!$C:$FA,76)</f>
        <v>-3647325</v>
      </c>
      <c r="G186" s="87">
        <f>VLOOKUP(A186,'Data shares'!$C$2:$CA$215,77,0)</f>
        <v>-5.3800000000000001E-2</v>
      </c>
      <c r="H186" s="86">
        <f>VLOOKUP($A186,'Data shares'!$C:$FA,90)</f>
        <v>21280050</v>
      </c>
      <c r="I186" s="86">
        <f>VLOOKUP($A186,'Data shares'!$C:$FA,92)</f>
        <v>-1140150</v>
      </c>
      <c r="J186" s="87">
        <f>VLOOKUP($A186,'Data shares'!$C:$FA,93)</f>
        <v>-5.0900000000000001E-2</v>
      </c>
      <c r="K186" s="86">
        <f>VLOOKUP($A186,'Data shares'!$C:$FA,94)</f>
        <v>14166075</v>
      </c>
      <c r="L186" s="86">
        <f>VLOOKUP($A186,'Data shares'!$C:$FA,96)</f>
        <v>1367850</v>
      </c>
      <c r="M186" s="87">
        <f>VLOOKUP($A186,'Data shares'!$C:$FA,97)</f>
        <v>0.1069</v>
      </c>
      <c r="N186" s="86">
        <f>VLOOKUP($A186,'Data shares'!$C:$FA,78)</f>
        <v>59790225</v>
      </c>
      <c r="O186" s="87">
        <f>VLOOKUP($A186,'Data shares'!$C:$FA,81)</f>
        <v>-6.3399999999999998E-2</v>
      </c>
    </row>
    <row r="187" spans="1:15" x14ac:dyDescent="0.25">
      <c r="A187" s="100" t="str">
        <f>'OI(Value)'!A187</f>
        <v>SIEMENS</v>
      </c>
      <c r="B187" s="82">
        <f>VLOOKUP(A187,'Data shares'!$C$2:$CV$215,98,0)</f>
        <v>6773625</v>
      </c>
      <c r="C187" s="82">
        <f>VLOOKUP(A187,'Data shares'!$C$2:$CX$215,100,0)</f>
        <v>210825</v>
      </c>
      <c r="D187" s="141">
        <f>VLOOKUP(A187,'Data shares'!$C$2:$CY$538,101,0)</f>
        <v>3.2099999999999997E-2</v>
      </c>
      <c r="E187" s="86">
        <f>VLOOKUP($A187,'Data shares'!$C:$FA,74)</f>
        <v>3044950</v>
      </c>
      <c r="F187" s="86">
        <f>VLOOKUP($A187,'Data shares'!$C:$FA,76)</f>
        <v>-14850</v>
      </c>
      <c r="G187" s="87">
        <f>VLOOKUP(A187,'Data shares'!$C$2:$CA$215,77,0)</f>
        <v>-4.8999999999999998E-3</v>
      </c>
      <c r="H187" s="86">
        <f>VLOOKUP($A187,'Data shares'!$C:$FA,90)</f>
        <v>2556100</v>
      </c>
      <c r="I187" s="86">
        <f>VLOOKUP($A187,'Data shares'!$C:$FA,92)</f>
        <v>257150</v>
      </c>
      <c r="J187" s="87">
        <f>VLOOKUP($A187,'Data shares'!$C:$FA,93)</f>
        <v>0.1119</v>
      </c>
      <c r="K187" s="86">
        <f>VLOOKUP($A187,'Data shares'!$C:$FA,94)</f>
        <v>1172575</v>
      </c>
      <c r="L187" s="86">
        <f>VLOOKUP($A187,'Data shares'!$C:$FA,96)</f>
        <v>-31475</v>
      </c>
      <c r="M187" s="87">
        <f>VLOOKUP($A187,'Data shares'!$C:$FA,97)</f>
        <v>-2.6100000000000002E-2</v>
      </c>
      <c r="N187" s="86">
        <f>VLOOKUP($A187,'Data shares'!$C:$FA,78)</f>
        <v>2687250</v>
      </c>
      <c r="O187" s="87">
        <f>VLOOKUP($A187,'Data shares'!$C:$FA,81)</f>
        <v>-9.9000000000000008E-3</v>
      </c>
    </row>
    <row r="188" spans="1:15" x14ac:dyDescent="0.25">
      <c r="A188" s="100" t="str">
        <f>'OI(Value)'!A188</f>
        <v>SOLARINDS</v>
      </c>
      <c r="B188" s="82">
        <f>VLOOKUP(A188,'Data shares'!$C$2:$CV$215,98,0)</f>
        <v>2151350</v>
      </c>
      <c r="C188" s="82">
        <f>VLOOKUP(A188,'Data shares'!$C$2:$CX$215,100,0)</f>
        <v>-16150</v>
      </c>
      <c r="D188" s="141">
        <f>VLOOKUP(A188,'Data shares'!$C$2:$CY$538,101,0)</f>
        <v>-7.4999999999999997E-3</v>
      </c>
      <c r="E188" s="86">
        <f>VLOOKUP($A188,'Data shares'!$C:$FA,74)</f>
        <v>1025875</v>
      </c>
      <c r="F188" s="86">
        <f>VLOOKUP($A188,'Data shares'!$C:$FA,76)</f>
        <v>10050</v>
      </c>
      <c r="G188" s="87">
        <f>VLOOKUP(A188,'Data shares'!$C$2:$CA$215,77,0)</f>
        <v>9.9000000000000008E-3</v>
      </c>
      <c r="H188" s="86">
        <f>VLOOKUP($A188,'Data shares'!$C:$FA,90)</f>
        <v>804450</v>
      </c>
      <c r="I188" s="86">
        <f>VLOOKUP($A188,'Data shares'!$C:$FA,92)</f>
        <v>-29975</v>
      </c>
      <c r="J188" s="87">
        <f>VLOOKUP($A188,'Data shares'!$C:$FA,93)</f>
        <v>-3.5900000000000001E-2</v>
      </c>
      <c r="K188" s="86">
        <f>VLOOKUP($A188,'Data shares'!$C:$FA,94)</f>
        <v>321025</v>
      </c>
      <c r="L188" s="86">
        <f>VLOOKUP($A188,'Data shares'!$C:$FA,96)</f>
        <v>3775</v>
      </c>
      <c r="M188" s="87">
        <f>VLOOKUP($A188,'Data shares'!$C:$FA,97)</f>
        <v>1.1900000000000001E-2</v>
      </c>
      <c r="N188" s="86">
        <f>VLOOKUP($A188,'Data shares'!$C:$FA,78)</f>
        <v>925125</v>
      </c>
      <c r="O188" s="87">
        <f>VLOOKUP($A188,'Data shares'!$C:$FA,81)</f>
        <v>-4.7000000000000002E-3</v>
      </c>
    </row>
    <row r="189" spans="1:15" x14ac:dyDescent="0.25">
      <c r="A189" s="100" t="str">
        <f>'OI(Value)'!A189</f>
        <v>ZYDUSLIFE</v>
      </c>
      <c r="B189" s="82">
        <f>VLOOKUP(A189,'Data shares'!$C$2:$CV$215,98,0)</f>
        <v>19059300</v>
      </c>
      <c r="C189" s="82">
        <f>VLOOKUP(A189,'Data shares'!$C$2:$CX$215,100,0)</f>
        <v>149400</v>
      </c>
      <c r="D189" s="141">
        <f>VLOOKUP(A189,'Data shares'!$C$2:$CY$538,101,0)</f>
        <v>7.9000000000000008E-3</v>
      </c>
      <c r="E189" s="86">
        <f>VLOOKUP($A189,'Data shares'!$C:$FA,74)</f>
        <v>11243700</v>
      </c>
      <c r="F189" s="86">
        <f>VLOOKUP($A189,'Data shares'!$C:$FA,76)</f>
        <v>-55800</v>
      </c>
      <c r="G189" s="87">
        <f>VLOOKUP(A189,'Data shares'!$C$2:$CA$215,77,0)</f>
        <v>-4.8999999999999998E-3</v>
      </c>
      <c r="H189" s="86">
        <f>VLOOKUP($A189,'Data shares'!$C:$FA,90)</f>
        <v>4500000</v>
      </c>
      <c r="I189" s="86">
        <f>VLOOKUP($A189,'Data shares'!$C:$FA,92)</f>
        <v>117900</v>
      </c>
      <c r="J189" s="87">
        <f>VLOOKUP($A189,'Data shares'!$C:$FA,93)</f>
        <v>2.69E-2</v>
      </c>
      <c r="K189" s="86">
        <f>VLOOKUP($A189,'Data shares'!$C:$FA,94)</f>
        <v>3315600</v>
      </c>
      <c r="L189" s="86">
        <f>VLOOKUP($A189,'Data shares'!$C:$FA,96)</f>
        <v>87300</v>
      </c>
      <c r="M189" s="87">
        <f>VLOOKUP($A189,'Data shares'!$C:$FA,97)</f>
        <v>2.7E-2</v>
      </c>
      <c r="N189" s="86">
        <f>VLOOKUP($A189,'Data shares'!$C:$FA,78)</f>
        <v>10415700</v>
      </c>
      <c r="O189" s="87">
        <f>VLOOKUP($A189,'Data shares'!$C:$FA,81)</f>
        <v>-1.35E-2</v>
      </c>
    </row>
    <row r="190" spans="1:15" x14ac:dyDescent="0.25">
      <c r="A190" s="100"/>
      <c r="B190" s="82"/>
      <c r="C190" s="82"/>
      <c r="D190" s="141"/>
      <c r="E190" s="86"/>
      <c r="F190" s="86"/>
      <c r="G190" s="87"/>
      <c r="H190" s="86"/>
      <c r="I190" s="86"/>
      <c r="J190" s="87"/>
      <c r="K190" s="86"/>
      <c r="L190" s="86"/>
      <c r="M190" s="87"/>
      <c r="N190" s="86"/>
      <c r="O190" s="87"/>
    </row>
    <row r="191" spans="1:15" x14ac:dyDescent="0.25">
      <c r="A191" s="100"/>
      <c r="B191" s="82"/>
      <c r="C191" s="82"/>
      <c r="D191" s="141"/>
      <c r="E191" s="86"/>
      <c r="F191" s="86"/>
      <c r="G191" s="87"/>
      <c r="H191" s="86"/>
      <c r="I191" s="86"/>
      <c r="J191" s="87"/>
      <c r="K191" s="86"/>
      <c r="L191" s="86"/>
      <c r="M191" s="87"/>
      <c r="N191" s="86"/>
      <c r="O191" s="87"/>
    </row>
    <row r="192" spans="1:15" x14ac:dyDescent="0.25">
      <c r="A192" s="100"/>
      <c r="B192" s="82"/>
      <c r="C192" s="82"/>
      <c r="D192" s="141"/>
      <c r="E192" s="86"/>
      <c r="F192" s="86"/>
      <c r="G192" s="87"/>
      <c r="H192" s="86"/>
      <c r="I192" s="86"/>
      <c r="J192" s="87"/>
      <c r="K192" s="86"/>
      <c r="L192" s="86"/>
      <c r="M192" s="87"/>
      <c r="N192" s="86"/>
      <c r="O192" s="87"/>
    </row>
    <row r="193" spans="1:15" x14ac:dyDescent="0.25">
      <c r="A193" s="100"/>
      <c r="B193" s="82"/>
      <c r="C193" s="82"/>
      <c r="D193" s="141"/>
      <c r="E193" s="86"/>
      <c r="F193" s="86"/>
      <c r="G193" s="87"/>
      <c r="H193" s="86"/>
      <c r="I193" s="86"/>
      <c r="J193" s="87"/>
      <c r="K193" s="86"/>
      <c r="L193" s="86"/>
      <c r="M193" s="87"/>
      <c r="N193" s="86"/>
      <c r="O193" s="87"/>
    </row>
    <row r="194" spans="1:15" x14ac:dyDescent="0.25">
      <c r="A194" s="100"/>
      <c r="B194" s="82"/>
      <c r="C194" s="82"/>
      <c r="D194" s="141"/>
      <c r="E194" s="86"/>
      <c r="F194" s="86"/>
      <c r="G194" s="87"/>
      <c r="H194" s="86"/>
      <c r="I194" s="86"/>
      <c r="J194" s="87"/>
      <c r="K194" s="86"/>
      <c r="L194" s="86"/>
      <c r="M194" s="87"/>
      <c r="N194" s="86"/>
      <c r="O194" s="87"/>
    </row>
    <row r="195" spans="1:15" x14ac:dyDescent="0.25">
      <c r="A195" s="100"/>
      <c r="B195" s="82"/>
      <c r="C195" s="82"/>
      <c r="D195" s="141"/>
      <c r="E195" s="86"/>
      <c r="F195" s="86"/>
      <c r="G195" s="87"/>
      <c r="H195" s="86"/>
      <c r="I195" s="86"/>
      <c r="J195" s="87"/>
      <c r="K195" s="86"/>
      <c r="L195" s="86"/>
      <c r="M195" s="87"/>
      <c r="N195" s="86"/>
      <c r="O195" s="87"/>
    </row>
    <row r="196" spans="1:15" x14ac:dyDescent="0.25">
      <c r="A196" s="100"/>
      <c r="B196" s="82"/>
      <c r="C196" s="82"/>
      <c r="D196" s="141"/>
      <c r="E196" s="86"/>
      <c r="F196" s="86"/>
      <c r="G196" s="87"/>
      <c r="H196" s="86"/>
      <c r="I196" s="86"/>
      <c r="J196" s="87"/>
      <c r="K196" s="86"/>
      <c r="L196" s="86"/>
      <c r="M196" s="87"/>
      <c r="N196" s="86"/>
      <c r="O196" s="87"/>
    </row>
    <row r="197" spans="1:15" x14ac:dyDescent="0.25">
      <c r="A197" s="100"/>
      <c r="B197" s="82"/>
      <c r="C197" s="82"/>
      <c r="D197" s="141"/>
      <c r="E197" s="86"/>
      <c r="F197" s="86"/>
      <c r="G197" s="87"/>
      <c r="H197" s="86"/>
      <c r="I197" s="86"/>
      <c r="J197" s="87"/>
      <c r="K197" s="86"/>
      <c r="L197" s="86"/>
      <c r="M197" s="87"/>
      <c r="N197" s="86"/>
      <c r="O197" s="87"/>
    </row>
    <row r="198" spans="1:15" x14ac:dyDescent="0.25">
      <c r="A198" s="100"/>
      <c r="B198" s="82"/>
      <c r="C198" s="82"/>
      <c r="D198" s="141"/>
      <c r="E198" s="86"/>
      <c r="F198" s="86"/>
      <c r="G198" s="87"/>
      <c r="H198" s="86"/>
      <c r="I198" s="86"/>
      <c r="J198" s="87"/>
      <c r="K198" s="86"/>
      <c r="L198" s="86"/>
      <c r="M198" s="87"/>
      <c r="N198" s="86"/>
      <c r="O198" s="87"/>
    </row>
    <row r="199" spans="1:15" x14ac:dyDescent="0.25">
      <c r="A199" s="100"/>
      <c r="B199" s="82"/>
      <c r="C199" s="82"/>
      <c r="D199" s="141"/>
      <c r="E199" s="86"/>
      <c r="F199" s="86"/>
      <c r="G199" s="87"/>
      <c r="H199" s="86"/>
      <c r="I199" s="86"/>
      <c r="J199" s="87"/>
      <c r="K199" s="86"/>
      <c r="L199" s="86"/>
      <c r="M199" s="87"/>
      <c r="N199" s="86"/>
      <c r="O199" s="87"/>
    </row>
    <row r="200" spans="1:15" x14ac:dyDescent="0.25">
      <c r="A200" s="100"/>
      <c r="B200" s="82"/>
      <c r="C200" s="82"/>
      <c r="D200" s="141"/>
      <c r="E200" s="86"/>
      <c r="F200" s="86"/>
      <c r="G200" s="87"/>
      <c r="H200" s="86"/>
      <c r="I200" s="86"/>
      <c r="J200" s="87"/>
      <c r="K200" s="86"/>
      <c r="L200" s="86"/>
      <c r="M200" s="87"/>
      <c r="N200" s="86"/>
      <c r="O200" s="87"/>
    </row>
    <row r="201" spans="1:15" x14ac:dyDescent="0.25">
      <c r="A201" s="100"/>
      <c r="B201" s="82"/>
      <c r="C201" s="82"/>
      <c r="D201" s="141"/>
      <c r="E201" s="86"/>
      <c r="F201" s="86"/>
      <c r="G201" s="87"/>
      <c r="H201" s="86"/>
      <c r="I201" s="86"/>
      <c r="J201" s="87"/>
      <c r="K201" s="86"/>
      <c r="L201" s="86"/>
      <c r="M201" s="87"/>
      <c r="N201" s="86"/>
      <c r="O201" s="87"/>
    </row>
    <row r="202" spans="1:15" x14ac:dyDescent="0.25">
      <c r="A202" s="100"/>
      <c r="B202" s="82"/>
      <c r="C202" s="82"/>
      <c r="D202" s="141"/>
      <c r="E202" s="86"/>
      <c r="F202" s="86"/>
      <c r="G202" s="87"/>
      <c r="H202" s="86"/>
      <c r="I202" s="86"/>
      <c r="J202" s="87"/>
      <c r="K202" s="86"/>
      <c r="L202" s="86"/>
      <c r="M202" s="87"/>
      <c r="N202" s="86"/>
      <c r="O202" s="87"/>
    </row>
    <row r="203" spans="1:15" x14ac:dyDescent="0.25">
      <c r="A203" s="100"/>
      <c r="B203" s="82"/>
      <c r="C203" s="82"/>
      <c r="D203" s="141"/>
      <c r="E203" s="86"/>
      <c r="F203" s="86"/>
      <c r="G203" s="87"/>
      <c r="H203" s="86"/>
      <c r="I203" s="86"/>
      <c r="J203" s="87"/>
      <c r="K203" s="86"/>
      <c r="L203" s="86"/>
      <c r="M203" s="87"/>
      <c r="N203" s="86"/>
      <c r="O203" s="87"/>
    </row>
    <row r="204" spans="1:15" x14ac:dyDescent="0.25">
      <c r="A204" s="100"/>
      <c r="B204" s="82"/>
      <c r="C204" s="82"/>
      <c r="D204" s="141"/>
      <c r="E204" s="86"/>
      <c r="F204" s="86"/>
      <c r="G204" s="87"/>
      <c r="H204" s="86"/>
      <c r="I204" s="86"/>
      <c r="J204" s="87"/>
      <c r="K204" s="86"/>
      <c r="L204" s="86"/>
      <c r="M204" s="87"/>
      <c r="N204" s="86"/>
      <c r="O204" s="87"/>
    </row>
    <row r="205" spans="1:15" x14ac:dyDescent="0.25">
      <c r="A205" s="100"/>
      <c r="B205" s="82"/>
      <c r="C205" s="82"/>
      <c r="D205" s="141"/>
      <c r="E205" s="86"/>
      <c r="F205" s="86"/>
      <c r="G205" s="87"/>
      <c r="H205" s="86"/>
      <c r="I205" s="86"/>
      <c r="J205" s="87"/>
      <c r="K205" s="86"/>
      <c r="L205" s="86"/>
      <c r="M205" s="87"/>
      <c r="N205" s="86"/>
      <c r="O205" s="87"/>
    </row>
    <row r="206" spans="1:15" x14ac:dyDescent="0.25">
      <c r="A206" s="100"/>
      <c r="B206" s="82"/>
      <c r="C206" s="82"/>
      <c r="D206" s="141"/>
      <c r="E206" s="86"/>
      <c r="F206" s="86"/>
      <c r="G206" s="87"/>
      <c r="H206" s="86"/>
      <c r="I206" s="86"/>
      <c r="J206" s="87"/>
      <c r="K206" s="86"/>
      <c r="L206" s="86"/>
      <c r="M206" s="87"/>
      <c r="N206" s="86"/>
      <c r="O206" s="87"/>
    </row>
    <row r="207" spans="1:15" x14ac:dyDescent="0.25">
      <c r="A207" s="100"/>
      <c r="B207" s="82"/>
      <c r="C207" s="82"/>
      <c r="D207" s="141"/>
      <c r="E207" s="86"/>
      <c r="F207" s="86"/>
      <c r="G207" s="87"/>
      <c r="H207" s="86"/>
      <c r="I207" s="86"/>
      <c r="J207" s="87"/>
      <c r="K207" s="86"/>
      <c r="L207" s="86"/>
      <c r="M207" s="87"/>
      <c r="N207" s="86"/>
      <c r="O207" s="87"/>
    </row>
    <row r="208" spans="1:15" x14ac:dyDescent="0.25">
      <c r="A208" s="100"/>
      <c r="B208" s="82"/>
      <c r="C208" s="82"/>
      <c r="D208" s="141"/>
      <c r="E208" s="86"/>
      <c r="F208" s="86"/>
      <c r="G208" s="87"/>
      <c r="H208" s="86"/>
      <c r="I208" s="86"/>
      <c r="J208" s="87"/>
      <c r="K208" s="86"/>
      <c r="L208" s="86"/>
      <c r="M208" s="87"/>
      <c r="N208" s="86"/>
      <c r="O208" s="87"/>
    </row>
    <row r="209" spans="1:15" x14ac:dyDescent="0.25">
      <c r="A209" s="100"/>
      <c r="B209" s="82"/>
      <c r="C209" s="82"/>
      <c r="D209" s="141"/>
      <c r="E209" s="86"/>
      <c r="F209" s="86"/>
      <c r="G209" s="87"/>
      <c r="H209" s="86"/>
      <c r="I209" s="86"/>
      <c r="J209" s="87"/>
      <c r="K209" s="86"/>
      <c r="L209" s="86"/>
      <c r="M209" s="87"/>
      <c r="N209" s="86"/>
      <c r="O209" s="87"/>
    </row>
    <row r="210" spans="1:15" x14ac:dyDescent="0.25">
      <c r="A210" s="100"/>
      <c r="B210" s="82"/>
      <c r="C210" s="82"/>
      <c r="D210" s="141"/>
      <c r="E210" s="86"/>
      <c r="F210" s="86"/>
      <c r="G210" s="87"/>
      <c r="H210" s="86"/>
      <c r="I210" s="86"/>
      <c r="J210" s="87"/>
      <c r="K210" s="86"/>
      <c r="L210" s="86"/>
      <c r="M210" s="87"/>
      <c r="N210" s="86"/>
      <c r="O210" s="87"/>
    </row>
    <row r="211" spans="1:15" x14ac:dyDescent="0.25">
      <c r="A211" s="100"/>
      <c r="B211" s="82"/>
      <c r="C211" s="82"/>
      <c r="D211" s="141"/>
      <c r="E211" s="86"/>
      <c r="F211" s="86"/>
      <c r="G211" s="87"/>
      <c r="H211" s="86"/>
      <c r="I211" s="86"/>
      <c r="J211" s="87"/>
      <c r="K211" s="86"/>
      <c r="L211" s="86"/>
      <c r="M211" s="87"/>
      <c r="N211" s="86"/>
      <c r="O211" s="87"/>
    </row>
    <row r="212" spans="1:15" x14ac:dyDescent="0.25">
      <c r="A212" s="100"/>
      <c r="B212" s="82"/>
      <c r="C212" s="82"/>
      <c r="D212" s="141"/>
      <c r="E212" s="86"/>
      <c r="F212" s="86"/>
      <c r="G212" s="87"/>
      <c r="H212" s="86"/>
      <c r="I212" s="86"/>
      <c r="J212" s="87"/>
      <c r="K212" s="86"/>
      <c r="L212" s="86"/>
      <c r="M212" s="87"/>
      <c r="N212" s="86"/>
      <c r="O212" s="87"/>
    </row>
    <row r="213" spans="1:15" x14ac:dyDescent="0.25">
      <c r="A213" s="100"/>
      <c r="B213" s="82"/>
      <c r="C213" s="82"/>
      <c r="D213" s="141"/>
      <c r="E213" s="86"/>
      <c r="F213" s="86"/>
      <c r="G213" s="87"/>
      <c r="H213" s="86"/>
      <c r="I213" s="86"/>
      <c r="J213" s="87"/>
      <c r="K213" s="86"/>
      <c r="L213" s="86"/>
      <c r="M213" s="87"/>
      <c r="N213" s="86"/>
      <c r="O213" s="87"/>
    </row>
    <row r="214" spans="1:15" x14ac:dyDescent="0.25">
      <c r="A214" s="100"/>
      <c r="B214" s="17"/>
      <c r="C214" s="17"/>
      <c r="D214" s="17"/>
      <c r="E214" s="17"/>
      <c r="F214" s="17"/>
      <c r="G214" s="17"/>
      <c r="H214" s="17"/>
      <c r="I214" s="17"/>
      <c r="J214" s="17"/>
      <c r="K214" s="17"/>
      <c r="L214" s="17"/>
      <c r="M214" s="17"/>
      <c r="N214" s="17"/>
      <c r="O214" s="17"/>
    </row>
    <row r="215" spans="1:15" x14ac:dyDescent="0.25">
      <c r="A215" s="98"/>
      <c r="B215" s="17"/>
      <c r="C215" s="17"/>
      <c r="D215" s="17"/>
      <c r="E215" s="17"/>
      <c r="F215" s="17"/>
      <c r="G215" s="17"/>
      <c r="H215" s="17"/>
      <c r="I215" s="17"/>
      <c r="J215" s="17"/>
      <c r="K215" s="17"/>
      <c r="L215" s="17"/>
      <c r="M215" s="17"/>
      <c r="N215" s="17"/>
      <c r="O215" s="17"/>
    </row>
    <row r="216" spans="1:15" s="89" customFormat="1" ht="16.5" customHeight="1" x14ac:dyDescent="0.25">
      <c r="A216" s="118" t="s">
        <v>391</v>
      </c>
      <c r="B216" s="119">
        <f>SUM(B7:B215)</f>
        <v>24672750157</v>
      </c>
      <c r="C216" s="119">
        <f>SUM(C7:C215)</f>
        <v>72810899</v>
      </c>
      <c r="D216" s="120">
        <f>C216*100/(B216-C216)</f>
        <v>0.29597999505759592</v>
      </c>
      <c r="E216" s="119">
        <f>SUM(E7:E215)</f>
        <v>14474448368</v>
      </c>
      <c r="F216" s="119">
        <f>SUM(F7:F215)</f>
        <v>-3019666</v>
      </c>
      <c r="G216" s="120">
        <f>F216*100/(E216-F216)</f>
        <v>-2.0857694127926128E-2</v>
      </c>
      <c r="H216" s="119">
        <f>SUM(H7:H215)</f>
        <v>6408565454</v>
      </c>
      <c r="I216" s="119">
        <f>SUM(I7:I215)</f>
        <v>88636231</v>
      </c>
      <c r="J216" s="120">
        <f>I216*100/(H216-I216)</f>
        <v>1.4024877158026996</v>
      </c>
      <c r="K216" s="119">
        <f>SUM(K7:K215)</f>
        <v>3789736335</v>
      </c>
      <c r="L216" s="119">
        <f>SUM(L7:L215)</f>
        <v>-12805666</v>
      </c>
      <c r="M216" s="120">
        <f>L216*100/(K216-L216)</f>
        <v>-0.33676593175387254</v>
      </c>
      <c r="N216" s="119">
        <f>SUM(N7:N215)</f>
        <v>12588746802</v>
      </c>
      <c r="O216" s="120">
        <f>(N216-FII!V3)/N216*100</f>
        <v>-18.389144308091232</v>
      </c>
    </row>
    <row r="217" spans="1:15" s="89" customFormat="1" ht="16.5" customHeight="1" x14ac:dyDescent="0.25">
      <c r="A217" s="118" t="s">
        <v>409</v>
      </c>
      <c r="B217" s="121">
        <f>B216/10000000</f>
        <v>2467.2750157</v>
      </c>
      <c r="C217" s="121">
        <f>C216/10000000</f>
        <v>7.2810898999999996</v>
      </c>
      <c r="D217" s="120">
        <f>D216</f>
        <v>0.29597999505759592</v>
      </c>
      <c r="E217" s="121">
        <f>E216/10000000</f>
        <v>1447.4448368000001</v>
      </c>
      <c r="F217" s="121">
        <f>F216/10000000</f>
        <v>-0.30196659999999997</v>
      </c>
      <c r="G217" s="120">
        <f>G216</f>
        <v>-2.0857694127926128E-2</v>
      </c>
      <c r="H217" s="121">
        <f>H216/10000000</f>
        <v>640.85654539999996</v>
      </c>
      <c r="I217" s="121">
        <f>I216/10000000</f>
        <v>8.8636230999999999</v>
      </c>
      <c r="J217" s="120">
        <f>J216</f>
        <v>1.4024877158026996</v>
      </c>
      <c r="K217" s="121">
        <f>K216/10000000</f>
        <v>378.97363350000001</v>
      </c>
      <c r="L217" s="121">
        <f>L216/10000000</f>
        <v>-1.2805666</v>
      </c>
      <c r="M217" s="120">
        <f>M216</f>
        <v>-0.33676593175387254</v>
      </c>
      <c r="N217" s="121">
        <f>N216/10000000</f>
        <v>1258.8746802000001</v>
      </c>
      <c r="O217" s="120">
        <f>O216</f>
        <v>-18.389144308091232</v>
      </c>
    </row>
    <row r="225" spans="1:4" x14ac:dyDescent="0.25">
      <c r="A225" s="273" t="s">
        <v>410</v>
      </c>
      <c r="B225" s="273"/>
      <c r="C225" s="273"/>
      <c r="D225" s="273"/>
    </row>
    <row r="226" spans="1:4" x14ac:dyDescent="0.25">
      <c r="A226" s="35" t="s">
        <v>401</v>
      </c>
      <c r="B226" s="35" t="s">
        <v>402</v>
      </c>
      <c r="C226" s="35" t="s">
        <v>369</v>
      </c>
      <c r="D226" s="35" t="s">
        <v>407</v>
      </c>
    </row>
    <row r="227" spans="1:4" x14ac:dyDescent="0.25">
      <c r="A227" s="36" t="s">
        <v>403</v>
      </c>
      <c r="B227" s="37">
        <f>E217</f>
        <v>1447.4448368000001</v>
      </c>
      <c r="C227" s="37">
        <f>F217</f>
        <v>-0.30196659999999997</v>
      </c>
      <c r="D227" s="39">
        <f>C227/B227</f>
        <v>-2.0862045469558993E-4</v>
      </c>
    </row>
    <row r="228" spans="1:4" x14ac:dyDescent="0.25">
      <c r="A228" s="36" t="s">
        <v>404</v>
      </c>
      <c r="B228" s="37">
        <f>H217</f>
        <v>640.85654539999996</v>
      </c>
      <c r="C228" s="37">
        <f>I217</f>
        <v>8.8636230999999999</v>
      </c>
      <c r="D228" s="39">
        <f>C228/B228</f>
        <v>1.3830900477840389E-2</v>
      </c>
    </row>
    <row r="229" spans="1:4" x14ac:dyDescent="0.25">
      <c r="A229" s="36" t="s">
        <v>405</v>
      </c>
      <c r="B229" s="37">
        <f>K217</f>
        <v>378.97363350000001</v>
      </c>
      <c r="C229" s="37">
        <f>L217</f>
        <v>-1.2805666</v>
      </c>
      <c r="D229" s="39">
        <f>C229/B229</f>
        <v>-3.3790387689332482E-3</v>
      </c>
    </row>
    <row r="230" spans="1:4" x14ac:dyDescent="0.25">
      <c r="A230" s="36" t="s">
        <v>406</v>
      </c>
      <c r="B230" s="40">
        <f>SUM(B227:B229)</f>
        <v>2467.2750157</v>
      </c>
      <c r="C230" s="40">
        <f>SUM(C227:C229)</f>
        <v>7.2810898999999996</v>
      </c>
      <c r="D230" s="41">
        <f>C230/B230</f>
        <v>2.951065387388221E-3</v>
      </c>
    </row>
  </sheetData>
  <mergeCells count="9">
    <mergeCell ref="A225:D22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ySplit="6" topLeftCell="A157" activePane="bottomLeft" state="frozen"/>
      <selection pane="bottomLeft" activeCell="A2" sqref="A2:XFD2"/>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46009</v>
      </c>
      <c r="C6" s="76" t="s">
        <v>333</v>
      </c>
      <c r="D6" s="76" t="s">
        <v>328</v>
      </c>
      <c r="E6" s="3">
        <f>B6</f>
        <v>46009</v>
      </c>
      <c r="F6" s="76" t="s">
        <v>333</v>
      </c>
      <c r="G6" s="76" t="s">
        <v>328</v>
      </c>
      <c r="H6" s="3">
        <f>E6</f>
        <v>46009</v>
      </c>
      <c r="I6" s="76" t="s">
        <v>333</v>
      </c>
      <c r="J6" s="76" t="s">
        <v>328</v>
      </c>
      <c r="K6" s="3">
        <f>E6</f>
        <v>46009</v>
      </c>
      <c r="L6" s="76" t="s">
        <v>333</v>
      </c>
      <c r="M6" s="76" t="s">
        <v>328</v>
      </c>
      <c r="N6" s="76" t="s">
        <v>339</v>
      </c>
      <c r="O6" s="76" t="s">
        <v>328</v>
      </c>
    </row>
    <row r="7" spans="1:15" x14ac:dyDescent="0.25">
      <c r="A7" s="97" t="str">
        <f>'Data Vlaue (Cr)'!C2</f>
        <v>360ONE</v>
      </c>
      <c r="B7" s="142">
        <f>VLOOKUP(A7,'Data Vlaue (Cr)'!C2:CW215,99,0)</f>
        <v>541</v>
      </c>
      <c r="C7" s="90">
        <f>VLOOKUP(A7,'Data Vlaue (Cr)'!C2:CY215,101,0)</f>
        <v>0</v>
      </c>
      <c r="D7" s="139">
        <f>VLOOKUP(A7,'Data Vlaue (Cr)'!C2:CZ215,102,0)</f>
        <v>-6.9999999999999999E-4</v>
      </c>
      <c r="E7" s="91">
        <f>VLOOKUP($A7,'Data Vlaue (Cr)'!$C:$FB,75)</f>
        <v>215</v>
      </c>
      <c r="F7" s="91">
        <f>VLOOKUP($A7,'Data Vlaue (Cr)'!$C:$FB,77)</f>
        <v>-6</v>
      </c>
      <c r="G7" s="92">
        <f>VLOOKUP(A7,'Data Vlaue (Cr)'!C2:CB215,78,0)</f>
        <v>-2.5999999999999999E-2</v>
      </c>
      <c r="H7" s="91">
        <f>VLOOKUP($A7,'Data Vlaue (Cr)'!$C:$FB,91)</f>
        <v>206</v>
      </c>
      <c r="I7" s="91">
        <f>VLOOKUP($A7,'Data Vlaue (Cr)'!$C:$FB,93)</f>
        <v>9</v>
      </c>
      <c r="J7" s="92">
        <f>VLOOKUP($A7,'Data Vlaue (Cr)'!$C:$FB,94)</f>
        <v>4.3299999999999998E-2</v>
      </c>
      <c r="K7" s="91">
        <f>VLOOKUP($A7,'Data Vlaue (Cr)'!$C:$FB,95)</f>
        <v>121</v>
      </c>
      <c r="L7" s="91">
        <f>VLOOKUP($A7,'Data Vlaue (Cr)'!$C:$FB,97)</f>
        <v>-3</v>
      </c>
      <c r="M7" s="92">
        <f>VLOOKUP($A7,'Data Vlaue (Cr)'!$C:$FB,98)</f>
        <v>-2.58E-2</v>
      </c>
      <c r="N7" s="91">
        <f>VLOOKUP($A7,'Data Vlaue (Cr)'!$C:$FB,79)</f>
        <v>201</v>
      </c>
      <c r="O7" s="92">
        <f>VLOOKUP($A7,'Data Vlaue (Cr)'!$C:$FB,82)</f>
        <v>-2.8199999999999999E-2</v>
      </c>
    </row>
    <row r="8" spans="1:15" x14ac:dyDescent="0.25">
      <c r="A8" s="97" t="str">
        <f>'Data Vlaue (Cr)'!C3</f>
        <v>ABB</v>
      </c>
      <c r="B8" s="142">
        <f>VLOOKUP(A8,'Data Vlaue (Cr)'!C3:CW216,99,0)</f>
        <v>2133</v>
      </c>
      <c r="C8" s="90">
        <f>VLOOKUP(A8,'Data Vlaue (Cr)'!C3:CY216,101,0)</f>
        <v>59</v>
      </c>
      <c r="D8" s="139">
        <f>VLOOKUP(A8,'Data Vlaue (Cr)'!C3:CZ216,102,0)</f>
        <v>2.86E-2</v>
      </c>
      <c r="E8" s="91">
        <f>VLOOKUP($A8,'Data Vlaue (Cr)'!$C:$FB,75)</f>
        <v>1286</v>
      </c>
      <c r="F8" s="91">
        <f>VLOOKUP($A8,'Data Vlaue (Cr)'!$C:$FB,77)</f>
        <v>4</v>
      </c>
      <c r="G8" s="92">
        <f>VLOOKUP(A8,'Data Vlaue (Cr)'!C3:CB216,78,0)</f>
        <v>3.0000000000000001E-3</v>
      </c>
      <c r="H8" s="91">
        <f>VLOOKUP($A8,'Data Vlaue (Cr)'!$C:$FB,91)</f>
        <v>482</v>
      </c>
      <c r="I8" s="91">
        <f>VLOOKUP($A8,'Data Vlaue (Cr)'!$C:$FB,93)</f>
        <v>36</v>
      </c>
      <c r="J8" s="92">
        <f>VLOOKUP($A8,'Data Vlaue (Cr)'!$C:$FB,94)</f>
        <v>7.9899999999999999E-2</v>
      </c>
      <c r="K8" s="91">
        <f>VLOOKUP($A8,'Data Vlaue (Cr)'!$C:$FB,95)</f>
        <v>366</v>
      </c>
      <c r="L8" s="91">
        <f>VLOOKUP($A8,'Data Vlaue (Cr)'!$C:$FB,97)</f>
        <v>20</v>
      </c>
      <c r="M8" s="92">
        <f>VLOOKUP($A8,'Data Vlaue (Cr)'!$C:$FB,98)</f>
        <v>5.7099999999999998E-2</v>
      </c>
      <c r="N8" s="91">
        <f>VLOOKUP($A8,'Data Vlaue (Cr)'!$C:$FB,79)</f>
        <v>1128</v>
      </c>
      <c r="O8" s="92">
        <f>VLOOKUP($A8,'Data Vlaue (Cr)'!$C:$FB,82)</f>
        <v>-7.6E-3</v>
      </c>
    </row>
    <row r="9" spans="1:15" x14ac:dyDescent="0.25">
      <c r="A9" s="97" t="str">
        <f>'Data Vlaue (Cr)'!C4</f>
        <v>ABCAPITAL</v>
      </c>
      <c r="B9" s="142">
        <f>VLOOKUP(A9,'Data Vlaue (Cr)'!C4:CW217,99,0)</f>
        <v>4152</v>
      </c>
      <c r="C9" s="90">
        <f>VLOOKUP(A9,'Data Vlaue (Cr)'!C4:CY217,101,0)</f>
        <v>6</v>
      </c>
      <c r="D9" s="139">
        <f>VLOOKUP(A9,'Data Vlaue (Cr)'!C4:CZ217,102,0)</f>
        <v>1.5E-3</v>
      </c>
      <c r="E9" s="91">
        <f>VLOOKUP($A9,'Data Vlaue (Cr)'!$C:$FB,75)</f>
        <v>2598</v>
      </c>
      <c r="F9" s="91">
        <f>VLOOKUP($A9,'Data Vlaue (Cr)'!$C:$FB,77)</f>
        <v>5</v>
      </c>
      <c r="G9" s="92">
        <f>VLOOKUP(A9,'Data Vlaue (Cr)'!C4:CB217,78,0)</f>
        <v>1.9E-3</v>
      </c>
      <c r="H9" s="91">
        <f>VLOOKUP($A9,'Data Vlaue (Cr)'!$C:$FB,91)</f>
        <v>960</v>
      </c>
      <c r="I9" s="91">
        <f>VLOOKUP($A9,'Data Vlaue (Cr)'!$C:$FB,93)</f>
        <v>21</v>
      </c>
      <c r="J9" s="92">
        <f>VLOOKUP($A9,'Data Vlaue (Cr)'!$C:$FB,94)</f>
        <v>2.24E-2</v>
      </c>
      <c r="K9" s="91">
        <f>VLOOKUP($A9,'Data Vlaue (Cr)'!$C:$FB,95)</f>
        <v>594</v>
      </c>
      <c r="L9" s="91">
        <f>VLOOKUP($A9,'Data Vlaue (Cr)'!$C:$FB,97)</f>
        <v>-20</v>
      </c>
      <c r="M9" s="92">
        <f>VLOOKUP($A9,'Data Vlaue (Cr)'!$C:$FB,98)</f>
        <v>-3.2300000000000002E-2</v>
      </c>
      <c r="N9" s="91">
        <f>VLOOKUP($A9,'Data Vlaue (Cr)'!$C:$FB,79)</f>
        <v>2484</v>
      </c>
      <c r="O9" s="92">
        <f>VLOOKUP($A9,'Data Vlaue (Cr)'!$C:$FB,82)</f>
        <v>-1.5E-3</v>
      </c>
    </row>
    <row r="10" spans="1:15" x14ac:dyDescent="0.25">
      <c r="A10" s="97" t="str">
        <f>'Data Vlaue (Cr)'!C5</f>
        <v>ADANIENSOL</v>
      </c>
      <c r="B10" s="142">
        <f>VLOOKUP(A10,'Data Vlaue (Cr)'!C5:CW218,99,0)</f>
        <v>2384</v>
      </c>
      <c r="C10" s="90">
        <f>VLOOKUP(A10,'Data Vlaue (Cr)'!C5:CY218,101,0)</f>
        <v>-2</v>
      </c>
      <c r="D10" s="139">
        <f>VLOOKUP(A10,'Data Vlaue (Cr)'!C5:CZ218,102,0)</f>
        <v>-8.9999999999999998E-4</v>
      </c>
      <c r="E10" s="91">
        <f>VLOOKUP($A10,'Data Vlaue (Cr)'!$C:$FB,75)</f>
        <v>1756</v>
      </c>
      <c r="F10" s="91">
        <f>VLOOKUP($A10,'Data Vlaue (Cr)'!$C:$FB,77)</f>
        <v>-10</v>
      </c>
      <c r="G10" s="92">
        <f>VLOOKUP(A10,'Data Vlaue (Cr)'!C5:CB218,78,0)</f>
        <v>-5.4999999999999997E-3</v>
      </c>
      <c r="H10" s="91">
        <f>VLOOKUP($A10,'Data Vlaue (Cr)'!$C:$FB,91)</f>
        <v>408</v>
      </c>
      <c r="I10" s="91">
        <f>VLOOKUP($A10,'Data Vlaue (Cr)'!$C:$FB,93)</f>
        <v>12</v>
      </c>
      <c r="J10" s="92">
        <f>VLOOKUP($A10,'Data Vlaue (Cr)'!$C:$FB,94)</f>
        <v>2.98E-2</v>
      </c>
      <c r="K10" s="91">
        <f>VLOOKUP($A10,'Data Vlaue (Cr)'!$C:$FB,95)</f>
        <v>219</v>
      </c>
      <c r="L10" s="91">
        <f>VLOOKUP($A10,'Data Vlaue (Cr)'!$C:$FB,97)</f>
        <v>-4</v>
      </c>
      <c r="M10" s="92">
        <f>VLOOKUP($A10,'Data Vlaue (Cr)'!$C:$FB,98)</f>
        <v>-1.9199999999999998E-2</v>
      </c>
      <c r="N10" s="91">
        <f>VLOOKUP($A10,'Data Vlaue (Cr)'!$C:$FB,79)</f>
        <v>1716</v>
      </c>
      <c r="O10" s="92">
        <f>VLOOKUP($A10,'Data Vlaue (Cr)'!$C:$FB,82)</f>
        <v>-5.4999999999999997E-3</v>
      </c>
    </row>
    <row r="11" spans="1:15" x14ac:dyDescent="0.25">
      <c r="A11" s="97" t="str">
        <f>'Data Vlaue (Cr)'!C6</f>
        <v>ADANIENT</v>
      </c>
      <c r="B11" s="142">
        <f>VLOOKUP(A11,'Data Vlaue (Cr)'!C6:CW219,99,0)</f>
        <v>10244</v>
      </c>
      <c r="C11" s="90">
        <f>VLOOKUP(A11,'Data Vlaue (Cr)'!C6:CY219,101,0)</f>
        <v>11</v>
      </c>
      <c r="D11" s="139">
        <f>VLOOKUP(A11,'Data Vlaue (Cr)'!C6:CZ219,102,0)</f>
        <v>1.1000000000000001E-3</v>
      </c>
      <c r="E11" s="91">
        <f>VLOOKUP($A11,'Data Vlaue (Cr)'!$C:$FB,75)</f>
        <v>5091</v>
      </c>
      <c r="F11" s="91">
        <f>VLOOKUP($A11,'Data Vlaue (Cr)'!$C:$FB,77)</f>
        <v>33</v>
      </c>
      <c r="G11" s="92">
        <f>VLOOKUP(A11,'Data Vlaue (Cr)'!C6:CB219,78,0)</f>
        <v>6.4999999999999997E-3</v>
      </c>
      <c r="H11" s="91">
        <f>VLOOKUP($A11,'Data Vlaue (Cr)'!$C:$FB,91)</f>
        <v>3187</v>
      </c>
      <c r="I11" s="91">
        <f>VLOOKUP($A11,'Data Vlaue (Cr)'!$C:$FB,93)</f>
        <v>-28</v>
      </c>
      <c r="J11" s="92">
        <f>VLOOKUP($A11,'Data Vlaue (Cr)'!$C:$FB,94)</f>
        <v>-8.6E-3</v>
      </c>
      <c r="K11" s="91">
        <f>VLOOKUP($A11,'Data Vlaue (Cr)'!$C:$FB,95)</f>
        <v>1965</v>
      </c>
      <c r="L11" s="91">
        <f>VLOOKUP($A11,'Data Vlaue (Cr)'!$C:$FB,97)</f>
        <v>6</v>
      </c>
      <c r="M11" s="92">
        <f>VLOOKUP($A11,'Data Vlaue (Cr)'!$C:$FB,98)</f>
        <v>3.0999999999999999E-3</v>
      </c>
      <c r="N11" s="91">
        <f>VLOOKUP($A11,'Data Vlaue (Cr)'!$C:$FB,79)</f>
        <v>4462</v>
      </c>
      <c r="O11" s="92">
        <f>VLOOKUP($A11,'Data Vlaue (Cr)'!$C:$FB,82)</f>
        <v>-1.5E-3</v>
      </c>
    </row>
    <row r="12" spans="1:15" x14ac:dyDescent="0.25">
      <c r="A12" s="97" t="str">
        <f>'Data Vlaue (Cr)'!C7</f>
        <v>ADANIGREEN</v>
      </c>
      <c r="B12" s="142">
        <f>VLOOKUP(A12,'Data Vlaue (Cr)'!C7:CW220,99,0)</f>
        <v>4499</v>
      </c>
      <c r="C12" s="90">
        <f>VLOOKUP(A12,'Data Vlaue (Cr)'!C7:CY220,101,0)</f>
        <v>-77</v>
      </c>
      <c r="D12" s="139">
        <f>VLOOKUP(A12,'Data Vlaue (Cr)'!C7:CZ220,102,0)</f>
        <v>-1.6799999999999999E-2</v>
      </c>
      <c r="E12" s="91">
        <f>VLOOKUP($A12,'Data Vlaue (Cr)'!$C:$FB,75)</f>
        <v>2586</v>
      </c>
      <c r="F12" s="91">
        <f>VLOOKUP($A12,'Data Vlaue (Cr)'!$C:$FB,77)</f>
        <v>-12</v>
      </c>
      <c r="G12" s="92">
        <f>VLOOKUP(A12,'Data Vlaue (Cr)'!C7:CB220,78,0)</f>
        <v>-4.4999999999999997E-3</v>
      </c>
      <c r="H12" s="91">
        <f>VLOOKUP($A12,'Data Vlaue (Cr)'!$C:$FB,91)</f>
        <v>1243</v>
      </c>
      <c r="I12" s="91">
        <f>VLOOKUP($A12,'Data Vlaue (Cr)'!$C:$FB,93)</f>
        <v>-44</v>
      </c>
      <c r="J12" s="92">
        <f>VLOOKUP($A12,'Data Vlaue (Cr)'!$C:$FB,94)</f>
        <v>-3.4500000000000003E-2</v>
      </c>
      <c r="K12" s="91">
        <f>VLOOKUP($A12,'Data Vlaue (Cr)'!$C:$FB,95)</f>
        <v>670</v>
      </c>
      <c r="L12" s="91">
        <f>VLOOKUP($A12,'Data Vlaue (Cr)'!$C:$FB,97)</f>
        <v>-20</v>
      </c>
      <c r="M12" s="92">
        <f>VLOOKUP($A12,'Data Vlaue (Cr)'!$C:$FB,98)</f>
        <v>-2.9600000000000001E-2</v>
      </c>
      <c r="N12" s="91">
        <f>VLOOKUP($A12,'Data Vlaue (Cr)'!$C:$FB,79)</f>
        <v>2445</v>
      </c>
      <c r="O12" s="92">
        <f>VLOOKUP($A12,'Data Vlaue (Cr)'!$C:$FB,82)</f>
        <v>-9.1000000000000004E-3</v>
      </c>
    </row>
    <row r="13" spans="1:15" x14ac:dyDescent="0.25">
      <c r="A13" s="97" t="str">
        <f>'Data Vlaue (Cr)'!C8</f>
        <v>ADANIPORTS</v>
      </c>
      <c r="B13" s="142">
        <f>VLOOKUP(A13,'Data Vlaue (Cr)'!C8:CW221,99,0)</f>
        <v>5738</v>
      </c>
      <c r="C13" s="90">
        <f>VLOOKUP(A13,'Data Vlaue (Cr)'!C8:CY221,101,0)</f>
        <v>71</v>
      </c>
      <c r="D13" s="139">
        <f>VLOOKUP(A13,'Data Vlaue (Cr)'!C8:CZ221,102,0)</f>
        <v>1.2500000000000001E-2</v>
      </c>
      <c r="E13" s="91">
        <f>VLOOKUP($A13,'Data Vlaue (Cr)'!$C:$FB,75)</f>
        <v>3617</v>
      </c>
      <c r="F13" s="91">
        <f>VLOOKUP($A13,'Data Vlaue (Cr)'!$C:$FB,77)</f>
        <v>52</v>
      </c>
      <c r="G13" s="92">
        <f>VLOOKUP(A13,'Data Vlaue (Cr)'!C8:CB221,78,0)</f>
        <v>1.4500000000000001E-2</v>
      </c>
      <c r="H13" s="91">
        <f>VLOOKUP($A13,'Data Vlaue (Cr)'!$C:$FB,91)</f>
        <v>1410</v>
      </c>
      <c r="I13" s="91">
        <f>VLOOKUP($A13,'Data Vlaue (Cr)'!$C:$FB,93)</f>
        <v>-1</v>
      </c>
      <c r="J13" s="92">
        <f>VLOOKUP($A13,'Data Vlaue (Cr)'!$C:$FB,94)</f>
        <v>-1E-3</v>
      </c>
      <c r="K13" s="91">
        <f>VLOOKUP($A13,'Data Vlaue (Cr)'!$C:$FB,95)</f>
        <v>712</v>
      </c>
      <c r="L13" s="91">
        <f>VLOOKUP($A13,'Data Vlaue (Cr)'!$C:$FB,97)</f>
        <v>20</v>
      </c>
      <c r="M13" s="92">
        <f>VLOOKUP($A13,'Data Vlaue (Cr)'!$C:$FB,98)</f>
        <v>2.92E-2</v>
      </c>
      <c r="N13" s="91">
        <f>VLOOKUP($A13,'Data Vlaue (Cr)'!$C:$FB,79)</f>
        <v>3212</v>
      </c>
      <c r="O13" s="92">
        <f>VLOOKUP($A13,'Data Vlaue (Cr)'!$C:$FB,82)</f>
        <v>-2.0999999999999999E-3</v>
      </c>
    </row>
    <row r="14" spans="1:15" x14ac:dyDescent="0.25">
      <c r="A14" s="97" t="str">
        <f>'Data Vlaue (Cr)'!C9</f>
        <v>ALKEM</v>
      </c>
      <c r="B14" s="142">
        <f>VLOOKUP(A14,'Data Vlaue (Cr)'!C9:CW222,99,0)</f>
        <v>1124</v>
      </c>
      <c r="C14" s="90">
        <f>VLOOKUP(A14,'Data Vlaue (Cr)'!C9:CY222,101,0)</f>
        <v>11</v>
      </c>
      <c r="D14" s="139">
        <f>VLOOKUP(A14,'Data Vlaue (Cr)'!C9:CZ222,102,0)</f>
        <v>9.7000000000000003E-3</v>
      </c>
      <c r="E14" s="91">
        <f>VLOOKUP($A14,'Data Vlaue (Cr)'!$C:$FB,75)</f>
        <v>880</v>
      </c>
      <c r="F14" s="91">
        <f>VLOOKUP($A14,'Data Vlaue (Cr)'!$C:$FB,77)</f>
        <v>-2</v>
      </c>
      <c r="G14" s="92">
        <f>VLOOKUP(A14,'Data Vlaue (Cr)'!C9:CB222,78,0)</f>
        <v>-2.7000000000000001E-3</v>
      </c>
      <c r="H14" s="91">
        <f>VLOOKUP($A14,'Data Vlaue (Cr)'!$C:$FB,91)</f>
        <v>151</v>
      </c>
      <c r="I14" s="91">
        <f>VLOOKUP($A14,'Data Vlaue (Cr)'!$C:$FB,93)</f>
        <v>11</v>
      </c>
      <c r="J14" s="92">
        <f>VLOOKUP($A14,'Data Vlaue (Cr)'!$C:$FB,94)</f>
        <v>7.8700000000000006E-2</v>
      </c>
      <c r="K14" s="91">
        <f>VLOOKUP($A14,'Data Vlaue (Cr)'!$C:$FB,95)</f>
        <v>93</v>
      </c>
      <c r="L14" s="91">
        <f>VLOOKUP($A14,'Data Vlaue (Cr)'!$C:$FB,97)</f>
        <v>2</v>
      </c>
      <c r="M14" s="92">
        <f>VLOOKUP($A14,'Data Vlaue (Cr)'!$C:$FB,98)</f>
        <v>2.3699999999999999E-2</v>
      </c>
      <c r="N14" s="91">
        <f>VLOOKUP($A14,'Data Vlaue (Cr)'!$C:$FB,79)</f>
        <v>835</v>
      </c>
      <c r="O14" s="92">
        <f>VLOOKUP($A14,'Data Vlaue (Cr)'!$C:$FB,82)</f>
        <v>-1.89E-2</v>
      </c>
    </row>
    <row r="15" spans="1:15" x14ac:dyDescent="0.25">
      <c r="A15" s="97" t="str">
        <f>'Data Vlaue (Cr)'!C10</f>
        <v>AMBER</v>
      </c>
      <c r="B15" s="142">
        <f>VLOOKUP(A15,'Data Vlaue (Cr)'!C10:CW223,99,0)</f>
        <v>2063</v>
      </c>
      <c r="C15" s="90">
        <f>VLOOKUP(A15,'Data Vlaue (Cr)'!C10:CY223,101,0)</f>
        <v>-5</v>
      </c>
      <c r="D15" s="139">
        <f>VLOOKUP(A15,'Data Vlaue (Cr)'!C10:CZ223,102,0)</f>
        <v>-2.3999999999999998E-3</v>
      </c>
      <c r="E15" s="91">
        <f>VLOOKUP($A15,'Data Vlaue (Cr)'!$C:$FB,75)</f>
        <v>763</v>
      </c>
      <c r="F15" s="91">
        <f>VLOOKUP($A15,'Data Vlaue (Cr)'!$C:$FB,77)</f>
        <v>-12</v>
      </c>
      <c r="G15" s="92">
        <f>VLOOKUP(A15,'Data Vlaue (Cr)'!C10:CB223,78,0)</f>
        <v>-1.55E-2</v>
      </c>
      <c r="H15" s="91">
        <f>VLOOKUP($A15,'Data Vlaue (Cr)'!$C:$FB,91)</f>
        <v>771</v>
      </c>
      <c r="I15" s="91">
        <f>VLOOKUP($A15,'Data Vlaue (Cr)'!$C:$FB,93)</f>
        <v>-6</v>
      </c>
      <c r="J15" s="92">
        <f>VLOOKUP($A15,'Data Vlaue (Cr)'!$C:$FB,94)</f>
        <v>-7.6E-3</v>
      </c>
      <c r="K15" s="91">
        <f>VLOOKUP($A15,'Data Vlaue (Cr)'!$C:$FB,95)</f>
        <v>528</v>
      </c>
      <c r="L15" s="91">
        <f>VLOOKUP($A15,'Data Vlaue (Cr)'!$C:$FB,97)</f>
        <v>13</v>
      </c>
      <c r="M15" s="92">
        <f>VLOOKUP($A15,'Data Vlaue (Cr)'!$C:$FB,98)</f>
        <v>2.52E-2</v>
      </c>
      <c r="N15" s="91">
        <f>VLOOKUP($A15,'Data Vlaue (Cr)'!$C:$FB,79)</f>
        <v>644</v>
      </c>
      <c r="O15" s="92">
        <f>VLOOKUP($A15,'Data Vlaue (Cr)'!$C:$FB,82)</f>
        <v>-2.9000000000000001E-2</v>
      </c>
    </row>
    <row r="16" spans="1:15" x14ac:dyDescent="0.25">
      <c r="A16" s="97" t="str">
        <f>'Data Vlaue (Cr)'!C11</f>
        <v>AMBUJACEM</v>
      </c>
      <c r="B16" s="142">
        <f>VLOOKUP(A16,'Data Vlaue (Cr)'!C11:CW224,99,0)</f>
        <v>3795</v>
      </c>
      <c r="C16" s="90">
        <f>VLOOKUP(A16,'Data Vlaue (Cr)'!C11:CY224,101,0)</f>
        <v>57</v>
      </c>
      <c r="D16" s="139">
        <f>VLOOKUP(A16,'Data Vlaue (Cr)'!C11:CZ224,102,0)</f>
        <v>1.5299999999999999E-2</v>
      </c>
      <c r="E16" s="91">
        <f>VLOOKUP($A16,'Data Vlaue (Cr)'!$C:$FB,75)</f>
        <v>2603</v>
      </c>
      <c r="F16" s="91">
        <f>VLOOKUP($A16,'Data Vlaue (Cr)'!$C:$FB,77)</f>
        <v>21</v>
      </c>
      <c r="G16" s="92">
        <f>VLOOKUP(A16,'Data Vlaue (Cr)'!C11:CB224,78,0)</f>
        <v>8.2000000000000007E-3</v>
      </c>
      <c r="H16" s="91">
        <f>VLOOKUP($A16,'Data Vlaue (Cr)'!$C:$FB,91)</f>
        <v>677</v>
      </c>
      <c r="I16" s="91">
        <f>VLOOKUP($A16,'Data Vlaue (Cr)'!$C:$FB,93)</f>
        <v>40</v>
      </c>
      <c r="J16" s="92">
        <f>VLOOKUP($A16,'Data Vlaue (Cr)'!$C:$FB,94)</f>
        <v>6.1899999999999997E-2</v>
      </c>
      <c r="K16" s="91">
        <f>VLOOKUP($A16,'Data Vlaue (Cr)'!$C:$FB,95)</f>
        <v>515</v>
      </c>
      <c r="L16" s="91">
        <f>VLOOKUP($A16,'Data Vlaue (Cr)'!$C:$FB,97)</f>
        <v>-3</v>
      </c>
      <c r="M16" s="92">
        <f>VLOOKUP($A16,'Data Vlaue (Cr)'!$C:$FB,98)</f>
        <v>-6.4999999999999997E-3</v>
      </c>
      <c r="N16" s="91">
        <f>VLOOKUP($A16,'Data Vlaue (Cr)'!$C:$FB,79)</f>
        <v>2485</v>
      </c>
      <c r="O16" s="92">
        <f>VLOOKUP($A16,'Data Vlaue (Cr)'!$C:$FB,82)</f>
        <v>-2E-3</v>
      </c>
    </row>
    <row r="17" spans="1:15" x14ac:dyDescent="0.25">
      <c r="A17" s="97" t="str">
        <f>'Data Vlaue (Cr)'!C12</f>
        <v>ANGELONE</v>
      </c>
      <c r="B17" s="142">
        <f>VLOOKUP(A17,'Data Vlaue (Cr)'!C12:CW225,99,0)</f>
        <v>2954</v>
      </c>
      <c r="C17" s="90">
        <f>VLOOKUP(A17,'Data Vlaue (Cr)'!C12:CY225,101,0)</f>
        <v>119</v>
      </c>
      <c r="D17" s="139">
        <f>VLOOKUP(A17,'Data Vlaue (Cr)'!C12:CZ225,102,0)</f>
        <v>4.19E-2</v>
      </c>
      <c r="E17" s="91">
        <f>VLOOKUP($A17,'Data Vlaue (Cr)'!$C:$FB,75)</f>
        <v>1060</v>
      </c>
      <c r="F17" s="91">
        <f>VLOOKUP($A17,'Data Vlaue (Cr)'!$C:$FB,77)</f>
        <v>17</v>
      </c>
      <c r="G17" s="92">
        <f>VLOOKUP(A17,'Data Vlaue (Cr)'!C12:CB225,78,0)</f>
        <v>1.5900000000000001E-2</v>
      </c>
      <c r="H17" s="91">
        <f>VLOOKUP($A17,'Data Vlaue (Cr)'!$C:$FB,91)</f>
        <v>1360</v>
      </c>
      <c r="I17" s="91">
        <f>VLOOKUP($A17,'Data Vlaue (Cr)'!$C:$FB,93)</f>
        <v>87</v>
      </c>
      <c r="J17" s="92">
        <f>VLOOKUP($A17,'Data Vlaue (Cr)'!$C:$FB,94)</f>
        <v>6.8599999999999994E-2</v>
      </c>
      <c r="K17" s="91">
        <f>VLOOKUP($A17,'Data Vlaue (Cr)'!$C:$FB,95)</f>
        <v>534</v>
      </c>
      <c r="L17" s="91">
        <f>VLOOKUP($A17,'Data Vlaue (Cr)'!$C:$FB,97)</f>
        <v>15</v>
      </c>
      <c r="M17" s="92">
        <f>VLOOKUP($A17,'Data Vlaue (Cr)'!$C:$FB,98)</f>
        <v>2.8899999999999999E-2</v>
      </c>
      <c r="N17" s="91">
        <f>VLOOKUP($A17,'Data Vlaue (Cr)'!$C:$FB,79)</f>
        <v>900</v>
      </c>
      <c r="O17" s="92">
        <f>VLOOKUP($A17,'Data Vlaue (Cr)'!$C:$FB,82)</f>
        <v>1E-4</v>
      </c>
    </row>
    <row r="18" spans="1:15" x14ac:dyDescent="0.25">
      <c r="A18" s="97" t="str">
        <f>'Data Vlaue (Cr)'!C13</f>
        <v>APLAPOLLO</v>
      </c>
      <c r="B18" s="142">
        <f>VLOOKUP(A18,'Data Vlaue (Cr)'!C13:CW226,99,0)</f>
        <v>1738</v>
      </c>
      <c r="C18" s="90">
        <f>VLOOKUP(A18,'Data Vlaue (Cr)'!C13:CY226,101,0)</f>
        <v>-37</v>
      </c>
      <c r="D18" s="139">
        <f>VLOOKUP(A18,'Data Vlaue (Cr)'!C13:CZ226,102,0)</f>
        <v>-2.07E-2</v>
      </c>
      <c r="E18" s="91">
        <f>VLOOKUP($A18,'Data Vlaue (Cr)'!$C:$FB,75)</f>
        <v>1403</v>
      </c>
      <c r="F18" s="91">
        <f>VLOOKUP($A18,'Data Vlaue (Cr)'!$C:$FB,77)</f>
        <v>-12</v>
      </c>
      <c r="G18" s="92">
        <f>VLOOKUP(A18,'Data Vlaue (Cr)'!C13:CB226,78,0)</f>
        <v>-8.2000000000000007E-3</v>
      </c>
      <c r="H18" s="91">
        <f>VLOOKUP($A18,'Data Vlaue (Cr)'!$C:$FB,91)</f>
        <v>183</v>
      </c>
      <c r="I18" s="91">
        <f>VLOOKUP($A18,'Data Vlaue (Cr)'!$C:$FB,93)</f>
        <v>-23</v>
      </c>
      <c r="J18" s="92">
        <f>VLOOKUP($A18,'Data Vlaue (Cr)'!$C:$FB,94)</f>
        <v>-0.1115</v>
      </c>
      <c r="K18" s="91">
        <f>VLOOKUP($A18,'Data Vlaue (Cr)'!$C:$FB,95)</f>
        <v>153</v>
      </c>
      <c r="L18" s="91">
        <f>VLOOKUP($A18,'Data Vlaue (Cr)'!$C:$FB,97)</f>
        <v>-2</v>
      </c>
      <c r="M18" s="92">
        <f>VLOOKUP($A18,'Data Vlaue (Cr)'!$C:$FB,98)</f>
        <v>-1.4200000000000001E-2</v>
      </c>
      <c r="N18" s="91">
        <f>VLOOKUP($A18,'Data Vlaue (Cr)'!$C:$FB,79)</f>
        <v>1335</v>
      </c>
      <c r="O18" s="92">
        <f>VLOOKUP($A18,'Data Vlaue (Cr)'!$C:$FB,82)</f>
        <v>-1.8599999999999998E-2</v>
      </c>
    </row>
    <row r="19" spans="1:15" x14ac:dyDescent="0.25">
      <c r="A19" s="97" t="str">
        <f>'Data Vlaue (Cr)'!C14</f>
        <v>APOLLOHOSP</v>
      </c>
      <c r="B19" s="142">
        <f>VLOOKUP(A19,'Data Vlaue (Cr)'!C14:CW227,99,0)</f>
        <v>4841</v>
      </c>
      <c r="C19" s="90">
        <f>VLOOKUP(A19,'Data Vlaue (Cr)'!C14:CY227,101,0)</f>
        <v>14</v>
      </c>
      <c r="D19" s="139">
        <f>VLOOKUP(A19,'Data Vlaue (Cr)'!C14:CZ227,102,0)</f>
        <v>2.8E-3</v>
      </c>
      <c r="E19" s="91">
        <f>VLOOKUP($A19,'Data Vlaue (Cr)'!$C:$FB,75)</f>
        <v>2376</v>
      </c>
      <c r="F19" s="91">
        <f>VLOOKUP($A19,'Data Vlaue (Cr)'!$C:$FB,77)</f>
        <v>8</v>
      </c>
      <c r="G19" s="92">
        <f>VLOOKUP(A19,'Data Vlaue (Cr)'!C14:CB227,78,0)</f>
        <v>3.2000000000000002E-3</v>
      </c>
      <c r="H19" s="91">
        <f>VLOOKUP($A19,'Data Vlaue (Cr)'!$C:$FB,91)</f>
        <v>1666</v>
      </c>
      <c r="I19" s="91">
        <f>VLOOKUP($A19,'Data Vlaue (Cr)'!$C:$FB,93)</f>
        <v>-8</v>
      </c>
      <c r="J19" s="92">
        <f>VLOOKUP($A19,'Data Vlaue (Cr)'!$C:$FB,94)</f>
        <v>-4.8999999999999998E-3</v>
      </c>
      <c r="K19" s="91">
        <f>VLOOKUP($A19,'Data Vlaue (Cr)'!$C:$FB,95)</f>
        <v>799</v>
      </c>
      <c r="L19" s="91">
        <f>VLOOKUP($A19,'Data Vlaue (Cr)'!$C:$FB,97)</f>
        <v>14</v>
      </c>
      <c r="M19" s="92">
        <f>VLOOKUP($A19,'Data Vlaue (Cr)'!$C:$FB,98)</f>
        <v>1.8200000000000001E-2</v>
      </c>
      <c r="N19" s="91">
        <f>VLOOKUP($A19,'Data Vlaue (Cr)'!$C:$FB,79)</f>
        <v>2060</v>
      </c>
      <c r="O19" s="92">
        <f>VLOOKUP($A19,'Data Vlaue (Cr)'!$C:$FB,82)</f>
        <v>-6.2700000000000006E-2</v>
      </c>
    </row>
    <row r="20" spans="1:15" x14ac:dyDescent="0.25">
      <c r="A20" s="97" t="str">
        <f>'Data Vlaue (Cr)'!C15</f>
        <v>ASHOKLEY</v>
      </c>
      <c r="B20" s="142">
        <f>VLOOKUP(A20,'Data Vlaue (Cr)'!C15:CW228,99,0)</f>
        <v>5399</v>
      </c>
      <c r="C20" s="90">
        <f>VLOOKUP(A20,'Data Vlaue (Cr)'!C15:CY228,101,0)</f>
        <v>400</v>
      </c>
      <c r="D20" s="139">
        <f>VLOOKUP(A20,'Data Vlaue (Cr)'!C15:CZ228,102,0)</f>
        <v>0.08</v>
      </c>
      <c r="E20" s="91">
        <f>VLOOKUP($A20,'Data Vlaue (Cr)'!$C:$FB,75)</f>
        <v>2900</v>
      </c>
      <c r="F20" s="91">
        <f>VLOOKUP($A20,'Data Vlaue (Cr)'!$C:$FB,77)</f>
        <v>180</v>
      </c>
      <c r="G20" s="92">
        <f>VLOOKUP(A20,'Data Vlaue (Cr)'!C15:CB228,78,0)</f>
        <v>6.6299999999999998E-2</v>
      </c>
      <c r="H20" s="91">
        <f>VLOOKUP($A20,'Data Vlaue (Cr)'!$C:$FB,91)</f>
        <v>1250</v>
      </c>
      <c r="I20" s="91">
        <f>VLOOKUP($A20,'Data Vlaue (Cr)'!$C:$FB,93)</f>
        <v>96</v>
      </c>
      <c r="J20" s="92">
        <f>VLOOKUP($A20,'Data Vlaue (Cr)'!$C:$FB,94)</f>
        <v>8.3500000000000005E-2</v>
      </c>
      <c r="K20" s="91">
        <f>VLOOKUP($A20,'Data Vlaue (Cr)'!$C:$FB,95)</f>
        <v>1249</v>
      </c>
      <c r="L20" s="91">
        <f>VLOOKUP($A20,'Data Vlaue (Cr)'!$C:$FB,97)</f>
        <v>123</v>
      </c>
      <c r="M20" s="92">
        <f>VLOOKUP($A20,'Data Vlaue (Cr)'!$C:$FB,98)</f>
        <v>0.1095</v>
      </c>
      <c r="N20" s="91">
        <f>VLOOKUP($A20,'Data Vlaue (Cr)'!$C:$FB,79)</f>
        <v>2484</v>
      </c>
      <c r="O20" s="92">
        <f>VLOOKUP($A20,'Data Vlaue (Cr)'!$C:$FB,82)</f>
        <v>3.6299999999999999E-2</v>
      </c>
    </row>
    <row r="21" spans="1:15" x14ac:dyDescent="0.25">
      <c r="A21" s="97" t="str">
        <f>'Data Vlaue (Cr)'!C16</f>
        <v>ASIANPAINT</v>
      </c>
      <c r="B21" s="142">
        <f>VLOOKUP(A21,'Data Vlaue (Cr)'!C16:CW229,99,0)</f>
        <v>7128</v>
      </c>
      <c r="C21" s="90">
        <f>VLOOKUP(A21,'Data Vlaue (Cr)'!C16:CY229,101,0)</f>
        <v>44</v>
      </c>
      <c r="D21" s="139">
        <f>VLOOKUP(A21,'Data Vlaue (Cr)'!C16:CZ229,102,0)</f>
        <v>6.1999999999999998E-3</v>
      </c>
      <c r="E21" s="91">
        <f>VLOOKUP($A21,'Data Vlaue (Cr)'!$C:$FB,75)</f>
        <v>3388</v>
      </c>
      <c r="F21" s="91">
        <f>VLOOKUP($A21,'Data Vlaue (Cr)'!$C:$FB,77)</f>
        <v>13</v>
      </c>
      <c r="G21" s="92">
        <f>VLOOKUP(A21,'Data Vlaue (Cr)'!C16:CB229,78,0)</f>
        <v>3.7000000000000002E-3</v>
      </c>
      <c r="H21" s="91">
        <f>VLOOKUP($A21,'Data Vlaue (Cr)'!$C:$FB,91)</f>
        <v>2504</v>
      </c>
      <c r="I21" s="91">
        <f>VLOOKUP($A21,'Data Vlaue (Cr)'!$C:$FB,93)</f>
        <v>49</v>
      </c>
      <c r="J21" s="92">
        <f>VLOOKUP($A21,'Data Vlaue (Cr)'!$C:$FB,94)</f>
        <v>1.9800000000000002E-2</v>
      </c>
      <c r="K21" s="91">
        <f>VLOOKUP($A21,'Data Vlaue (Cr)'!$C:$FB,95)</f>
        <v>1236</v>
      </c>
      <c r="L21" s="91">
        <f>VLOOKUP($A21,'Data Vlaue (Cr)'!$C:$FB,97)</f>
        <v>-18</v>
      </c>
      <c r="M21" s="92">
        <f>VLOOKUP($A21,'Data Vlaue (Cr)'!$C:$FB,98)</f>
        <v>-1.41E-2</v>
      </c>
      <c r="N21" s="91">
        <f>VLOOKUP($A21,'Data Vlaue (Cr)'!$C:$FB,79)</f>
        <v>3191</v>
      </c>
      <c r="O21" s="92">
        <f>VLOOKUP($A21,'Data Vlaue (Cr)'!$C:$FB,82)</f>
        <v>-6.7999999999999996E-3</v>
      </c>
    </row>
    <row r="22" spans="1:15" x14ac:dyDescent="0.25">
      <c r="A22" s="97" t="str">
        <f>'Data Vlaue (Cr)'!C17</f>
        <v>ASTRAL</v>
      </c>
      <c r="B22" s="142">
        <f>VLOOKUP(A22,'Data Vlaue (Cr)'!C17:CW230,99,0)</f>
        <v>1906</v>
      </c>
      <c r="C22" s="90">
        <f>VLOOKUP(A22,'Data Vlaue (Cr)'!C17:CY230,101,0)</f>
        <v>37</v>
      </c>
      <c r="D22" s="139">
        <f>VLOOKUP(A22,'Data Vlaue (Cr)'!C17:CZ230,102,0)</f>
        <v>1.9699999999999999E-2</v>
      </c>
      <c r="E22" s="91">
        <f>VLOOKUP($A22,'Data Vlaue (Cr)'!$C:$FB,75)</f>
        <v>1099</v>
      </c>
      <c r="F22" s="91">
        <f>VLOOKUP($A22,'Data Vlaue (Cr)'!$C:$FB,77)</f>
        <v>21</v>
      </c>
      <c r="G22" s="92">
        <f>VLOOKUP(A22,'Data Vlaue (Cr)'!C17:CB230,78,0)</f>
        <v>1.9599999999999999E-2</v>
      </c>
      <c r="H22" s="91">
        <f>VLOOKUP($A22,'Data Vlaue (Cr)'!$C:$FB,91)</f>
        <v>528</v>
      </c>
      <c r="I22" s="91">
        <f>VLOOKUP($A22,'Data Vlaue (Cr)'!$C:$FB,93)</f>
        <v>2</v>
      </c>
      <c r="J22" s="92">
        <f>VLOOKUP($A22,'Data Vlaue (Cr)'!$C:$FB,94)</f>
        <v>4.5999999999999999E-3</v>
      </c>
      <c r="K22" s="91">
        <f>VLOOKUP($A22,'Data Vlaue (Cr)'!$C:$FB,95)</f>
        <v>279</v>
      </c>
      <c r="L22" s="91">
        <f>VLOOKUP($A22,'Data Vlaue (Cr)'!$C:$FB,97)</f>
        <v>13</v>
      </c>
      <c r="M22" s="92">
        <f>VLOOKUP($A22,'Data Vlaue (Cr)'!$C:$FB,98)</f>
        <v>5.0200000000000002E-2</v>
      </c>
      <c r="N22" s="91">
        <f>VLOOKUP($A22,'Data Vlaue (Cr)'!$C:$FB,79)</f>
        <v>991</v>
      </c>
      <c r="O22" s="92">
        <f>VLOOKUP($A22,'Data Vlaue (Cr)'!$C:$FB,82)</f>
        <v>1.4500000000000001E-2</v>
      </c>
    </row>
    <row r="23" spans="1:15" x14ac:dyDescent="0.25">
      <c r="A23" s="97" t="str">
        <f>'Data Vlaue (Cr)'!C18</f>
        <v>AUBANK</v>
      </c>
      <c r="B23" s="142">
        <f>VLOOKUP(A23,'Data Vlaue (Cr)'!C18:CW231,99,0)</f>
        <v>3741</v>
      </c>
      <c r="C23" s="90">
        <f>VLOOKUP(A23,'Data Vlaue (Cr)'!C18:CY231,101,0)</f>
        <v>86</v>
      </c>
      <c r="D23" s="139">
        <f>VLOOKUP(A23,'Data Vlaue (Cr)'!C18:CZ231,102,0)</f>
        <v>2.3599999999999999E-2</v>
      </c>
      <c r="E23" s="91">
        <f>VLOOKUP($A23,'Data Vlaue (Cr)'!$C:$FB,75)</f>
        <v>2214</v>
      </c>
      <c r="F23" s="91">
        <f>VLOOKUP($A23,'Data Vlaue (Cr)'!$C:$FB,77)</f>
        <v>109</v>
      </c>
      <c r="G23" s="92">
        <f>VLOOKUP(A23,'Data Vlaue (Cr)'!C18:CB231,78,0)</f>
        <v>5.1799999999999999E-2</v>
      </c>
      <c r="H23" s="91">
        <f>VLOOKUP($A23,'Data Vlaue (Cr)'!$C:$FB,91)</f>
        <v>835</v>
      </c>
      <c r="I23" s="91">
        <f>VLOOKUP($A23,'Data Vlaue (Cr)'!$C:$FB,93)</f>
        <v>-20</v>
      </c>
      <c r="J23" s="92">
        <f>VLOOKUP($A23,'Data Vlaue (Cr)'!$C:$FB,94)</f>
        <v>-2.3800000000000002E-2</v>
      </c>
      <c r="K23" s="91">
        <f>VLOOKUP($A23,'Data Vlaue (Cr)'!$C:$FB,95)</f>
        <v>691</v>
      </c>
      <c r="L23" s="91">
        <f>VLOOKUP($A23,'Data Vlaue (Cr)'!$C:$FB,97)</f>
        <v>-2</v>
      </c>
      <c r="M23" s="92">
        <f>VLOOKUP($A23,'Data Vlaue (Cr)'!$C:$FB,98)</f>
        <v>-3.3E-3</v>
      </c>
      <c r="N23" s="91">
        <f>VLOOKUP($A23,'Data Vlaue (Cr)'!$C:$FB,79)</f>
        <v>1858</v>
      </c>
      <c r="O23" s="92">
        <f>VLOOKUP($A23,'Data Vlaue (Cr)'!$C:$FB,82)</f>
        <v>8.9999999999999993E-3</v>
      </c>
    </row>
    <row r="24" spans="1:15" x14ac:dyDescent="0.25">
      <c r="A24" s="97" t="str">
        <f>'Data Vlaue (Cr)'!C19</f>
        <v>AUROPHARMA</v>
      </c>
      <c r="B24" s="142">
        <f>VLOOKUP(A24,'Data Vlaue (Cr)'!C19:CW232,99,0)</f>
        <v>3754</v>
      </c>
      <c r="C24" s="90">
        <f>VLOOKUP(A24,'Data Vlaue (Cr)'!C19:CY232,101,0)</f>
        <v>-2</v>
      </c>
      <c r="D24" s="139">
        <f>VLOOKUP(A24,'Data Vlaue (Cr)'!C19:CZ232,102,0)</f>
        <v>-5.9999999999999995E-4</v>
      </c>
      <c r="E24" s="91">
        <f>VLOOKUP($A24,'Data Vlaue (Cr)'!$C:$FB,75)</f>
        <v>2707</v>
      </c>
      <c r="F24" s="91">
        <f>VLOOKUP($A24,'Data Vlaue (Cr)'!$C:$FB,77)</f>
        <v>-4</v>
      </c>
      <c r="G24" s="92">
        <f>VLOOKUP(A24,'Data Vlaue (Cr)'!C19:CB232,78,0)</f>
        <v>-1.5E-3</v>
      </c>
      <c r="H24" s="91">
        <f>VLOOKUP($A24,'Data Vlaue (Cr)'!$C:$FB,91)</f>
        <v>704</v>
      </c>
      <c r="I24" s="91">
        <f>VLOOKUP($A24,'Data Vlaue (Cr)'!$C:$FB,93)</f>
        <v>-19</v>
      </c>
      <c r="J24" s="92">
        <f>VLOOKUP($A24,'Data Vlaue (Cr)'!$C:$FB,94)</f>
        <v>-2.69E-2</v>
      </c>
      <c r="K24" s="91">
        <f>VLOOKUP($A24,'Data Vlaue (Cr)'!$C:$FB,95)</f>
        <v>344</v>
      </c>
      <c r="L24" s="91">
        <f>VLOOKUP($A24,'Data Vlaue (Cr)'!$C:$FB,97)</f>
        <v>21</v>
      </c>
      <c r="M24" s="92">
        <f>VLOOKUP($A24,'Data Vlaue (Cr)'!$C:$FB,98)</f>
        <v>6.6299999999999998E-2</v>
      </c>
      <c r="N24" s="91">
        <f>VLOOKUP($A24,'Data Vlaue (Cr)'!$C:$FB,79)</f>
        <v>2592</v>
      </c>
      <c r="O24" s="92">
        <f>VLOOKUP($A24,'Data Vlaue (Cr)'!$C:$FB,82)</f>
        <v>-1.11E-2</v>
      </c>
    </row>
    <row r="25" spans="1:15" x14ac:dyDescent="0.25">
      <c r="A25" s="97" t="str">
        <f>'Data Vlaue (Cr)'!C20</f>
        <v>AXISBANK</v>
      </c>
      <c r="B25" s="142">
        <f>VLOOKUP(A25,'Data Vlaue (Cr)'!C20:CW233,99,0)</f>
        <v>15486</v>
      </c>
      <c r="C25" s="90">
        <f>VLOOKUP(A25,'Data Vlaue (Cr)'!C20:CY233,101,0)</f>
        <v>-539</v>
      </c>
      <c r="D25" s="139">
        <f>VLOOKUP(A25,'Data Vlaue (Cr)'!C20:CZ233,102,0)</f>
        <v>-3.3599999999999998E-2</v>
      </c>
      <c r="E25" s="91">
        <f>VLOOKUP($A25,'Data Vlaue (Cr)'!$C:$FB,75)</f>
        <v>9665</v>
      </c>
      <c r="F25" s="91">
        <f>VLOOKUP($A25,'Data Vlaue (Cr)'!$C:$FB,77)</f>
        <v>111</v>
      </c>
      <c r="G25" s="92">
        <f>VLOOKUP(A25,'Data Vlaue (Cr)'!C20:CB233,78,0)</f>
        <v>1.1599999999999999E-2</v>
      </c>
      <c r="H25" s="91">
        <f>VLOOKUP($A25,'Data Vlaue (Cr)'!$C:$FB,91)</f>
        <v>3987</v>
      </c>
      <c r="I25" s="91">
        <f>VLOOKUP($A25,'Data Vlaue (Cr)'!$C:$FB,93)</f>
        <v>-503</v>
      </c>
      <c r="J25" s="92">
        <f>VLOOKUP($A25,'Data Vlaue (Cr)'!$C:$FB,94)</f>
        <v>-0.1119</v>
      </c>
      <c r="K25" s="91">
        <f>VLOOKUP($A25,'Data Vlaue (Cr)'!$C:$FB,95)</f>
        <v>1833</v>
      </c>
      <c r="L25" s="91">
        <f>VLOOKUP($A25,'Data Vlaue (Cr)'!$C:$FB,97)</f>
        <v>-147</v>
      </c>
      <c r="M25" s="92">
        <f>VLOOKUP($A25,'Data Vlaue (Cr)'!$C:$FB,98)</f>
        <v>-7.3999999999999996E-2</v>
      </c>
      <c r="N25" s="91">
        <f>VLOOKUP($A25,'Data Vlaue (Cr)'!$C:$FB,79)</f>
        <v>8211</v>
      </c>
      <c r="O25" s="92">
        <f>VLOOKUP($A25,'Data Vlaue (Cr)'!$C:$FB,82)</f>
        <v>-2.4899999999999999E-2</v>
      </c>
    </row>
    <row r="26" spans="1:15" x14ac:dyDescent="0.25">
      <c r="A26" s="97" t="str">
        <f>'Data Vlaue (Cr)'!C21</f>
        <v>BAJAJ-AUTO</v>
      </c>
      <c r="B26" s="142">
        <f>VLOOKUP(A26,'Data Vlaue (Cr)'!C21:CW234,99,0)</f>
        <v>6219</v>
      </c>
      <c r="C26" s="90">
        <f>VLOOKUP(A26,'Data Vlaue (Cr)'!C21:CY234,101,0)</f>
        <v>85</v>
      </c>
      <c r="D26" s="139">
        <f>VLOOKUP(A26,'Data Vlaue (Cr)'!C21:CZ234,102,0)</f>
        <v>1.3899999999999999E-2</v>
      </c>
      <c r="E26" s="91">
        <f>VLOOKUP($A26,'Data Vlaue (Cr)'!$C:$FB,75)</f>
        <v>3201</v>
      </c>
      <c r="F26" s="91">
        <f>VLOOKUP($A26,'Data Vlaue (Cr)'!$C:$FB,77)</f>
        <v>40</v>
      </c>
      <c r="G26" s="92">
        <f>VLOOKUP(A26,'Data Vlaue (Cr)'!C21:CB234,78,0)</f>
        <v>1.2500000000000001E-2</v>
      </c>
      <c r="H26" s="91">
        <f>VLOOKUP($A26,'Data Vlaue (Cr)'!$C:$FB,91)</f>
        <v>2000</v>
      </c>
      <c r="I26" s="91">
        <f>VLOOKUP($A26,'Data Vlaue (Cr)'!$C:$FB,93)</f>
        <v>64</v>
      </c>
      <c r="J26" s="92">
        <f>VLOOKUP($A26,'Data Vlaue (Cr)'!$C:$FB,94)</f>
        <v>3.3099999999999997E-2</v>
      </c>
      <c r="K26" s="91">
        <f>VLOOKUP($A26,'Data Vlaue (Cr)'!$C:$FB,95)</f>
        <v>1017</v>
      </c>
      <c r="L26" s="91">
        <f>VLOOKUP($A26,'Data Vlaue (Cr)'!$C:$FB,97)</f>
        <v>-19</v>
      </c>
      <c r="M26" s="92">
        <f>VLOOKUP($A26,'Data Vlaue (Cr)'!$C:$FB,98)</f>
        <v>-1.7999999999999999E-2</v>
      </c>
      <c r="N26" s="91">
        <f>VLOOKUP($A26,'Data Vlaue (Cr)'!$C:$FB,79)</f>
        <v>2862</v>
      </c>
      <c r="O26" s="92">
        <f>VLOOKUP($A26,'Data Vlaue (Cr)'!$C:$FB,82)</f>
        <v>-1.2999999999999999E-2</v>
      </c>
    </row>
    <row r="27" spans="1:15" x14ac:dyDescent="0.25">
      <c r="A27" s="97" t="str">
        <f>'Data Vlaue (Cr)'!C22</f>
        <v>BAJAJFINSV</v>
      </c>
      <c r="B27" s="142">
        <f>VLOOKUP(A27,'Data Vlaue (Cr)'!C22:CW235,99,0)</f>
        <v>5633</v>
      </c>
      <c r="C27" s="90">
        <f>VLOOKUP(A27,'Data Vlaue (Cr)'!C22:CY235,101,0)</f>
        <v>-9</v>
      </c>
      <c r="D27" s="139">
        <f>VLOOKUP(A27,'Data Vlaue (Cr)'!C22:CZ235,102,0)</f>
        <v>-1.6000000000000001E-3</v>
      </c>
      <c r="E27" s="91">
        <f>VLOOKUP($A27,'Data Vlaue (Cr)'!$C:$FB,75)</f>
        <v>3759</v>
      </c>
      <c r="F27" s="91">
        <f>VLOOKUP($A27,'Data Vlaue (Cr)'!$C:$FB,77)</f>
        <v>-7</v>
      </c>
      <c r="G27" s="92">
        <f>VLOOKUP(A27,'Data Vlaue (Cr)'!C22:CB235,78,0)</f>
        <v>-1.8E-3</v>
      </c>
      <c r="H27" s="91">
        <f>VLOOKUP($A27,'Data Vlaue (Cr)'!$C:$FB,91)</f>
        <v>1129</v>
      </c>
      <c r="I27" s="91">
        <f>VLOOKUP($A27,'Data Vlaue (Cr)'!$C:$FB,93)</f>
        <v>-5</v>
      </c>
      <c r="J27" s="92">
        <f>VLOOKUP($A27,'Data Vlaue (Cr)'!$C:$FB,94)</f>
        <v>-4.5999999999999999E-3</v>
      </c>
      <c r="K27" s="91">
        <f>VLOOKUP($A27,'Data Vlaue (Cr)'!$C:$FB,95)</f>
        <v>745</v>
      </c>
      <c r="L27" s="91">
        <f>VLOOKUP($A27,'Data Vlaue (Cr)'!$C:$FB,97)</f>
        <v>3</v>
      </c>
      <c r="M27" s="92">
        <f>VLOOKUP($A27,'Data Vlaue (Cr)'!$C:$FB,98)</f>
        <v>4.1999999999999997E-3</v>
      </c>
      <c r="N27" s="91">
        <f>VLOOKUP($A27,'Data Vlaue (Cr)'!$C:$FB,79)</f>
        <v>3094</v>
      </c>
      <c r="O27" s="92">
        <f>VLOOKUP($A27,'Data Vlaue (Cr)'!$C:$FB,82)</f>
        <v>-4.1200000000000001E-2</v>
      </c>
    </row>
    <row r="28" spans="1:15" x14ac:dyDescent="0.25">
      <c r="A28" s="97" t="str">
        <f>'Data Vlaue (Cr)'!C23</f>
        <v>BAJFINANCE</v>
      </c>
      <c r="B28" s="142">
        <f>VLOOKUP(A28,'Data Vlaue (Cr)'!C23:CW236,99,0)</f>
        <v>13982</v>
      </c>
      <c r="C28" s="90">
        <f>VLOOKUP(A28,'Data Vlaue (Cr)'!C23:CY236,101,0)</f>
        <v>-31</v>
      </c>
      <c r="D28" s="139">
        <f>VLOOKUP(A28,'Data Vlaue (Cr)'!C23:CZ236,102,0)</f>
        <v>-2.2000000000000001E-3</v>
      </c>
      <c r="E28" s="91">
        <f>VLOOKUP($A28,'Data Vlaue (Cr)'!$C:$FB,75)</f>
        <v>8904</v>
      </c>
      <c r="F28" s="91">
        <f>VLOOKUP($A28,'Data Vlaue (Cr)'!$C:$FB,77)</f>
        <v>67</v>
      </c>
      <c r="G28" s="92">
        <f>VLOOKUP(A28,'Data Vlaue (Cr)'!C23:CB236,78,0)</f>
        <v>7.6E-3</v>
      </c>
      <c r="H28" s="91">
        <f>VLOOKUP($A28,'Data Vlaue (Cr)'!$C:$FB,91)</f>
        <v>3192</v>
      </c>
      <c r="I28" s="91">
        <f>VLOOKUP($A28,'Data Vlaue (Cr)'!$C:$FB,93)</f>
        <v>-59</v>
      </c>
      <c r="J28" s="92">
        <f>VLOOKUP($A28,'Data Vlaue (Cr)'!$C:$FB,94)</f>
        <v>-1.8200000000000001E-2</v>
      </c>
      <c r="K28" s="91">
        <f>VLOOKUP($A28,'Data Vlaue (Cr)'!$C:$FB,95)</f>
        <v>1886</v>
      </c>
      <c r="L28" s="91">
        <f>VLOOKUP($A28,'Data Vlaue (Cr)'!$C:$FB,97)</f>
        <v>-39</v>
      </c>
      <c r="M28" s="92">
        <f>VLOOKUP($A28,'Data Vlaue (Cr)'!$C:$FB,98)</f>
        <v>-0.02</v>
      </c>
      <c r="N28" s="91">
        <f>VLOOKUP($A28,'Data Vlaue (Cr)'!$C:$FB,79)</f>
        <v>7483</v>
      </c>
      <c r="O28" s="92">
        <f>VLOOKUP($A28,'Data Vlaue (Cr)'!$C:$FB,82)</f>
        <v>-3.4200000000000001E-2</v>
      </c>
    </row>
    <row r="29" spans="1:15" x14ac:dyDescent="0.25">
      <c r="A29" s="97" t="str">
        <f>'Data Vlaue (Cr)'!C24</f>
        <v>BANDHANBNK</v>
      </c>
      <c r="B29" s="142">
        <f>VLOOKUP(A29,'Data Vlaue (Cr)'!C24:CW237,99,0)</f>
        <v>2662</v>
      </c>
      <c r="C29" s="90">
        <f>VLOOKUP(A29,'Data Vlaue (Cr)'!C24:CY237,101,0)</f>
        <v>-18</v>
      </c>
      <c r="D29" s="139">
        <f>VLOOKUP(A29,'Data Vlaue (Cr)'!C24:CZ237,102,0)</f>
        <v>-6.6E-3</v>
      </c>
      <c r="E29" s="91">
        <f>VLOOKUP($A29,'Data Vlaue (Cr)'!$C:$FB,75)</f>
        <v>1650</v>
      </c>
      <c r="F29" s="91">
        <f>VLOOKUP($A29,'Data Vlaue (Cr)'!$C:$FB,77)</f>
        <v>-5</v>
      </c>
      <c r="G29" s="92">
        <f>VLOOKUP(A29,'Data Vlaue (Cr)'!C24:CB237,78,0)</f>
        <v>-3.0999999999999999E-3</v>
      </c>
      <c r="H29" s="91">
        <f>VLOOKUP($A29,'Data Vlaue (Cr)'!$C:$FB,91)</f>
        <v>600</v>
      </c>
      <c r="I29" s="91">
        <f>VLOOKUP($A29,'Data Vlaue (Cr)'!$C:$FB,93)</f>
        <v>-12</v>
      </c>
      <c r="J29" s="92">
        <f>VLOOKUP($A29,'Data Vlaue (Cr)'!$C:$FB,94)</f>
        <v>-1.95E-2</v>
      </c>
      <c r="K29" s="91">
        <f>VLOOKUP($A29,'Data Vlaue (Cr)'!$C:$FB,95)</f>
        <v>412</v>
      </c>
      <c r="L29" s="91">
        <f>VLOOKUP($A29,'Data Vlaue (Cr)'!$C:$FB,97)</f>
        <v>-1</v>
      </c>
      <c r="M29" s="92">
        <f>VLOOKUP($A29,'Data Vlaue (Cr)'!$C:$FB,98)</f>
        <v>-1.2999999999999999E-3</v>
      </c>
      <c r="N29" s="91">
        <f>VLOOKUP($A29,'Data Vlaue (Cr)'!$C:$FB,79)</f>
        <v>1547</v>
      </c>
      <c r="O29" s="92">
        <f>VLOOKUP($A29,'Data Vlaue (Cr)'!$C:$FB,82)</f>
        <v>-3.0000000000000001E-3</v>
      </c>
    </row>
    <row r="30" spans="1:15" x14ac:dyDescent="0.25">
      <c r="A30" s="97" t="str">
        <f>'Data Vlaue (Cr)'!C25</f>
        <v>BANKBARODA</v>
      </c>
      <c r="B30" s="142">
        <f>VLOOKUP(A30,'Data Vlaue (Cr)'!C25:CW238,99,0)</f>
        <v>5035</v>
      </c>
      <c r="C30" s="90">
        <f>VLOOKUP(A30,'Data Vlaue (Cr)'!C25:CY238,101,0)</f>
        <v>-106</v>
      </c>
      <c r="D30" s="139">
        <f>VLOOKUP(A30,'Data Vlaue (Cr)'!C25:CZ238,102,0)</f>
        <v>-2.07E-2</v>
      </c>
      <c r="E30" s="91">
        <f>VLOOKUP($A30,'Data Vlaue (Cr)'!$C:$FB,75)</f>
        <v>2498</v>
      </c>
      <c r="F30" s="91">
        <f>VLOOKUP($A30,'Data Vlaue (Cr)'!$C:$FB,77)</f>
        <v>-27</v>
      </c>
      <c r="G30" s="92">
        <f>VLOOKUP(A30,'Data Vlaue (Cr)'!C25:CB238,78,0)</f>
        <v>-1.09E-2</v>
      </c>
      <c r="H30" s="91">
        <f>VLOOKUP($A30,'Data Vlaue (Cr)'!$C:$FB,91)</f>
        <v>1392</v>
      </c>
      <c r="I30" s="91">
        <f>VLOOKUP($A30,'Data Vlaue (Cr)'!$C:$FB,93)</f>
        <v>-67</v>
      </c>
      <c r="J30" s="92">
        <f>VLOOKUP($A30,'Data Vlaue (Cr)'!$C:$FB,94)</f>
        <v>-4.6100000000000002E-2</v>
      </c>
      <c r="K30" s="91">
        <f>VLOOKUP($A30,'Data Vlaue (Cr)'!$C:$FB,95)</f>
        <v>1145</v>
      </c>
      <c r="L30" s="91">
        <f>VLOOKUP($A30,'Data Vlaue (Cr)'!$C:$FB,97)</f>
        <v>-12</v>
      </c>
      <c r="M30" s="92">
        <f>VLOOKUP($A30,'Data Vlaue (Cr)'!$C:$FB,98)</f>
        <v>-1.01E-2</v>
      </c>
      <c r="N30" s="91">
        <f>VLOOKUP($A30,'Data Vlaue (Cr)'!$C:$FB,79)</f>
        <v>2249</v>
      </c>
      <c r="O30" s="92">
        <f>VLOOKUP($A30,'Data Vlaue (Cr)'!$C:$FB,82)</f>
        <v>-1.8200000000000001E-2</v>
      </c>
    </row>
    <row r="31" spans="1:15" x14ac:dyDescent="0.25">
      <c r="A31" s="97" t="str">
        <f>'Data Vlaue (Cr)'!C26</f>
        <v>BANKINDIA</v>
      </c>
      <c r="B31" s="142">
        <f>VLOOKUP(A31,'Data Vlaue (Cr)'!C26:CW239,99,0)</f>
        <v>1386</v>
      </c>
      <c r="C31" s="90">
        <f>VLOOKUP(A31,'Data Vlaue (Cr)'!C26:CY239,101,0)</f>
        <v>-6</v>
      </c>
      <c r="D31" s="139">
        <f>VLOOKUP(A31,'Data Vlaue (Cr)'!C26:CZ239,102,0)</f>
        <v>-4.1999999999999997E-3</v>
      </c>
      <c r="E31" s="91">
        <f>VLOOKUP($A31,'Data Vlaue (Cr)'!$C:$FB,75)</f>
        <v>704</v>
      </c>
      <c r="F31" s="91">
        <f>VLOOKUP($A31,'Data Vlaue (Cr)'!$C:$FB,77)</f>
        <v>-11</v>
      </c>
      <c r="G31" s="92">
        <f>VLOOKUP(A31,'Data Vlaue (Cr)'!C26:CB239,78,0)</f>
        <v>-1.47E-2</v>
      </c>
      <c r="H31" s="91">
        <f>VLOOKUP($A31,'Data Vlaue (Cr)'!$C:$FB,91)</f>
        <v>390</v>
      </c>
      <c r="I31" s="91">
        <f>VLOOKUP($A31,'Data Vlaue (Cr)'!$C:$FB,93)</f>
        <v>-3</v>
      </c>
      <c r="J31" s="92">
        <f>VLOOKUP($A31,'Data Vlaue (Cr)'!$C:$FB,94)</f>
        <v>-8.3000000000000001E-3</v>
      </c>
      <c r="K31" s="91">
        <f>VLOOKUP($A31,'Data Vlaue (Cr)'!$C:$FB,95)</f>
        <v>292</v>
      </c>
      <c r="L31" s="91">
        <f>VLOOKUP($A31,'Data Vlaue (Cr)'!$C:$FB,97)</f>
        <v>8</v>
      </c>
      <c r="M31" s="92">
        <f>VLOOKUP($A31,'Data Vlaue (Cr)'!$C:$FB,98)</f>
        <v>2.8199999999999999E-2</v>
      </c>
      <c r="N31" s="91">
        <f>VLOOKUP($A31,'Data Vlaue (Cr)'!$C:$FB,79)</f>
        <v>659</v>
      </c>
      <c r="O31" s="92">
        <f>VLOOKUP($A31,'Data Vlaue (Cr)'!$C:$FB,82)</f>
        <v>-1.7999999999999999E-2</v>
      </c>
    </row>
    <row r="32" spans="1:15" x14ac:dyDescent="0.25">
      <c r="A32" s="97" t="str">
        <f>'Data Vlaue (Cr)'!C27</f>
        <v>BANKNIFTY</v>
      </c>
      <c r="B32" s="142">
        <f>VLOOKUP(A32,'Data Vlaue (Cr)'!C27:CW240,99,0)</f>
        <v>254310</v>
      </c>
      <c r="C32" s="90">
        <f>VLOOKUP(A32,'Data Vlaue (Cr)'!C27:CY240,101,0)</f>
        <v>7105</v>
      </c>
      <c r="D32" s="139">
        <f>VLOOKUP(A32,'Data Vlaue (Cr)'!C27:CZ240,102,0)</f>
        <v>2.87E-2</v>
      </c>
      <c r="E32" s="91">
        <f>VLOOKUP($A32,'Data Vlaue (Cr)'!$C:$FB,75)</f>
        <v>12069</v>
      </c>
      <c r="F32" s="91">
        <f>VLOOKUP($A32,'Data Vlaue (Cr)'!$C:$FB,77)</f>
        <v>-316</v>
      </c>
      <c r="G32" s="92">
        <f>VLOOKUP(A32,'Data Vlaue (Cr)'!C27:CB240,78,0)</f>
        <v>-2.5499999999999998E-2</v>
      </c>
      <c r="H32" s="91">
        <f>VLOOKUP($A32,'Data Vlaue (Cr)'!$C:$FB,91)</f>
        <v>138564</v>
      </c>
      <c r="I32" s="91">
        <f>VLOOKUP($A32,'Data Vlaue (Cr)'!$C:$FB,93)</f>
        <v>4448</v>
      </c>
      <c r="J32" s="92">
        <f>VLOOKUP($A32,'Data Vlaue (Cr)'!$C:$FB,94)</f>
        <v>3.32E-2</v>
      </c>
      <c r="K32" s="91">
        <f>VLOOKUP($A32,'Data Vlaue (Cr)'!$C:$FB,95)</f>
        <v>103678</v>
      </c>
      <c r="L32" s="91">
        <f>VLOOKUP($A32,'Data Vlaue (Cr)'!$C:$FB,97)</f>
        <v>2973</v>
      </c>
      <c r="M32" s="92">
        <f>VLOOKUP($A32,'Data Vlaue (Cr)'!$C:$FB,98)</f>
        <v>2.9499999999999998E-2</v>
      </c>
      <c r="N32" s="91">
        <f>VLOOKUP($A32,'Data Vlaue (Cr)'!$C:$FB,79)</f>
        <v>10457</v>
      </c>
      <c r="O32" s="92">
        <f>VLOOKUP($A32,'Data Vlaue (Cr)'!$C:$FB,82)</f>
        <v>-4.0399999999999998E-2</v>
      </c>
    </row>
    <row r="33" spans="1:15" x14ac:dyDescent="0.25">
      <c r="A33" s="97" t="str">
        <f>'Data Vlaue (Cr)'!C28</f>
        <v>BDL</v>
      </c>
      <c r="B33" s="142">
        <f>VLOOKUP(A33,'Data Vlaue (Cr)'!C28:CW241,99,0)</f>
        <v>2038</v>
      </c>
      <c r="C33" s="90">
        <f>VLOOKUP(A33,'Data Vlaue (Cr)'!C28:CY241,101,0)</f>
        <v>-11</v>
      </c>
      <c r="D33" s="139">
        <f>VLOOKUP(A33,'Data Vlaue (Cr)'!C28:CZ241,102,0)</f>
        <v>-5.4999999999999997E-3</v>
      </c>
      <c r="E33" s="91">
        <f>VLOOKUP($A33,'Data Vlaue (Cr)'!$C:$FB,75)</f>
        <v>641</v>
      </c>
      <c r="F33" s="91">
        <f>VLOOKUP($A33,'Data Vlaue (Cr)'!$C:$FB,77)</f>
        <v>-7</v>
      </c>
      <c r="G33" s="92">
        <f>VLOOKUP(A33,'Data Vlaue (Cr)'!C28:CB241,78,0)</f>
        <v>-1.01E-2</v>
      </c>
      <c r="H33" s="91">
        <f>VLOOKUP($A33,'Data Vlaue (Cr)'!$C:$FB,91)</f>
        <v>997</v>
      </c>
      <c r="I33" s="91">
        <f>VLOOKUP($A33,'Data Vlaue (Cr)'!$C:$FB,93)</f>
        <v>-7</v>
      </c>
      <c r="J33" s="92">
        <f>VLOOKUP($A33,'Data Vlaue (Cr)'!$C:$FB,94)</f>
        <v>-7.1999999999999998E-3</v>
      </c>
      <c r="K33" s="91">
        <f>VLOOKUP($A33,'Data Vlaue (Cr)'!$C:$FB,95)</f>
        <v>400</v>
      </c>
      <c r="L33" s="91">
        <f>VLOOKUP($A33,'Data Vlaue (Cr)'!$C:$FB,97)</f>
        <v>3</v>
      </c>
      <c r="M33" s="92">
        <f>VLOOKUP($A33,'Data Vlaue (Cr)'!$C:$FB,98)</f>
        <v>6.4000000000000003E-3</v>
      </c>
      <c r="N33" s="91">
        <f>VLOOKUP($A33,'Data Vlaue (Cr)'!$C:$FB,79)</f>
        <v>543</v>
      </c>
      <c r="O33" s="92">
        <f>VLOOKUP($A33,'Data Vlaue (Cr)'!$C:$FB,82)</f>
        <v>-3.0300000000000001E-2</v>
      </c>
    </row>
    <row r="34" spans="1:15" x14ac:dyDescent="0.25">
      <c r="A34" s="97" t="str">
        <f>'Data Vlaue (Cr)'!C29</f>
        <v>BEL</v>
      </c>
      <c r="B34" s="142">
        <f>VLOOKUP(A34,'Data Vlaue (Cr)'!C29:CW242,99,0)</f>
        <v>9930</v>
      </c>
      <c r="C34" s="90">
        <f>VLOOKUP(A34,'Data Vlaue (Cr)'!C29:CY242,101,0)</f>
        <v>1</v>
      </c>
      <c r="D34" s="139">
        <f>VLOOKUP(A34,'Data Vlaue (Cr)'!C29:CZ242,102,0)</f>
        <v>1E-4</v>
      </c>
      <c r="E34" s="91">
        <f>VLOOKUP($A34,'Data Vlaue (Cr)'!$C:$FB,75)</f>
        <v>4749</v>
      </c>
      <c r="F34" s="91">
        <f>VLOOKUP($A34,'Data Vlaue (Cr)'!$C:$FB,77)</f>
        <v>31</v>
      </c>
      <c r="G34" s="92">
        <f>VLOOKUP(A34,'Data Vlaue (Cr)'!C29:CB242,78,0)</f>
        <v>6.6E-3</v>
      </c>
      <c r="H34" s="91">
        <f>VLOOKUP($A34,'Data Vlaue (Cr)'!$C:$FB,91)</f>
        <v>3541</v>
      </c>
      <c r="I34" s="91">
        <f>VLOOKUP($A34,'Data Vlaue (Cr)'!$C:$FB,93)</f>
        <v>-39</v>
      </c>
      <c r="J34" s="92">
        <f>VLOOKUP($A34,'Data Vlaue (Cr)'!$C:$FB,94)</f>
        <v>-1.0800000000000001E-2</v>
      </c>
      <c r="K34" s="91">
        <f>VLOOKUP($A34,'Data Vlaue (Cr)'!$C:$FB,95)</f>
        <v>1640</v>
      </c>
      <c r="L34" s="91">
        <f>VLOOKUP($A34,'Data Vlaue (Cr)'!$C:$FB,97)</f>
        <v>9</v>
      </c>
      <c r="M34" s="92">
        <f>VLOOKUP($A34,'Data Vlaue (Cr)'!$C:$FB,98)</f>
        <v>5.3E-3</v>
      </c>
      <c r="N34" s="91">
        <f>VLOOKUP($A34,'Data Vlaue (Cr)'!$C:$FB,79)</f>
        <v>3832</v>
      </c>
      <c r="O34" s="92">
        <f>VLOOKUP($A34,'Data Vlaue (Cr)'!$C:$FB,82)</f>
        <v>-3.4299999999999997E-2</v>
      </c>
    </row>
    <row r="35" spans="1:15" x14ac:dyDescent="0.25">
      <c r="A35" s="97" t="str">
        <f>'Data Vlaue (Cr)'!C30</f>
        <v>BHARATFORG</v>
      </c>
      <c r="B35" s="142">
        <f>VLOOKUP(A35,'Data Vlaue (Cr)'!C30:CW243,99,0)</f>
        <v>1950</v>
      </c>
      <c r="C35" s="90">
        <f>VLOOKUP(A35,'Data Vlaue (Cr)'!C30:CY243,101,0)</f>
        <v>8</v>
      </c>
      <c r="D35" s="139">
        <f>VLOOKUP(A35,'Data Vlaue (Cr)'!C30:CZ243,102,0)</f>
        <v>4.3E-3</v>
      </c>
      <c r="E35" s="91">
        <f>VLOOKUP($A35,'Data Vlaue (Cr)'!$C:$FB,75)</f>
        <v>1123</v>
      </c>
      <c r="F35" s="91">
        <f>VLOOKUP($A35,'Data Vlaue (Cr)'!$C:$FB,77)</f>
        <v>8</v>
      </c>
      <c r="G35" s="92">
        <f>VLOOKUP(A35,'Data Vlaue (Cr)'!C30:CB243,78,0)</f>
        <v>7.0000000000000001E-3</v>
      </c>
      <c r="H35" s="91">
        <f>VLOOKUP($A35,'Data Vlaue (Cr)'!$C:$FB,91)</f>
        <v>506</v>
      </c>
      <c r="I35" s="91">
        <f>VLOOKUP($A35,'Data Vlaue (Cr)'!$C:$FB,93)</f>
        <v>-2</v>
      </c>
      <c r="J35" s="92">
        <f>VLOOKUP($A35,'Data Vlaue (Cr)'!$C:$FB,94)</f>
        <v>-4.1999999999999997E-3</v>
      </c>
      <c r="K35" s="91">
        <f>VLOOKUP($A35,'Data Vlaue (Cr)'!$C:$FB,95)</f>
        <v>320</v>
      </c>
      <c r="L35" s="91">
        <f>VLOOKUP($A35,'Data Vlaue (Cr)'!$C:$FB,97)</f>
        <v>3</v>
      </c>
      <c r="M35" s="92">
        <f>VLOOKUP($A35,'Data Vlaue (Cr)'!$C:$FB,98)</f>
        <v>8.6999999999999994E-3</v>
      </c>
      <c r="N35" s="91">
        <f>VLOOKUP($A35,'Data Vlaue (Cr)'!$C:$FB,79)</f>
        <v>1012</v>
      </c>
      <c r="O35" s="92">
        <f>VLOOKUP($A35,'Data Vlaue (Cr)'!$C:$FB,82)</f>
        <v>-5.5999999999999999E-3</v>
      </c>
    </row>
    <row r="36" spans="1:15" x14ac:dyDescent="0.25">
      <c r="A36" s="97" t="str">
        <f>'Data Vlaue (Cr)'!C31</f>
        <v>BHARTIARTL</v>
      </c>
      <c r="B36" s="142">
        <f>VLOOKUP(A36,'Data Vlaue (Cr)'!C31:CW244,99,0)</f>
        <v>15870</v>
      </c>
      <c r="C36" s="90">
        <f>VLOOKUP(A36,'Data Vlaue (Cr)'!C31:CY244,101,0)</f>
        <v>68</v>
      </c>
      <c r="D36" s="139">
        <f>VLOOKUP(A36,'Data Vlaue (Cr)'!C31:CZ244,102,0)</f>
        <v>4.3E-3</v>
      </c>
      <c r="E36" s="91">
        <f>VLOOKUP($A36,'Data Vlaue (Cr)'!$C:$FB,75)</f>
        <v>9855</v>
      </c>
      <c r="F36" s="91">
        <f>VLOOKUP($A36,'Data Vlaue (Cr)'!$C:$FB,77)</f>
        <v>95</v>
      </c>
      <c r="G36" s="92">
        <f>VLOOKUP(A36,'Data Vlaue (Cr)'!C31:CB244,78,0)</f>
        <v>9.7999999999999997E-3</v>
      </c>
      <c r="H36" s="91">
        <f>VLOOKUP($A36,'Data Vlaue (Cr)'!$C:$FB,91)</f>
        <v>4048</v>
      </c>
      <c r="I36" s="91">
        <f>VLOOKUP($A36,'Data Vlaue (Cr)'!$C:$FB,93)</f>
        <v>16</v>
      </c>
      <c r="J36" s="92">
        <f>VLOOKUP($A36,'Data Vlaue (Cr)'!$C:$FB,94)</f>
        <v>4.0000000000000001E-3</v>
      </c>
      <c r="K36" s="91">
        <f>VLOOKUP($A36,'Data Vlaue (Cr)'!$C:$FB,95)</f>
        <v>1967</v>
      </c>
      <c r="L36" s="91">
        <f>VLOOKUP($A36,'Data Vlaue (Cr)'!$C:$FB,97)</f>
        <v>-43</v>
      </c>
      <c r="M36" s="92">
        <f>VLOOKUP($A36,'Data Vlaue (Cr)'!$C:$FB,98)</f>
        <v>-2.1600000000000001E-2</v>
      </c>
      <c r="N36" s="91">
        <f>VLOOKUP($A36,'Data Vlaue (Cr)'!$C:$FB,79)</f>
        <v>8536</v>
      </c>
      <c r="O36" s="92">
        <f>VLOOKUP($A36,'Data Vlaue (Cr)'!$C:$FB,82)</f>
        <v>-2.3E-2</v>
      </c>
    </row>
    <row r="37" spans="1:15" x14ac:dyDescent="0.25">
      <c r="A37" s="97" t="str">
        <f>'Data Vlaue (Cr)'!C32</f>
        <v>BHEL</v>
      </c>
      <c r="B37" s="142">
        <f>VLOOKUP(A37,'Data Vlaue (Cr)'!C32:CW245,99,0)</f>
        <v>3949</v>
      </c>
      <c r="C37" s="90">
        <f>VLOOKUP(A37,'Data Vlaue (Cr)'!C32:CY245,101,0)</f>
        <v>73</v>
      </c>
      <c r="D37" s="139">
        <f>VLOOKUP(A37,'Data Vlaue (Cr)'!C32:CZ245,102,0)</f>
        <v>1.8700000000000001E-2</v>
      </c>
      <c r="E37" s="91">
        <f>VLOOKUP($A37,'Data Vlaue (Cr)'!$C:$FB,75)</f>
        <v>1777</v>
      </c>
      <c r="F37" s="91">
        <f>VLOOKUP($A37,'Data Vlaue (Cr)'!$C:$FB,77)</f>
        <v>24</v>
      </c>
      <c r="G37" s="92">
        <f>VLOOKUP(A37,'Data Vlaue (Cr)'!C32:CB245,78,0)</f>
        <v>1.3899999999999999E-2</v>
      </c>
      <c r="H37" s="91">
        <f>VLOOKUP($A37,'Data Vlaue (Cr)'!$C:$FB,91)</f>
        <v>1484</v>
      </c>
      <c r="I37" s="91">
        <f>VLOOKUP($A37,'Data Vlaue (Cr)'!$C:$FB,93)</f>
        <v>46</v>
      </c>
      <c r="J37" s="92">
        <f>VLOOKUP($A37,'Data Vlaue (Cr)'!$C:$FB,94)</f>
        <v>3.2000000000000001E-2</v>
      </c>
      <c r="K37" s="91">
        <f>VLOOKUP($A37,'Data Vlaue (Cr)'!$C:$FB,95)</f>
        <v>688</v>
      </c>
      <c r="L37" s="91">
        <f>VLOOKUP($A37,'Data Vlaue (Cr)'!$C:$FB,97)</f>
        <v>2</v>
      </c>
      <c r="M37" s="92">
        <f>VLOOKUP($A37,'Data Vlaue (Cr)'!$C:$FB,98)</f>
        <v>3.3E-3</v>
      </c>
      <c r="N37" s="91">
        <f>VLOOKUP($A37,'Data Vlaue (Cr)'!$C:$FB,79)</f>
        <v>1639</v>
      </c>
      <c r="O37" s="92">
        <f>VLOOKUP($A37,'Data Vlaue (Cr)'!$C:$FB,82)</f>
        <v>-2.9999999999999997E-4</v>
      </c>
    </row>
    <row r="38" spans="1:15" x14ac:dyDescent="0.25">
      <c r="A38" s="97" t="str">
        <f>'Data Vlaue (Cr)'!C33</f>
        <v>BIOCON</v>
      </c>
      <c r="B38" s="142">
        <f>VLOOKUP(A38,'Data Vlaue (Cr)'!C33:CW246,99,0)</f>
        <v>3741</v>
      </c>
      <c r="C38" s="90">
        <f>VLOOKUP(A38,'Data Vlaue (Cr)'!C33:CY246,101,0)</f>
        <v>-125</v>
      </c>
      <c r="D38" s="139">
        <f>VLOOKUP(A38,'Data Vlaue (Cr)'!C33:CZ246,102,0)</f>
        <v>-3.2399999999999998E-2</v>
      </c>
      <c r="E38" s="91">
        <f>VLOOKUP($A38,'Data Vlaue (Cr)'!$C:$FB,75)</f>
        <v>1877</v>
      </c>
      <c r="F38" s="91">
        <f>VLOOKUP($A38,'Data Vlaue (Cr)'!$C:$FB,77)</f>
        <v>-33</v>
      </c>
      <c r="G38" s="92">
        <f>VLOOKUP(A38,'Data Vlaue (Cr)'!C33:CB246,78,0)</f>
        <v>-1.72E-2</v>
      </c>
      <c r="H38" s="91">
        <f>VLOOKUP($A38,'Data Vlaue (Cr)'!$C:$FB,91)</f>
        <v>1225</v>
      </c>
      <c r="I38" s="91">
        <f>VLOOKUP($A38,'Data Vlaue (Cr)'!$C:$FB,93)</f>
        <v>-73</v>
      </c>
      <c r="J38" s="92">
        <f>VLOOKUP($A38,'Data Vlaue (Cr)'!$C:$FB,94)</f>
        <v>-5.6099999999999997E-2</v>
      </c>
      <c r="K38" s="91">
        <f>VLOOKUP($A38,'Data Vlaue (Cr)'!$C:$FB,95)</f>
        <v>638</v>
      </c>
      <c r="L38" s="91">
        <f>VLOOKUP($A38,'Data Vlaue (Cr)'!$C:$FB,97)</f>
        <v>-20</v>
      </c>
      <c r="M38" s="92">
        <f>VLOOKUP($A38,'Data Vlaue (Cr)'!$C:$FB,98)</f>
        <v>-2.9899999999999999E-2</v>
      </c>
      <c r="N38" s="91">
        <f>VLOOKUP($A38,'Data Vlaue (Cr)'!$C:$FB,79)</f>
        <v>1750</v>
      </c>
      <c r="O38" s="92">
        <f>VLOOKUP($A38,'Data Vlaue (Cr)'!$C:$FB,82)</f>
        <v>-3.4799999999999998E-2</v>
      </c>
    </row>
    <row r="39" spans="1:15" x14ac:dyDescent="0.25">
      <c r="A39" s="97" t="str">
        <f>'Data Vlaue (Cr)'!C34</f>
        <v>BLUESTARCO</v>
      </c>
      <c r="B39" s="142">
        <f>VLOOKUP(A39,'Data Vlaue (Cr)'!C34:CW247,99,0)</f>
        <v>679</v>
      </c>
      <c r="C39" s="90">
        <f>VLOOKUP(A39,'Data Vlaue (Cr)'!C34:CY247,101,0)</f>
        <v>1</v>
      </c>
      <c r="D39" s="139">
        <f>VLOOKUP(A39,'Data Vlaue (Cr)'!C34:CZ247,102,0)</f>
        <v>2.0999999999999999E-3</v>
      </c>
      <c r="E39" s="91">
        <f>VLOOKUP($A39,'Data Vlaue (Cr)'!$C:$FB,75)</f>
        <v>459</v>
      </c>
      <c r="F39" s="91">
        <f>VLOOKUP($A39,'Data Vlaue (Cr)'!$C:$FB,77)</f>
        <v>16</v>
      </c>
      <c r="G39" s="92">
        <f>VLOOKUP(A39,'Data Vlaue (Cr)'!C34:CB247,78,0)</f>
        <v>3.56E-2</v>
      </c>
      <c r="H39" s="91">
        <f>VLOOKUP($A39,'Data Vlaue (Cr)'!$C:$FB,91)</f>
        <v>113</v>
      </c>
      <c r="I39" s="91">
        <f>VLOOKUP($A39,'Data Vlaue (Cr)'!$C:$FB,93)</f>
        <v>-25</v>
      </c>
      <c r="J39" s="92">
        <f>VLOOKUP($A39,'Data Vlaue (Cr)'!$C:$FB,94)</f>
        <v>-0.1822</v>
      </c>
      <c r="K39" s="91">
        <f>VLOOKUP($A39,'Data Vlaue (Cr)'!$C:$FB,95)</f>
        <v>107</v>
      </c>
      <c r="L39" s="91">
        <f>VLOOKUP($A39,'Data Vlaue (Cr)'!$C:$FB,97)</f>
        <v>11</v>
      </c>
      <c r="M39" s="92">
        <f>VLOOKUP($A39,'Data Vlaue (Cr)'!$C:$FB,98)</f>
        <v>0.11169999999999999</v>
      </c>
      <c r="N39" s="91">
        <f>VLOOKUP($A39,'Data Vlaue (Cr)'!$C:$FB,79)</f>
        <v>416</v>
      </c>
      <c r="O39" s="92">
        <f>VLOOKUP($A39,'Data Vlaue (Cr)'!$C:$FB,82)</f>
        <v>1.83E-2</v>
      </c>
    </row>
    <row r="40" spans="1:15" x14ac:dyDescent="0.25">
      <c r="A40" s="97" t="str">
        <f>'Data Vlaue (Cr)'!C35</f>
        <v>BOSCHLTD</v>
      </c>
      <c r="B40" s="142">
        <f>VLOOKUP(A40,'Data Vlaue (Cr)'!C35:CW248,99,0)</f>
        <v>1254</v>
      </c>
      <c r="C40" s="90">
        <f>VLOOKUP(A40,'Data Vlaue (Cr)'!C35:CY248,101,0)</f>
        <v>26</v>
      </c>
      <c r="D40" s="139">
        <f>VLOOKUP(A40,'Data Vlaue (Cr)'!C35:CZ248,102,0)</f>
        <v>2.1100000000000001E-2</v>
      </c>
      <c r="E40" s="91">
        <f>VLOOKUP($A40,'Data Vlaue (Cr)'!$C:$FB,75)</f>
        <v>756</v>
      </c>
      <c r="F40" s="91">
        <f>VLOOKUP($A40,'Data Vlaue (Cr)'!$C:$FB,77)</f>
        <v>-2</v>
      </c>
      <c r="G40" s="92">
        <f>VLOOKUP(A40,'Data Vlaue (Cr)'!C35:CB248,78,0)</f>
        <v>-2.0999999999999999E-3</v>
      </c>
      <c r="H40" s="91">
        <f>VLOOKUP($A40,'Data Vlaue (Cr)'!$C:$FB,91)</f>
        <v>348</v>
      </c>
      <c r="I40" s="91">
        <f>VLOOKUP($A40,'Data Vlaue (Cr)'!$C:$FB,93)</f>
        <v>29</v>
      </c>
      <c r="J40" s="92">
        <f>VLOOKUP($A40,'Data Vlaue (Cr)'!$C:$FB,94)</f>
        <v>9.0899999999999995E-2</v>
      </c>
      <c r="K40" s="91">
        <f>VLOOKUP($A40,'Data Vlaue (Cr)'!$C:$FB,95)</f>
        <v>151</v>
      </c>
      <c r="L40" s="91">
        <f>VLOOKUP($A40,'Data Vlaue (Cr)'!$C:$FB,97)</f>
        <v>-1</v>
      </c>
      <c r="M40" s="92">
        <f>VLOOKUP($A40,'Data Vlaue (Cr)'!$C:$FB,98)</f>
        <v>-9.4000000000000004E-3</v>
      </c>
      <c r="N40" s="91">
        <f>VLOOKUP($A40,'Data Vlaue (Cr)'!$C:$FB,79)</f>
        <v>711</v>
      </c>
      <c r="O40" s="92">
        <f>VLOOKUP($A40,'Data Vlaue (Cr)'!$C:$FB,82)</f>
        <v>-1.0800000000000001E-2</v>
      </c>
    </row>
    <row r="41" spans="1:15" x14ac:dyDescent="0.25">
      <c r="A41" s="97" t="str">
        <f>'Data Vlaue (Cr)'!C36</f>
        <v>BPCL</v>
      </c>
      <c r="B41" s="142">
        <f>VLOOKUP(A41,'Data Vlaue (Cr)'!C36:CW249,99,0)</f>
        <v>2192</v>
      </c>
      <c r="C41" s="90">
        <f>VLOOKUP(A41,'Data Vlaue (Cr)'!C36:CY249,101,0)</f>
        <v>13</v>
      </c>
      <c r="D41" s="139">
        <f>VLOOKUP(A41,'Data Vlaue (Cr)'!C36:CZ249,102,0)</f>
        <v>6.0000000000000001E-3</v>
      </c>
      <c r="E41" s="91">
        <f>VLOOKUP($A41,'Data Vlaue (Cr)'!$C:$FB,75)</f>
        <v>1051</v>
      </c>
      <c r="F41" s="91">
        <f>VLOOKUP($A41,'Data Vlaue (Cr)'!$C:$FB,77)</f>
        <v>19</v>
      </c>
      <c r="G41" s="92">
        <f>VLOOKUP(A41,'Data Vlaue (Cr)'!C36:CB249,78,0)</f>
        <v>1.7999999999999999E-2</v>
      </c>
      <c r="H41" s="91">
        <f>VLOOKUP($A41,'Data Vlaue (Cr)'!$C:$FB,91)</f>
        <v>726</v>
      </c>
      <c r="I41" s="91">
        <f>VLOOKUP($A41,'Data Vlaue (Cr)'!$C:$FB,93)</f>
        <v>-3</v>
      </c>
      <c r="J41" s="92">
        <f>VLOOKUP($A41,'Data Vlaue (Cr)'!$C:$FB,94)</f>
        <v>-3.5000000000000001E-3</v>
      </c>
      <c r="K41" s="91">
        <f>VLOOKUP($A41,'Data Vlaue (Cr)'!$C:$FB,95)</f>
        <v>415</v>
      </c>
      <c r="L41" s="91">
        <f>VLOOKUP($A41,'Data Vlaue (Cr)'!$C:$FB,97)</f>
        <v>-3</v>
      </c>
      <c r="M41" s="92">
        <f>VLOOKUP($A41,'Data Vlaue (Cr)'!$C:$FB,98)</f>
        <v>-7.4000000000000003E-3</v>
      </c>
      <c r="N41" s="91">
        <f>VLOOKUP($A41,'Data Vlaue (Cr)'!$C:$FB,79)</f>
        <v>987</v>
      </c>
      <c r="O41" s="92">
        <f>VLOOKUP($A41,'Data Vlaue (Cr)'!$C:$FB,82)</f>
        <v>8.6999999999999994E-3</v>
      </c>
    </row>
    <row r="42" spans="1:15" x14ac:dyDescent="0.25">
      <c r="A42" s="97" t="str">
        <f>'Data Vlaue (Cr)'!C37</f>
        <v>BRITANNIA</v>
      </c>
      <c r="B42" s="142">
        <f>VLOOKUP(A42,'Data Vlaue (Cr)'!C37:CW250,99,0)</f>
        <v>2957</v>
      </c>
      <c r="C42" s="90">
        <f>VLOOKUP(A42,'Data Vlaue (Cr)'!C37:CY250,101,0)</f>
        <v>71</v>
      </c>
      <c r="D42" s="139">
        <f>VLOOKUP(A42,'Data Vlaue (Cr)'!C37:CZ250,102,0)</f>
        <v>2.47E-2</v>
      </c>
      <c r="E42" s="91">
        <f>VLOOKUP($A42,'Data Vlaue (Cr)'!$C:$FB,75)</f>
        <v>1665</v>
      </c>
      <c r="F42" s="91">
        <f>VLOOKUP($A42,'Data Vlaue (Cr)'!$C:$FB,77)</f>
        <v>29</v>
      </c>
      <c r="G42" s="92">
        <f>VLOOKUP(A42,'Data Vlaue (Cr)'!C37:CB250,78,0)</f>
        <v>1.7600000000000001E-2</v>
      </c>
      <c r="H42" s="91">
        <f>VLOOKUP($A42,'Data Vlaue (Cr)'!$C:$FB,91)</f>
        <v>814</v>
      </c>
      <c r="I42" s="91">
        <f>VLOOKUP($A42,'Data Vlaue (Cr)'!$C:$FB,93)</f>
        <v>50</v>
      </c>
      <c r="J42" s="92">
        <f>VLOOKUP($A42,'Data Vlaue (Cr)'!$C:$FB,94)</f>
        <v>6.5199999999999994E-2</v>
      </c>
      <c r="K42" s="91">
        <f>VLOOKUP($A42,'Data Vlaue (Cr)'!$C:$FB,95)</f>
        <v>478</v>
      </c>
      <c r="L42" s="91">
        <f>VLOOKUP($A42,'Data Vlaue (Cr)'!$C:$FB,97)</f>
        <v>-7</v>
      </c>
      <c r="M42" s="92">
        <f>VLOOKUP($A42,'Data Vlaue (Cr)'!$C:$FB,98)</f>
        <v>-1.5299999999999999E-2</v>
      </c>
      <c r="N42" s="91">
        <f>VLOOKUP($A42,'Data Vlaue (Cr)'!$C:$FB,79)</f>
        <v>1611</v>
      </c>
      <c r="O42" s="92">
        <f>VLOOKUP($A42,'Data Vlaue (Cr)'!$C:$FB,82)</f>
        <v>3.5999999999999999E-3</v>
      </c>
    </row>
    <row r="43" spans="1:15" x14ac:dyDescent="0.25">
      <c r="A43" s="97" t="str">
        <f>'Data Vlaue (Cr)'!C38</f>
        <v>BSE</v>
      </c>
      <c r="B43" s="142">
        <f>VLOOKUP(A43,'Data Vlaue (Cr)'!C38:CW251,99,0)</f>
        <v>8600</v>
      </c>
      <c r="C43" s="90">
        <f>VLOOKUP(A43,'Data Vlaue (Cr)'!C38:CY251,101,0)</f>
        <v>-595</v>
      </c>
      <c r="D43" s="139">
        <f>VLOOKUP(A43,'Data Vlaue (Cr)'!C38:CZ251,102,0)</f>
        <v>-6.4699999999999994E-2</v>
      </c>
      <c r="E43" s="91">
        <f>VLOOKUP($A43,'Data Vlaue (Cr)'!$C:$FB,75)</f>
        <v>3124</v>
      </c>
      <c r="F43" s="91">
        <f>VLOOKUP($A43,'Data Vlaue (Cr)'!$C:$FB,77)</f>
        <v>-25</v>
      </c>
      <c r="G43" s="92">
        <f>VLOOKUP(A43,'Data Vlaue (Cr)'!C38:CB251,78,0)</f>
        <v>-8.0000000000000002E-3</v>
      </c>
      <c r="H43" s="91">
        <f>VLOOKUP($A43,'Data Vlaue (Cr)'!$C:$FB,91)</f>
        <v>3525</v>
      </c>
      <c r="I43" s="91">
        <f>VLOOKUP($A43,'Data Vlaue (Cr)'!$C:$FB,93)</f>
        <v>-493</v>
      </c>
      <c r="J43" s="92">
        <f>VLOOKUP($A43,'Data Vlaue (Cr)'!$C:$FB,94)</f>
        <v>-0.12280000000000001</v>
      </c>
      <c r="K43" s="91">
        <f>VLOOKUP($A43,'Data Vlaue (Cr)'!$C:$FB,95)</f>
        <v>1952</v>
      </c>
      <c r="L43" s="91">
        <f>VLOOKUP($A43,'Data Vlaue (Cr)'!$C:$FB,97)</f>
        <v>-77</v>
      </c>
      <c r="M43" s="92">
        <f>VLOOKUP($A43,'Data Vlaue (Cr)'!$C:$FB,98)</f>
        <v>-3.7900000000000003E-2</v>
      </c>
      <c r="N43" s="91">
        <f>VLOOKUP($A43,'Data Vlaue (Cr)'!$C:$FB,79)</f>
        <v>2627</v>
      </c>
      <c r="O43" s="92">
        <f>VLOOKUP($A43,'Data Vlaue (Cr)'!$C:$FB,82)</f>
        <v>-4.1500000000000002E-2</v>
      </c>
    </row>
    <row r="44" spans="1:15" x14ac:dyDescent="0.25">
      <c r="A44" s="97" t="str">
        <f>'Data Vlaue (Cr)'!C39</f>
        <v>CAMS</v>
      </c>
      <c r="B44" s="142">
        <f>VLOOKUP(A44,'Data Vlaue (Cr)'!C39:CW252,99,0)</f>
        <v>1459</v>
      </c>
      <c r="C44" s="90">
        <f>VLOOKUP(A44,'Data Vlaue (Cr)'!C39:CY252,101,0)</f>
        <v>20</v>
      </c>
      <c r="D44" s="139">
        <f>VLOOKUP(A44,'Data Vlaue (Cr)'!C39:CZ252,102,0)</f>
        <v>1.35E-2</v>
      </c>
      <c r="E44" s="91">
        <f>VLOOKUP($A44,'Data Vlaue (Cr)'!$C:$FB,75)</f>
        <v>705</v>
      </c>
      <c r="F44" s="91">
        <f>VLOOKUP($A44,'Data Vlaue (Cr)'!$C:$FB,77)</f>
        <v>2</v>
      </c>
      <c r="G44" s="92">
        <f>VLOOKUP(A44,'Data Vlaue (Cr)'!C39:CB252,78,0)</f>
        <v>3.0999999999999999E-3</v>
      </c>
      <c r="H44" s="91">
        <f>VLOOKUP($A44,'Data Vlaue (Cr)'!$C:$FB,91)</f>
        <v>461</v>
      </c>
      <c r="I44" s="91">
        <f>VLOOKUP($A44,'Data Vlaue (Cr)'!$C:$FB,93)</f>
        <v>15</v>
      </c>
      <c r="J44" s="92">
        <f>VLOOKUP($A44,'Data Vlaue (Cr)'!$C:$FB,94)</f>
        <v>3.4099999999999998E-2</v>
      </c>
      <c r="K44" s="91">
        <f>VLOOKUP($A44,'Data Vlaue (Cr)'!$C:$FB,95)</f>
        <v>293</v>
      </c>
      <c r="L44" s="91">
        <f>VLOOKUP($A44,'Data Vlaue (Cr)'!$C:$FB,97)</f>
        <v>2</v>
      </c>
      <c r="M44" s="92">
        <f>VLOOKUP($A44,'Data Vlaue (Cr)'!$C:$FB,98)</f>
        <v>7.1999999999999998E-3</v>
      </c>
      <c r="N44" s="91">
        <f>VLOOKUP($A44,'Data Vlaue (Cr)'!$C:$FB,79)</f>
        <v>587</v>
      </c>
      <c r="O44" s="92">
        <f>VLOOKUP($A44,'Data Vlaue (Cr)'!$C:$FB,82)</f>
        <v>-2.7400000000000001E-2</v>
      </c>
    </row>
    <row r="45" spans="1:15" x14ac:dyDescent="0.25">
      <c r="A45" s="97" t="str">
        <f>'Data Vlaue (Cr)'!C40</f>
        <v>CANBK</v>
      </c>
      <c r="B45" s="142">
        <f>VLOOKUP(A45,'Data Vlaue (Cr)'!C40:CW253,99,0)</f>
        <v>5199</v>
      </c>
      <c r="C45" s="90">
        <f>VLOOKUP(A45,'Data Vlaue (Cr)'!C40:CY253,101,0)</f>
        <v>7</v>
      </c>
      <c r="D45" s="139">
        <f>VLOOKUP(A45,'Data Vlaue (Cr)'!C40:CZ253,102,0)</f>
        <v>1.4E-3</v>
      </c>
      <c r="E45" s="91">
        <f>VLOOKUP($A45,'Data Vlaue (Cr)'!$C:$FB,75)</f>
        <v>2186</v>
      </c>
      <c r="F45" s="91">
        <f>VLOOKUP($A45,'Data Vlaue (Cr)'!$C:$FB,77)</f>
        <v>11</v>
      </c>
      <c r="G45" s="92">
        <f>VLOOKUP(A45,'Data Vlaue (Cr)'!C40:CB253,78,0)</f>
        <v>5.1000000000000004E-3</v>
      </c>
      <c r="H45" s="91">
        <f>VLOOKUP($A45,'Data Vlaue (Cr)'!$C:$FB,91)</f>
        <v>1663</v>
      </c>
      <c r="I45" s="91">
        <f>VLOOKUP($A45,'Data Vlaue (Cr)'!$C:$FB,93)</f>
        <v>6</v>
      </c>
      <c r="J45" s="92">
        <f>VLOOKUP($A45,'Data Vlaue (Cr)'!$C:$FB,94)</f>
        <v>3.5000000000000001E-3</v>
      </c>
      <c r="K45" s="91">
        <f>VLOOKUP($A45,'Data Vlaue (Cr)'!$C:$FB,95)</f>
        <v>1350</v>
      </c>
      <c r="L45" s="91">
        <f>VLOOKUP($A45,'Data Vlaue (Cr)'!$C:$FB,97)</f>
        <v>-9</v>
      </c>
      <c r="M45" s="92">
        <f>VLOOKUP($A45,'Data Vlaue (Cr)'!$C:$FB,98)</f>
        <v>-7.0000000000000001E-3</v>
      </c>
      <c r="N45" s="91">
        <f>VLOOKUP($A45,'Data Vlaue (Cr)'!$C:$FB,79)</f>
        <v>1816</v>
      </c>
      <c r="O45" s="92">
        <f>VLOOKUP($A45,'Data Vlaue (Cr)'!$C:$FB,82)</f>
        <v>-8.9999999999999993E-3</v>
      </c>
    </row>
    <row r="46" spans="1:15" x14ac:dyDescent="0.25">
      <c r="A46" s="97" t="str">
        <f>'Data Vlaue (Cr)'!C41</f>
        <v>CDSL</v>
      </c>
      <c r="B46" s="142">
        <f>VLOOKUP(A46,'Data Vlaue (Cr)'!C41:CW254,99,0)</f>
        <v>3973</v>
      </c>
      <c r="C46" s="90">
        <f>VLOOKUP(A46,'Data Vlaue (Cr)'!C41:CY254,101,0)</f>
        <v>-35</v>
      </c>
      <c r="D46" s="139">
        <f>VLOOKUP(A46,'Data Vlaue (Cr)'!C41:CZ254,102,0)</f>
        <v>-8.8000000000000005E-3</v>
      </c>
      <c r="E46" s="91">
        <f>VLOOKUP($A46,'Data Vlaue (Cr)'!$C:$FB,75)</f>
        <v>1508</v>
      </c>
      <c r="F46" s="91">
        <f>VLOOKUP($A46,'Data Vlaue (Cr)'!$C:$FB,77)</f>
        <v>6</v>
      </c>
      <c r="G46" s="92">
        <f>VLOOKUP(A46,'Data Vlaue (Cr)'!C41:CB254,78,0)</f>
        <v>3.8999999999999998E-3</v>
      </c>
      <c r="H46" s="91">
        <f>VLOOKUP($A46,'Data Vlaue (Cr)'!$C:$FB,91)</f>
        <v>1701</v>
      </c>
      <c r="I46" s="91">
        <f>VLOOKUP($A46,'Data Vlaue (Cr)'!$C:$FB,93)</f>
        <v>-45</v>
      </c>
      <c r="J46" s="92">
        <f>VLOOKUP($A46,'Data Vlaue (Cr)'!$C:$FB,94)</f>
        <v>-2.5600000000000001E-2</v>
      </c>
      <c r="K46" s="91">
        <f>VLOOKUP($A46,'Data Vlaue (Cr)'!$C:$FB,95)</f>
        <v>764</v>
      </c>
      <c r="L46" s="91">
        <f>VLOOKUP($A46,'Data Vlaue (Cr)'!$C:$FB,97)</f>
        <v>4</v>
      </c>
      <c r="M46" s="92">
        <f>VLOOKUP($A46,'Data Vlaue (Cr)'!$C:$FB,98)</f>
        <v>4.7000000000000002E-3</v>
      </c>
      <c r="N46" s="91">
        <f>VLOOKUP($A46,'Data Vlaue (Cr)'!$C:$FB,79)</f>
        <v>1298</v>
      </c>
      <c r="O46" s="92">
        <f>VLOOKUP($A46,'Data Vlaue (Cr)'!$C:$FB,82)</f>
        <v>-9.4000000000000004E-3</v>
      </c>
    </row>
    <row r="47" spans="1:15" x14ac:dyDescent="0.25">
      <c r="A47" s="97" t="str">
        <f>'Data Vlaue (Cr)'!C42</f>
        <v>CGPOWER</v>
      </c>
      <c r="B47" s="142">
        <f>VLOOKUP(A47,'Data Vlaue (Cr)'!C42:CW255,99,0)</f>
        <v>1854</v>
      </c>
      <c r="C47" s="90">
        <f>VLOOKUP(A47,'Data Vlaue (Cr)'!C42:CY255,101,0)</f>
        <v>-48</v>
      </c>
      <c r="D47" s="139">
        <f>VLOOKUP(A47,'Data Vlaue (Cr)'!C42:CZ255,102,0)</f>
        <v>-2.5100000000000001E-2</v>
      </c>
      <c r="E47" s="91">
        <f>VLOOKUP($A47,'Data Vlaue (Cr)'!$C:$FB,75)</f>
        <v>951</v>
      </c>
      <c r="F47" s="91">
        <f>VLOOKUP($A47,'Data Vlaue (Cr)'!$C:$FB,77)</f>
        <v>-28</v>
      </c>
      <c r="G47" s="92">
        <f>VLOOKUP(A47,'Data Vlaue (Cr)'!C42:CB255,78,0)</f>
        <v>-2.8500000000000001E-2</v>
      </c>
      <c r="H47" s="91">
        <f>VLOOKUP($A47,'Data Vlaue (Cr)'!$C:$FB,91)</f>
        <v>626</v>
      </c>
      <c r="I47" s="91">
        <f>VLOOKUP($A47,'Data Vlaue (Cr)'!$C:$FB,93)</f>
        <v>-12</v>
      </c>
      <c r="J47" s="92">
        <f>VLOOKUP($A47,'Data Vlaue (Cr)'!$C:$FB,94)</f>
        <v>-1.9199999999999998E-2</v>
      </c>
      <c r="K47" s="91">
        <f>VLOOKUP($A47,'Data Vlaue (Cr)'!$C:$FB,95)</f>
        <v>276</v>
      </c>
      <c r="L47" s="91">
        <f>VLOOKUP($A47,'Data Vlaue (Cr)'!$C:$FB,97)</f>
        <v>-7</v>
      </c>
      <c r="M47" s="92">
        <f>VLOOKUP($A47,'Data Vlaue (Cr)'!$C:$FB,98)</f>
        <v>-2.64E-2</v>
      </c>
      <c r="N47" s="91">
        <f>VLOOKUP($A47,'Data Vlaue (Cr)'!$C:$FB,79)</f>
        <v>865</v>
      </c>
      <c r="O47" s="92">
        <f>VLOOKUP($A47,'Data Vlaue (Cr)'!$C:$FB,82)</f>
        <v>-4.1399999999999999E-2</v>
      </c>
    </row>
    <row r="48" spans="1:15" x14ac:dyDescent="0.25">
      <c r="A48" s="97" t="str">
        <f>'Data Vlaue (Cr)'!C43</f>
        <v>CHOLAFIN</v>
      </c>
      <c r="B48" s="142">
        <f>VLOOKUP(A48,'Data Vlaue (Cr)'!C43:CW256,99,0)</f>
        <v>4370</v>
      </c>
      <c r="C48" s="90">
        <f>VLOOKUP(A48,'Data Vlaue (Cr)'!C43:CY256,101,0)</f>
        <v>235</v>
      </c>
      <c r="D48" s="139">
        <f>VLOOKUP(A48,'Data Vlaue (Cr)'!C43:CZ256,102,0)</f>
        <v>5.6899999999999999E-2</v>
      </c>
      <c r="E48" s="91">
        <f>VLOOKUP($A48,'Data Vlaue (Cr)'!$C:$FB,75)</f>
        <v>2459</v>
      </c>
      <c r="F48" s="91">
        <f>VLOOKUP($A48,'Data Vlaue (Cr)'!$C:$FB,77)</f>
        <v>36</v>
      </c>
      <c r="G48" s="92">
        <f>VLOOKUP(A48,'Data Vlaue (Cr)'!C43:CB256,78,0)</f>
        <v>1.47E-2</v>
      </c>
      <c r="H48" s="91">
        <f>VLOOKUP($A48,'Data Vlaue (Cr)'!$C:$FB,91)</f>
        <v>1010</v>
      </c>
      <c r="I48" s="91">
        <f>VLOOKUP($A48,'Data Vlaue (Cr)'!$C:$FB,93)</f>
        <v>25</v>
      </c>
      <c r="J48" s="92">
        <f>VLOOKUP($A48,'Data Vlaue (Cr)'!$C:$FB,94)</f>
        <v>2.4899999999999999E-2</v>
      </c>
      <c r="K48" s="91">
        <f>VLOOKUP($A48,'Data Vlaue (Cr)'!$C:$FB,95)</f>
        <v>901</v>
      </c>
      <c r="L48" s="91">
        <f>VLOOKUP($A48,'Data Vlaue (Cr)'!$C:$FB,97)</f>
        <v>175</v>
      </c>
      <c r="M48" s="92">
        <f>VLOOKUP($A48,'Data Vlaue (Cr)'!$C:$FB,98)</f>
        <v>0.2407</v>
      </c>
      <c r="N48" s="91">
        <f>VLOOKUP($A48,'Data Vlaue (Cr)'!$C:$FB,79)</f>
        <v>2304</v>
      </c>
      <c r="O48" s="92">
        <f>VLOOKUP($A48,'Data Vlaue (Cr)'!$C:$FB,82)</f>
        <v>9.4000000000000004E-3</v>
      </c>
    </row>
    <row r="49" spans="1:15" x14ac:dyDescent="0.25">
      <c r="A49" s="97" t="str">
        <f>'Data Vlaue (Cr)'!C44</f>
        <v>CIPLA</v>
      </c>
      <c r="B49" s="142">
        <f>VLOOKUP(A49,'Data Vlaue (Cr)'!C44:CW257,99,0)</f>
        <v>3577</v>
      </c>
      <c r="C49" s="90">
        <f>VLOOKUP(A49,'Data Vlaue (Cr)'!C44:CY257,101,0)</f>
        <v>-12</v>
      </c>
      <c r="D49" s="139">
        <f>VLOOKUP(A49,'Data Vlaue (Cr)'!C44:CZ257,102,0)</f>
        <v>-3.5000000000000001E-3</v>
      </c>
      <c r="E49" s="91">
        <f>VLOOKUP($A49,'Data Vlaue (Cr)'!$C:$FB,75)</f>
        <v>2078</v>
      </c>
      <c r="F49" s="91">
        <f>VLOOKUP($A49,'Data Vlaue (Cr)'!$C:$FB,77)</f>
        <v>9</v>
      </c>
      <c r="G49" s="92">
        <f>VLOOKUP(A49,'Data Vlaue (Cr)'!C44:CB257,78,0)</f>
        <v>4.4999999999999997E-3</v>
      </c>
      <c r="H49" s="91">
        <f>VLOOKUP($A49,'Data Vlaue (Cr)'!$C:$FB,91)</f>
        <v>900</v>
      </c>
      <c r="I49" s="91">
        <f>VLOOKUP($A49,'Data Vlaue (Cr)'!$C:$FB,93)</f>
        <v>-23</v>
      </c>
      <c r="J49" s="92">
        <f>VLOOKUP($A49,'Data Vlaue (Cr)'!$C:$FB,94)</f>
        <v>-2.47E-2</v>
      </c>
      <c r="K49" s="91">
        <f>VLOOKUP($A49,'Data Vlaue (Cr)'!$C:$FB,95)</f>
        <v>598</v>
      </c>
      <c r="L49" s="91">
        <f>VLOOKUP($A49,'Data Vlaue (Cr)'!$C:$FB,97)</f>
        <v>1</v>
      </c>
      <c r="M49" s="92">
        <f>VLOOKUP($A49,'Data Vlaue (Cr)'!$C:$FB,98)</f>
        <v>1.9E-3</v>
      </c>
      <c r="N49" s="91">
        <f>VLOOKUP($A49,'Data Vlaue (Cr)'!$C:$FB,79)</f>
        <v>1831</v>
      </c>
      <c r="O49" s="92">
        <f>VLOOKUP($A49,'Data Vlaue (Cr)'!$C:$FB,82)</f>
        <v>-1.6500000000000001E-2</v>
      </c>
    </row>
    <row r="50" spans="1:15" x14ac:dyDescent="0.25">
      <c r="A50" s="97" t="str">
        <f>'Data Vlaue (Cr)'!C45</f>
        <v>COALINDIA</v>
      </c>
      <c r="B50" s="142">
        <f>VLOOKUP(A50,'Data Vlaue (Cr)'!C45:CW258,99,0)</f>
        <v>3603</v>
      </c>
      <c r="C50" s="90">
        <f>VLOOKUP(A50,'Data Vlaue (Cr)'!C45:CY258,101,0)</f>
        <v>-41</v>
      </c>
      <c r="D50" s="139">
        <f>VLOOKUP(A50,'Data Vlaue (Cr)'!C45:CZ258,102,0)</f>
        <v>-1.14E-2</v>
      </c>
      <c r="E50" s="91">
        <f>VLOOKUP($A50,'Data Vlaue (Cr)'!$C:$FB,75)</f>
        <v>2114</v>
      </c>
      <c r="F50" s="91">
        <f>VLOOKUP($A50,'Data Vlaue (Cr)'!$C:$FB,77)</f>
        <v>-44</v>
      </c>
      <c r="G50" s="92">
        <f>VLOOKUP(A50,'Data Vlaue (Cr)'!C45:CB258,78,0)</f>
        <v>-2.0400000000000001E-2</v>
      </c>
      <c r="H50" s="91">
        <f>VLOOKUP($A50,'Data Vlaue (Cr)'!$C:$FB,91)</f>
        <v>756</v>
      </c>
      <c r="I50" s="91">
        <f>VLOOKUP($A50,'Data Vlaue (Cr)'!$C:$FB,93)</f>
        <v>-5</v>
      </c>
      <c r="J50" s="92">
        <f>VLOOKUP($A50,'Data Vlaue (Cr)'!$C:$FB,94)</f>
        <v>-7.1000000000000004E-3</v>
      </c>
      <c r="K50" s="91">
        <f>VLOOKUP($A50,'Data Vlaue (Cr)'!$C:$FB,95)</f>
        <v>733</v>
      </c>
      <c r="L50" s="91">
        <f>VLOOKUP($A50,'Data Vlaue (Cr)'!$C:$FB,97)</f>
        <v>8</v>
      </c>
      <c r="M50" s="92">
        <f>VLOOKUP($A50,'Data Vlaue (Cr)'!$C:$FB,98)</f>
        <v>1.0999999999999999E-2</v>
      </c>
      <c r="N50" s="91">
        <f>VLOOKUP($A50,'Data Vlaue (Cr)'!$C:$FB,79)</f>
        <v>1810</v>
      </c>
      <c r="O50" s="92">
        <f>VLOOKUP($A50,'Data Vlaue (Cr)'!$C:$FB,82)</f>
        <v>-3.9E-2</v>
      </c>
    </row>
    <row r="51" spans="1:15" x14ac:dyDescent="0.25">
      <c r="A51" s="97" t="str">
        <f>'Data Vlaue (Cr)'!C46</f>
        <v>COFORGE</v>
      </c>
      <c r="B51" s="142">
        <f>VLOOKUP(A51,'Data Vlaue (Cr)'!C46:CW259,99,0)</f>
        <v>4445</v>
      </c>
      <c r="C51" s="90">
        <f>VLOOKUP(A51,'Data Vlaue (Cr)'!C46:CY259,101,0)</f>
        <v>24</v>
      </c>
      <c r="D51" s="139">
        <f>VLOOKUP(A51,'Data Vlaue (Cr)'!C46:CZ259,102,0)</f>
        <v>5.4999999999999997E-3</v>
      </c>
      <c r="E51" s="91">
        <f>VLOOKUP($A51,'Data Vlaue (Cr)'!$C:$FB,75)</f>
        <v>2346</v>
      </c>
      <c r="F51" s="91">
        <f>VLOOKUP($A51,'Data Vlaue (Cr)'!$C:$FB,77)</f>
        <v>27</v>
      </c>
      <c r="G51" s="92">
        <f>VLOOKUP(A51,'Data Vlaue (Cr)'!C46:CB259,78,0)</f>
        <v>1.15E-2</v>
      </c>
      <c r="H51" s="91">
        <f>VLOOKUP($A51,'Data Vlaue (Cr)'!$C:$FB,91)</f>
        <v>1437</v>
      </c>
      <c r="I51" s="91">
        <f>VLOOKUP($A51,'Data Vlaue (Cr)'!$C:$FB,93)</f>
        <v>-4</v>
      </c>
      <c r="J51" s="92">
        <f>VLOOKUP($A51,'Data Vlaue (Cr)'!$C:$FB,94)</f>
        <v>-2.7000000000000001E-3</v>
      </c>
      <c r="K51" s="91">
        <f>VLOOKUP($A51,'Data Vlaue (Cr)'!$C:$FB,95)</f>
        <v>661</v>
      </c>
      <c r="L51" s="91">
        <f>VLOOKUP($A51,'Data Vlaue (Cr)'!$C:$FB,97)</f>
        <v>1</v>
      </c>
      <c r="M51" s="92">
        <f>VLOOKUP($A51,'Data Vlaue (Cr)'!$C:$FB,98)</f>
        <v>1.9E-3</v>
      </c>
      <c r="N51" s="91">
        <f>VLOOKUP($A51,'Data Vlaue (Cr)'!$C:$FB,79)</f>
        <v>2208</v>
      </c>
      <c r="O51" s="92">
        <f>VLOOKUP($A51,'Data Vlaue (Cr)'!$C:$FB,82)</f>
        <v>8.5000000000000006E-3</v>
      </c>
    </row>
    <row r="52" spans="1:15" x14ac:dyDescent="0.25">
      <c r="A52" s="97" t="str">
        <f>'Data Vlaue (Cr)'!C47</f>
        <v>COLPAL</v>
      </c>
      <c r="B52" s="142">
        <f>VLOOKUP(A52,'Data Vlaue (Cr)'!C47:CW260,99,0)</f>
        <v>2580</v>
      </c>
      <c r="C52" s="90">
        <f>VLOOKUP(A52,'Data Vlaue (Cr)'!C47:CY260,101,0)</f>
        <v>17</v>
      </c>
      <c r="D52" s="139">
        <f>VLOOKUP(A52,'Data Vlaue (Cr)'!C47:CZ260,102,0)</f>
        <v>6.7999999999999996E-3</v>
      </c>
      <c r="E52" s="91">
        <f>VLOOKUP($A52,'Data Vlaue (Cr)'!$C:$FB,75)</f>
        <v>1549</v>
      </c>
      <c r="F52" s="91">
        <f>VLOOKUP($A52,'Data Vlaue (Cr)'!$C:$FB,77)</f>
        <v>42</v>
      </c>
      <c r="G52" s="92">
        <f>VLOOKUP(A52,'Data Vlaue (Cr)'!C47:CB260,78,0)</f>
        <v>2.7900000000000001E-2</v>
      </c>
      <c r="H52" s="91">
        <f>VLOOKUP($A52,'Data Vlaue (Cr)'!$C:$FB,91)</f>
        <v>628</v>
      </c>
      <c r="I52" s="91">
        <f>VLOOKUP($A52,'Data Vlaue (Cr)'!$C:$FB,93)</f>
        <v>-21</v>
      </c>
      <c r="J52" s="92">
        <f>VLOOKUP($A52,'Data Vlaue (Cr)'!$C:$FB,94)</f>
        <v>-3.2500000000000001E-2</v>
      </c>
      <c r="K52" s="91">
        <f>VLOOKUP($A52,'Data Vlaue (Cr)'!$C:$FB,95)</f>
        <v>403</v>
      </c>
      <c r="L52" s="91">
        <f>VLOOKUP($A52,'Data Vlaue (Cr)'!$C:$FB,97)</f>
        <v>-3</v>
      </c>
      <c r="M52" s="92">
        <f>VLOOKUP($A52,'Data Vlaue (Cr)'!$C:$FB,98)</f>
        <v>-8.6E-3</v>
      </c>
      <c r="N52" s="91">
        <f>VLOOKUP($A52,'Data Vlaue (Cr)'!$C:$FB,79)</f>
        <v>1326</v>
      </c>
      <c r="O52" s="92">
        <f>VLOOKUP($A52,'Data Vlaue (Cr)'!$C:$FB,82)</f>
        <v>-2.8999999999999998E-3</v>
      </c>
    </row>
    <row r="53" spans="1:15" x14ac:dyDescent="0.25">
      <c r="A53" s="97" t="str">
        <f>'Data Vlaue (Cr)'!C48</f>
        <v>CONCOR</v>
      </c>
      <c r="B53" s="142">
        <f>VLOOKUP(A53,'Data Vlaue (Cr)'!C48:CW261,99,0)</f>
        <v>3188</v>
      </c>
      <c r="C53" s="90">
        <f>VLOOKUP(A53,'Data Vlaue (Cr)'!C48:CY261,101,0)</f>
        <v>-26</v>
      </c>
      <c r="D53" s="139">
        <f>VLOOKUP(A53,'Data Vlaue (Cr)'!C48:CZ261,102,0)</f>
        <v>-8.0000000000000002E-3</v>
      </c>
      <c r="E53" s="91">
        <f>VLOOKUP($A53,'Data Vlaue (Cr)'!$C:$FB,75)</f>
        <v>1994</v>
      </c>
      <c r="F53" s="91">
        <f>VLOOKUP($A53,'Data Vlaue (Cr)'!$C:$FB,77)</f>
        <v>-18</v>
      </c>
      <c r="G53" s="92">
        <f>VLOOKUP(A53,'Data Vlaue (Cr)'!C48:CB261,78,0)</f>
        <v>-9.1000000000000004E-3</v>
      </c>
      <c r="H53" s="91">
        <f>VLOOKUP($A53,'Data Vlaue (Cr)'!$C:$FB,91)</f>
        <v>687</v>
      </c>
      <c r="I53" s="91">
        <f>VLOOKUP($A53,'Data Vlaue (Cr)'!$C:$FB,93)</f>
        <v>-8</v>
      </c>
      <c r="J53" s="92">
        <f>VLOOKUP($A53,'Data Vlaue (Cr)'!$C:$FB,94)</f>
        <v>-1.17E-2</v>
      </c>
      <c r="K53" s="91">
        <f>VLOOKUP($A53,'Data Vlaue (Cr)'!$C:$FB,95)</f>
        <v>507</v>
      </c>
      <c r="L53" s="91">
        <f>VLOOKUP($A53,'Data Vlaue (Cr)'!$C:$FB,97)</f>
        <v>1</v>
      </c>
      <c r="M53" s="92">
        <f>VLOOKUP($A53,'Data Vlaue (Cr)'!$C:$FB,98)</f>
        <v>1.5E-3</v>
      </c>
      <c r="N53" s="91">
        <f>VLOOKUP($A53,'Data Vlaue (Cr)'!$C:$FB,79)</f>
        <v>1804</v>
      </c>
      <c r="O53" s="92">
        <f>VLOOKUP($A53,'Data Vlaue (Cr)'!$C:$FB,82)</f>
        <v>-1.7500000000000002E-2</v>
      </c>
    </row>
    <row r="54" spans="1:15" x14ac:dyDescent="0.25">
      <c r="A54" s="97" t="str">
        <f>'Data Vlaue (Cr)'!C49</f>
        <v>CROMPTON</v>
      </c>
      <c r="B54" s="142">
        <f>VLOOKUP(A54,'Data Vlaue (Cr)'!C49:CW262,99,0)</f>
        <v>2554</v>
      </c>
      <c r="C54" s="90">
        <f>VLOOKUP(A54,'Data Vlaue (Cr)'!C49:CY262,101,0)</f>
        <v>160</v>
      </c>
      <c r="D54" s="139">
        <f>VLOOKUP(A54,'Data Vlaue (Cr)'!C49:CZ262,102,0)</f>
        <v>6.6799999999999998E-2</v>
      </c>
      <c r="E54" s="91">
        <f>VLOOKUP($A54,'Data Vlaue (Cr)'!$C:$FB,75)</f>
        <v>1480</v>
      </c>
      <c r="F54" s="91">
        <f>VLOOKUP($A54,'Data Vlaue (Cr)'!$C:$FB,77)</f>
        <v>20</v>
      </c>
      <c r="G54" s="92">
        <f>VLOOKUP(A54,'Data Vlaue (Cr)'!C49:CB262,78,0)</f>
        <v>1.35E-2</v>
      </c>
      <c r="H54" s="91">
        <f>VLOOKUP($A54,'Data Vlaue (Cr)'!$C:$FB,91)</f>
        <v>726</v>
      </c>
      <c r="I54" s="91">
        <f>VLOOKUP($A54,'Data Vlaue (Cr)'!$C:$FB,93)</f>
        <v>99</v>
      </c>
      <c r="J54" s="92">
        <f>VLOOKUP($A54,'Data Vlaue (Cr)'!$C:$FB,94)</f>
        <v>0.157</v>
      </c>
      <c r="K54" s="91">
        <f>VLOOKUP($A54,'Data Vlaue (Cr)'!$C:$FB,95)</f>
        <v>348</v>
      </c>
      <c r="L54" s="91">
        <f>VLOOKUP($A54,'Data Vlaue (Cr)'!$C:$FB,97)</f>
        <v>42</v>
      </c>
      <c r="M54" s="92">
        <f>VLOOKUP($A54,'Data Vlaue (Cr)'!$C:$FB,98)</f>
        <v>0.1366</v>
      </c>
      <c r="N54" s="91">
        <f>VLOOKUP($A54,'Data Vlaue (Cr)'!$C:$FB,79)</f>
        <v>1335</v>
      </c>
      <c r="O54" s="92">
        <f>VLOOKUP($A54,'Data Vlaue (Cr)'!$C:$FB,82)</f>
        <v>-1.0699999999999999E-2</v>
      </c>
    </row>
    <row r="55" spans="1:15" x14ac:dyDescent="0.25">
      <c r="A55" s="97" t="str">
        <f>'Data Vlaue (Cr)'!C50</f>
        <v>CUMMINSIND</v>
      </c>
      <c r="B55" s="142">
        <f>VLOOKUP(A55,'Data Vlaue (Cr)'!C50:CW263,99,0)</f>
        <v>2231</v>
      </c>
      <c r="C55" s="90">
        <f>VLOOKUP(A55,'Data Vlaue (Cr)'!C50:CY263,101,0)</f>
        <v>135</v>
      </c>
      <c r="D55" s="139">
        <f>VLOOKUP(A55,'Data Vlaue (Cr)'!C50:CZ263,102,0)</f>
        <v>6.4199999999999993E-2</v>
      </c>
      <c r="E55" s="91">
        <f>VLOOKUP($A55,'Data Vlaue (Cr)'!$C:$FB,75)</f>
        <v>1300</v>
      </c>
      <c r="F55" s="91">
        <f>VLOOKUP($A55,'Data Vlaue (Cr)'!$C:$FB,77)</f>
        <v>25</v>
      </c>
      <c r="G55" s="92">
        <f>VLOOKUP(A55,'Data Vlaue (Cr)'!C50:CB263,78,0)</f>
        <v>1.9400000000000001E-2</v>
      </c>
      <c r="H55" s="91">
        <f>VLOOKUP($A55,'Data Vlaue (Cr)'!$C:$FB,91)</f>
        <v>574</v>
      </c>
      <c r="I55" s="91">
        <f>VLOOKUP($A55,'Data Vlaue (Cr)'!$C:$FB,93)</f>
        <v>104</v>
      </c>
      <c r="J55" s="92">
        <f>VLOOKUP($A55,'Data Vlaue (Cr)'!$C:$FB,94)</f>
        <v>0.22009999999999999</v>
      </c>
      <c r="K55" s="91">
        <f>VLOOKUP($A55,'Data Vlaue (Cr)'!$C:$FB,95)</f>
        <v>357</v>
      </c>
      <c r="L55" s="91">
        <f>VLOOKUP($A55,'Data Vlaue (Cr)'!$C:$FB,97)</f>
        <v>6</v>
      </c>
      <c r="M55" s="92">
        <f>VLOOKUP($A55,'Data Vlaue (Cr)'!$C:$FB,98)</f>
        <v>1.78E-2</v>
      </c>
      <c r="N55" s="91">
        <f>VLOOKUP($A55,'Data Vlaue (Cr)'!$C:$FB,79)</f>
        <v>1238</v>
      </c>
      <c r="O55" s="92">
        <f>VLOOKUP($A55,'Data Vlaue (Cr)'!$C:$FB,82)</f>
        <v>-5.0000000000000001E-4</v>
      </c>
    </row>
    <row r="56" spans="1:15" x14ac:dyDescent="0.25">
      <c r="A56" s="97" t="str">
        <f>'Data Vlaue (Cr)'!C51</f>
        <v>CYIENT</v>
      </c>
      <c r="B56" s="142">
        <f>VLOOKUP(A56,'Data Vlaue (Cr)'!C51:CW264,99,0)</f>
        <v>650</v>
      </c>
      <c r="C56" s="90">
        <f>VLOOKUP(A56,'Data Vlaue (Cr)'!C51:CY264,101,0)</f>
        <v>7</v>
      </c>
      <c r="D56" s="139">
        <f>VLOOKUP(A56,'Data Vlaue (Cr)'!C51:CZ264,102,0)</f>
        <v>1.0999999999999999E-2</v>
      </c>
      <c r="E56" s="91">
        <f>VLOOKUP($A56,'Data Vlaue (Cr)'!$C:$FB,75)</f>
        <v>357</v>
      </c>
      <c r="F56" s="91">
        <f>VLOOKUP($A56,'Data Vlaue (Cr)'!$C:$FB,77)</f>
        <v>-2</v>
      </c>
      <c r="G56" s="92">
        <f>VLOOKUP(A56,'Data Vlaue (Cr)'!C51:CB264,78,0)</f>
        <v>-6.4000000000000003E-3</v>
      </c>
      <c r="H56" s="91">
        <f>VLOOKUP($A56,'Data Vlaue (Cr)'!$C:$FB,91)</f>
        <v>179</v>
      </c>
      <c r="I56" s="91">
        <f>VLOOKUP($A56,'Data Vlaue (Cr)'!$C:$FB,93)</f>
        <v>10</v>
      </c>
      <c r="J56" s="92">
        <f>VLOOKUP($A56,'Data Vlaue (Cr)'!$C:$FB,94)</f>
        <v>5.9299999999999999E-2</v>
      </c>
      <c r="K56" s="91">
        <f>VLOOKUP($A56,'Data Vlaue (Cr)'!$C:$FB,95)</f>
        <v>115</v>
      </c>
      <c r="L56" s="91">
        <f>VLOOKUP($A56,'Data Vlaue (Cr)'!$C:$FB,97)</f>
        <v>-1</v>
      </c>
      <c r="M56" s="92">
        <f>VLOOKUP($A56,'Data Vlaue (Cr)'!$C:$FB,98)</f>
        <v>-5.4999999999999997E-3</v>
      </c>
      <c r="N56" s="91">
        <f>VLOOKUP($A56,'Data Vlaue (Cr)'!$C:$FB,79)</f>
        <v>357</v>
      </c>
      <c r="O56" s="92">
        <f>VLOOKUP($A56,'Data Vlaue (Cr)'!$C:$FB,82)</f>
        <v>-6.4000000000000003E-3</v>
      </c>
    </row>
    <row r="57" spans="1:15" x14ac:dyDescent="0.25">
      <c r="A57" s="97" t="str">
        <f>'Data Vlaue (Cr)'!C52</f>
        <v>DABUR</v>
      </c>
      <c r="B57" s="142">
        <f>VLOOKUP(A57,'Data Vlaue (Cr)'!C52:CW265,99,0)</f>
        <v>2173</v>
      </c>
      <c r="C57" s="90">
        <f>VLOOKUP(A57,'Data Vlaue (Cr)'!C52:CY265,101,0)</f>
        <v>43</v>
      </c>
      <c r="D57" s="139">
        <f>VLOOKUP(A57,'Data Vlaue (Cr)'!C52:CZ265,102,0)</f>
        <v>2.0199999999999999E-2</v>
      </c>
      <c r="E57" s="91">
        <f>VLOOKUP($A57,'Data Vlaue (Cr)'!$C:$FB,75)</f>
        <v>979</v>
      </c>
      <c r="F57" s="91">
        <f>VLOOKUP($A57,'Data Vlaue (Cr)'!$C:$FB,77)</f>
        <v>26</v>
      </c>
      <c r="G57" s="92">
        <f>VLOOKUP(A57,'Data Vlaue (Cr)'!C52:CB265,78,0)</f>
        <v>2.7699999999999999E-2</v>
      </c>
      <c r="H57" s="91">
        <f>VLOOKUP($A57,'Data Vlaue (Cr)'!$C:$FB,91)</f>
        <v>764</v>
      </c>
      <c r="I57" s="91">
        <f>VLOOKUP($A57,'Data Vlaue (Cr)'!$C:$FB,93)</f>
        <v>0</v>
      </c>
      <c r="J57" s="92">
        <f>VLOOKUP($A57,'Data Vlaue (Cr)'!$C:$FB,94)</f>
        <v>-1E-4</v>
      </c>
      <c r="K57" s="91">
        <f>VLOOKUP($A57,'Data Vlaue (Cr)'!$C:$FB,95)</f>
        <v>430</v>
      </c>
      <c r="L57" s="91">
        <f>VLOOKUP($A57,'Data Vlaue (Cr)'!$C:$FB,97)</f>
        <v>17</v>
      </c>
      <c r="M57" s="92">
        <f>VLOOKUP($A57,'Data Vlaue (Cr)'!$C:$FB,98)</f>
        <v>4.0300000000000002E-2</v>
      </c>
      <c r="N57" s="91">
        <f>VLOOKUP($A57,'Data Vlaue (Cr)'!$C:$FB,79)</f>
        <v>899</v>
      </c>
      <c r="O57" s="92">
        <f>VLOOKUP($A57,'Data Vlaue (Cr)'!$C:$FB,82)</f>
        <v>7.1999999999999998E-3</v>
      </c>
    </row>
    <row r="58" spans="1:15" x14ac:dyDescent="0.25">
      <c r="A58" s="97" t="str">
        <f>'Data Vlaue (Cr)'!C53</f>
        <v>DALBHARAT</v>
      </c>
      <c r="B58" s="142">
        <f>VLOOKUP(A58,'Data Vlaue (Cr)'!C53:CW266,99,0)</f>
        <v>999</v>
      </c>
      <c r="C58" s="90">
        <f>VLOOKUP(A58,'Data Vlaue (Cr)'!C53:CY266,101,0)</f>
        <v>31</v>
      </c>
      <c r="D58" s="139">
        <f>VLOOKUP(A58,'Data Vlaue (Cr)'!C53:CZ266,102,0)</f>
        <v>3.2300000000000002E-2</v>
      </c>
      <c r="E58" s="91">
        <f>VLOOKUP($A58,'Data Vlaue (Cr)'!$C:$FB,75)</f>
        <v>501</v>
      </c>
      <c r="F58" s="91">
        <f>VLOOKUP($A58,'Data Vlaue (Cr)'!$C:$FB,77)</f>
        <v>6</v>
      </c>
      <c r="G58" s="92">
        <f>VLOOKUP(A58,'Data Vlaue (Cr)'!C53:CB266,78,0)</f>
        <v>1.21E-2</v>
      </c>
      <c r="H58" s="91">
        <f>VLOOKUP($A58,'Data Vlaue (Cr)'!$C:$FB,91)</f>
        <v>299</v>
      </c>
      <c r="I58" s="91">
        <f>VLOOKUP($A58,'Data Vlaue (Cr)'!$C:$FB,93)</f>
        <v>30</v>
      </c>
      <c r="J58" s="92">
        <f>VLOOKUP($A58,'Data Vlaue (Cr)'!$C:$FB,94)</f>
        <v>0.112</v>
      </c>
      <c r="K58" s="91">
        <f>VLOOKUP($A58,'Data Vlaue (Cr)'!$C:$FB,95)</f>
        <v>199</v>
      </c>
      <c r="L58" s="91">
        <f>VLOOKUP($A58,'Data Vlaue (Cr)'!$C:$FB,97)</f>
        <v>-5</v>
      </c>
      <c r="M58" s="92">
        <f>VLOOKUP($A58,'Data Vlaue (Cr)'!$C:$FB,98)</f>
        <v>-2.4E-2</v>
      </c>
      <c r="N58" s="91">
        <f>VLOOKUP($A58,'Data Vlaue (Cr)'!$C:$FB,79)</f>
        <v>437</v>
      </c>
      <c r="O58" s="92">
        <f>VLOOKUP($A58,'Data Vlaue (Cr)'!$C:$FB,82)</f>
        <v>-2.24E-2</v>
      </c>
    </row>
    <row r="59" spans="1:15" x14ac:dyDescent="0.25">
      <c r="A59" s="97" t="str">
        <f>'Data Vlaue (Cr)'!C54</f>
        <v>DELHIVERY</v>
      </c>
      <c r="B59" s="142">
        <f>VLOOKUP(A59,'Data Vlaue (Cr)'!C54:CW267,99,0)</f>
        <v>1554</v>
      </c>
      <c r="C59" s="90">
        <f>VLOOKUP(A59,'Data Vlaue (Cr)'!C54:CY267,101,0)</f>
        <v>-25</v>
      </c>
      <c r="D59" s="139">
        <f>VLOOKUP(A59,'Data Vlaue (Cr)'!C54:CZ267,102,0)</f>
        <v>-1.6E-2</v>
      </c>
      <c r="E59" s="91">
        <f>VLOOKUP($A59,'Data Vlaue (Cr)'!$C:$FB,75)</f>
        <v>647</v>
      </c>
      <c r="F59" s="91">
        <f>VLOOKUP($A59,'Data Vlaue (Cr)'!$C:$FB,77)</f>
        <v>-15</v>
      </c>
      <c r="G59" s="92">
        <f>VLOOKUP(A59,'Data Vlaue (Cr)'!C54:CB267,78,0)</f>
        <v>-2.2700000000000001E-2</v>
      </c>
      <c r="H59" s="91">
        <f>VLOOKUP($A59,'Data Vlaue (Cr)'!$C:$FB,91)</f>
        <v>543</v>
      </c>
      <c r="I59" s="91">
        <f>VLOOKUP($A59,'Data Vlaue (Cr)'!$C:$FB,93)</f>
        <v>-13</v>
      </c>
      <c r="J59" s="92">
        <f>VLOOKUP($A59,'Data Vlaue (Cr)'!$C:$FB,94)</f>
        <v>-2.2700000000000001E-2</v>
      </c>
      <c r="K59" s="91">
        <f>VLOOKUP($A59,'Data Vlaue (Cr)'!$C:$FB,95)</f>
        <v>363</v>
      </c>
      <c r="L59" s="91">
        <f>VLOOKUP($A59,'Data Vlaue (Cr)'!$C:$FB,97)</f>
        <v>2</v>
      </c>
      <c r="M59" s="92">
        <f>VLOOKUP($A59,'Data Vlaue (Cr)'!$C:$FB,98)</f>
        <v>6.7000000000000002E-3</v>
      </c>
      <c r="N59" s="91">
        <f>VLOOKUP($A59,'Data Vlaue (Cr)'!$C:$FB,79)</f>
        <v>603</v>
      </c>
      <c r="O59" s="92">
        <f>VLOOKUP($A59,'Data Vlaue (Cr)'!$C:$FB,82)</f>
        <v>-2.6800000000000001E-2</v>
      </c>
    </row>
    <row r="60" spans="1:15" x14ac:dyDescent="0.25">
      <c r="A60" s="97" t="str">
        <f>'Data Vlaue (Cr)'!C55</f>
        <v>DIVISLAB</v>
      </c>
      <c r="B60" s="142">
        <f>VLOOKUP(A60,'Data Vlaue (Cr)'!C55:CW268,99,0)</f>
        <v>3025</v>
      </c>
      <c r="C60" s="90">
        <f>VLOOKUP(A60,'Data Vlaue (Cr)'!C55:CY268,101,0)</f>
        <v>49</v>
      </c>
      <c r="D60" s="139">
        <f>VLOOKUP(A60,'Data Vlaue (Cr)'!C55:CZ268,102,0)</f>
        <v>1.6299999999999999E-2</v>
      </c>
      <c r="E60" s="91">
        <f>VLOOKUP($A60,'Data Vlaue (Cr)'!$C:$FB,75)</f>
        <v>1960</v>
      </c>
      <c r="F60" s="91">
        <f>VLOOKUP($A60,'Data Vlaue (Cr)'!$C:$FB,77)</f>
        <v>23</v>
      </c>
      <c r="G60" s="92">
        <f>VLOOKUP(A60,'Data Vlaue (Cr)'!C55:CB268,78,0)</f>
        <v>1.1900000000000001E-2</v>
      </c>
      <c r="H60" s="91">
        <f>VLOOKUP($A60,'Data Vlaue (Cr)'!$C:$FB,91)</f>
        <v>624</v>
      </c>
      <c r="I60" s="91">
        <f>VLOOKUP($A60,'Data Vlaue (Cr)'!$C:$FB,93)</f>
        <v>14</v>
      </c>
      <c r="J60" s="92">
        <f>VLOOKUP($A60,'Data Vlaue (Cr)'!$C:$FB,94)</f>
        <v>2.3099999999999999E-2</v>
      </c>
      <c r="K60" s="91">
        <f>VLOOKUP($A60,'Data Vlaue (Cr)'!$C:$FB,95)</f>
        <v>441</v>
      </c>
      <c r="L60" s="91">
        <f>VLOOKUP($A60,'Data Vlaue (Cr)'!$C:$FB,97)</f>
        <v>12</v>
      </c>
      <c r="M60" s="92">
        <f>VLOOKUP($A60,'Data Vlaue (Cr)'!$C:$FB,98)</f>
        <v>2.6800000000000001E-2</v>
      </c>
      <c r="N60" s="91">
        <f>VLOOKUP($A60,'Data Vlaue (Cr)'!$C:$FB,79)</f>
        <v>1818</v>
      </c>
      <c r="O60" s="92">
        <f>VLOOKUP($A60,'Data Vlaue (Cr)'!$C:$FB,82)</f>
        <v>-2.8799999999999999E-2</v>
      </c>
    </row>
    <row r="61" spans="1:15" x14ac:dyDescent="0.25">
      <c r="A61" s="97" t="str">
        <f>'Data Vlaue (Cr)'!C56</f>
        <v>DIXON</v>
      </c>
      <c r="B61" s="142">
        <f>VLOOKUP(A61,'Data Vlaue (Cr)'!C56:CW269,99,0)</f>
        <v>10274</v>
      </c>
      <c r="C61" s="90">
        <f>VLOOKUP(A61,'Data Vlaue (Cr)'!C56:CY269,101,0)</f>
        <v>-3</v>
      </c>
      <c r="D61" s="139">
        <f>VLOOKUP(A61,'Data Vlaue (Cr)'!C56:CZ269,102,0)</f>
        <v>-2.9999999999999997E-4</v>
      </c>
      <c r="E61" s="91">
        <f>VLOOKUP($A61,'Data Vlaue (Cr)'!$C:$FB,75)</f>
        <v>2965</v>
      </c>
      <c r="F61" s="91">
        <f>VLOOKUP($A61,'Data Vlaue (Cr)'!$C:$FB,77)</f>
        <v>8</v>
      </c>
      <c r="G61" s="92">
        <f>VLOOKUP(A61,'Data Vlaue (Cr)'!C56:CB269,78,0)</f>
        <v>2.8999999999999998E-3</v>
      </c>
      <c r="H61" s="91">
        <f>VLOOKUP($A61,'Data Vlaue (Cr)'!$C:$FB,91)</f>
        <v>4777</v>
      </c>
      <c r="I61" s="91">
        <f>VLOOKUP($A61,'Data Vlaue (Cr)'!$C:$FB,93)</f>
        <v>-37</v>
      </c>
      <c r="J61" s="92">
        <f>VLOOKUP($A61,'Data Vlaue (Cr)'!$C:$FB,94)</f>
        <v>-7.7000000000000002E-3</v>
      </c>
      <c r="K61" s="91">
        <f>VLOOKUP($A61,'Data Vlaue (Cr)'!$C:$FB,95)</f>
        <v>2531</v>
      </c>
      <c r="L61" s="91">
        <f>VLOOKUP($A61,'Data Vlaue (Cr)'!$C:$FB,97)</f>
        <v>26</v>
      </c>
      <c r="M61" s="92">
        <f>VLOOKUP($A61,'Data Vlaue (Cr)'!$C:$FB,98)</f>
        <v>1.03E-2</v>
      </c>
      <c r="N61" s="91">
        <f>VLOOKUP($A61,'Data Vlaue (Cr)'!$C:$FB,79)</f>
        <v>2553</v>
      </c>
      <c r="O61" s="92">
        <f>VLOOKUP($A61,'Data Vlaue (Cr)'!$C:$FB,82)</f>
        <v>-1.5800000000000002E-2</v>
      </c>
    </row>
    <row r="62" spans="1:15" x14ac:dyDescent="0.25">
      <c r="A62" s="97" t="str">
        <f>'Data Vlaue (Cr)'!C57</f>
        <v>DLF</v>
      </c>
      <c r="B62" s="142">
        <f>VLOOKUP(A62,'Data Vlaue (Cr)'!C57:CW270,99,0)</f>
        <v>6100</v>
      </c>
      <c r="C62" s="90">
        <f>VLOOKUP(A62,'Data Vlaue (Cr)'!C57:CY270,101,0)</f>
        <v>103</v>
      </c>
      <c r="D62" s="139">
        <f>VLOOKUP(A62,'Data Vlaue (Cr)'!C57:CZ270,102,0)</f>
        <v>1.72E-2</v>
      </c>
      <c r="E62" s="91">
        <f>VLOOKUP($A62,'Data Vlaue (Cr)'!$C:$FB,75)</f>
        <v>3512</v>
      </c>
      <c r="F62" s="91">
        <f>VLOOKUP($A62,'Data Vlaue (Cr)'!$C:$FB,77)</f>
        <v>41</v>
      </c>
      <c r="G62" s="92">
        <f>VLOOKUP(A62,'Data Vlaue (Cr)'!C57:CB270,78,0)</f>
        <v>1.1900000000000001E-2</v>
      </c>
      <c r="H62" s="91">
        <f>VLOOKUP($A62,'Data Vlaue (Cr)'!$C:$FB,91)</f>
        <v>1559</v>
      </c>
      <c r="I62" s="91">
        <f>VLOOKUP($A62,'Data Vlaue (Cr)'!$C:$FB,93)</f>
        <v>1</v>
      </c>
      <c r="J62" s="92">
        <f>VLOOKUP($A62,'Data Vlaue (Cr)'!$C:$FB,94)</f>
        <v>6.9999999999999999E-4</v>
      </c>
      <c r="K62" s="91">
        <f>VLOOKUP($A62,'Data Vlaue (Cr)'!$C:$FB,95)</f>
        <v>1029</v>
      </c>
      <c r="L62" s="91">
        <f>VLOOKUP($A62,'Data Vlaue (Cr)'!$C:$FB,97)</f>
        <v>61</v>
      </c>
      <c r="M62" s="92">
        <f>VLOOKUP($A62,'Data Vlaue (Cr)'!$C:$FB,98)</f>
        <v>6.25E-2</v>
      </c>
      <c r="N62" s="91">
        <f>VLOOKUP($A62,'Data Vlaue (Cr)'!$C:$FB,79)</f>
        <v>3271</v>
      </c>
      <c r="O62" s="92">
        <f>VLOOKUP($A62,'Data Vlaue (Cr)'!$C:$FB,82)</f>
        <v>8.9999999999999998E-4</v>
      </c>
    </row>
    <row r="63" spans="1:15" x14ac:dyDescent="0.25">
      <c r="A63" s="97" t="str">
        <f>'Data Vlaue (Cr)'!C58</f>
        <v>DMART</v>
      </c>
      <c r="B63" s="142">
        <f>VLOOKUP(A63,'Data Vlaue (Cr)'!C58:CW271,99,0)</f>
        <v>3744</v>
      </c>
      <c r="C63" s="90">
        <f>VLOOKUP(A63,'Data Vlaue (Cr)'!C58:CY271,101,0)</f>
        <v>188</v>
      </c>
      <c r="D63" s="139">
        <f>VLOOKUP(A63,'Data Vlaue (Cr)'!C58:CZ271,102,0)</f>
        <v>5.28E-2</v>
      </c>
      <c r="E63" s="91">
        <f>VLOOKUP($A63,'Data Vlaue (Cr)'!$C:$FB,75)</f>
        <v>2235</v>
      </c>
      <c r="F63" s="91">
        <f>VLOOKUP($A63,'Data Vlaue (Cr)'!$C:$FB,77)</f>
        <v>32</v>
      </c>
      <c r="G63" s="92">
        <f>VLOOKUP(A63,'Data Vlaue (Cr)'!C58:CB271,78,0)</f>
        <v>1.44E-2</v>
      </c>
      <c r="H63" s="91">
        <f>VLOOKUP($A63,'Data Vlaue (Cr)'!$C:$FB,91)</f>
        <v>1045</v>
      </c>
      <c r="I63" s="91">
        <f>VLOOKUP($A63,'Data Vlaue (Cr)'!$C:$FB,93)</f>
        <v>128</v>
      </c>
      <c r="J63" s="92">
        <f>VLOOKUP($A63,'Data Vlaue (Cr)'!$C:$FB,94)</f>
        <v>0.13969999999999999</v>
      </c>
      <c r="K63" s="91">
        <f>VLOOKUP($A63,'Data Vlaue (Cr)'!$C:$FB,95)</f>
        <v>464</v>
      </c>
      <c r="L63" s="91">
        <f>VLOOKUP($A63,'Data Vlaue (Cr)'!$C:$FB,97)</f>
        <v>28</v>
      </c>
      <c r="M63" s="92">
        <f>VLOOKUP($A63,'Data Vlaue (Cr)'!$C:$FB,98)</f>
        <v>6.3899999999999998E-2</v>
      </c>
      <c r="N63" s="91">
        <f>VLOOKUP($A63,'Data Vlaue (Cr)'!$C:$FB,79)</f>
        <v>2046</v>
      </c>
      <c r="O63" s="92">
        <f>VLOOKUP($A63,'Data Vlaue (Cr)'!$C:$FB,82)</f>
        <v>4.7999999999999996E-3</v>
      </c>
    </row>
    <row r="64" spans="1:15" x14ac:dyDescent="0.25">
      <c r="A64" s="97" t="str">
        <f>'Data Vlaue (Cr)'!C59</f>
        <v>DRREDDY</v>
      </c>
      <c r="B64" s="142">
        <f>VLOOKUP(A64,'Data Vlaue (Cr)'!C59:CW272,99,0)</f>
        <v>3065</v>
      </c>
      <c r="C64" s="90">
        <f>VLOOKUP(A64,'Data Vlaue (Cr)'!C59:CY272,101,0)</f>
        <v>28</v>
      </c>
      <c r="D64" s="139">
        <f>VLOOKUP(A64,'Data Vlaue (Cr)'!C59:CZ272,102,0)</f>
        <v>9.1000000000000004E-3</v>
      </c>
      <c r="E64" s="91">
        <f>VLOOKUP($A64,'Data Vlaue (Cr)'!$C:$FB,75)</f>
        <v>1780</v>
      </c>
      <c r="F64" s="91">
        <f>VLOOKUP($A64,'Data Vlaue (Cr)'!$C:$FB,77)</f>
        <v>37</v>
      </c>
      <c r="G64" s="92">
        <f>VLOOKUP(A64,'Data Vlaue (Cr)'!C59:CB272,78,0)</f>
        <v>2.12E-2</v>
      </c>
      <c r="H64" s="91">
        <f>VLOOKUP($A64,'Data Vlaue (Cr)'!$C:$FB,91)</f>
        <v>854</v>
      </c>
      <c r="I64" s="91">
        <f>VLOOKUP($A64,'Data Vlaue (Cr)'!$C:$FB,93)</f>
        <v>-15</v>
      </c>
      <c r="J64" s="92">
        <f>VLOOKUP($A64,'Data Vlaue (Cr)'!$C:$FB,94)</f>
        <v>-1.7000000000000001E-2</v>
      </c>
      <c r="K64" s="91">
        <f>VLOOKUP($A64,'Data Vlaue (Cr)'!$C:$FB,95)</f>
        <v>431</v>
      </c>
      <c r="L64" s="91">
        <f>VLOOKUP($A64,'Data Vlaue (Cr)'!$C:$FB,97)</f>
        <v>6</v>
      </c>
      <c r="M64" s="92">
        <f>VLOOKUP($A64,'Data Vlaue (Cr)'!$C:$FB,98)</f>
        <v>1.2999999999999999E-2</v>
      </c>
      <c r="N64" s="91">
        <f>VLOOKUP($A64,'Data Vlaue (Cr)'!$C:$FB,79)</f>
        <v>1602</v>
      </c>
      <c r="O64" s="92">
        <f>VLOOKUP($A64,'Data Vlaue (Cr)'!$C:$FB,82)</f>
        <v>2.9999999999999997E-4</v>
      </c>
    </row>
    <row r="65" spans="1:15" x14ac:dyDescent="0.25">
      <c r="A65" s="97" t="str">
        <f>'Data Vlaue (Cr)'!C60</f>
        <v>EICHERMOT</v>
      </c>
      <c r="B65" s="142">
        <f>VLOOKUP(A65,'Data Vlaue (Cr)'!C60:CW273,99,0)</f>
        <v>5561</v>
      </c>
      <c r="C65" s="90">
        <f>VLOOKUP(A65,'Data Vlaue (Cr)'!C60:CY273,101,0)</f>
        <v>-110</v>
      </c>
      <c r="D65" s="139">
        <f>VLOOKUP(A65,'Data Vlaue (Cr)'!C60:CZ273,102,0)</f>
        <v>-1.9400000000000001E-2</v>
      </c>
      <c r="E65" s="91">
        <f>VLOOKUP($A65,'Data Vlaue (Cr)'!$C:$FB,75)</f>
        <v>2272</v>
      </c>
      <c r="F65" s="91">
        <f>VLOOKUP($A65,'Data Vlaue (Cr)'!$C:$FB,77)</f>
        <v>8</v>
      </c>
      <c r="G65" s="92">
        <f>VLOOKUP(A65,'Data Vlaue (Cr)'!C60:CB273,78,0)</f>
        <v>3.3999999999999998E-3</v>
      </c>
      <c r="H65" s="91">
        <f>VLOOKUP($A65,'Data Vlaue (Cr)'!$C:$FB,91)</f>
        <v>1912</v>
      </c>
      <c r="I65" s="91">
        <f>VLOOKUP($A65,'Data Vlaue (Cr)'!$C:$FB,93)</f>
        <v>-43</v>
      </c>
      <c r="J65" s="92">
        <f>VLOOKUP($A65,'Data Vlaue (Cr)'!$C:$FB,94)</f>
        <v>-2.1999999999999999E-2</v>
      </c>
      <c r="K65" s="91">
        <f>VLOOKUP($A65,'Data Vlaue (Cr)'!$C:$FB,95)</f>
        <v>1377</v>
      </c>
      <c r="L65" s="91">
        <f>VLOOKUP($A65,'Data Vlaue (Cr)'!$C:$FB,97)</f>
        <v>-75</v>
      </c>
      <c r="M65" s="92">
        <f>VLOOKUP($A65,'Data Vlaue (Cr)'!$C:$FB,98)</f>
        <v>-5.1499999999999997E-2</v>
      </c>
      <c r="N65" s="91">
        <f>VLOOKUP($A65,'Data Vlaue (Cr)'!$C:$FB,79)</f>
        <v>2031</v>
      </c>
      <c r="O65" s="92">
        <f>VLOOKUP($A65,'Data Vlaue (Cr)'!$C:$FB,82)</f>
        <v>-1.78E-2</v>
      </c>
    </row>
    <row r="66" spans="1:15" x14ac:dyDescent="0.25">
      <c r="A66" s="97" t="str">
        <f>'Data Vlaue (Cr)'!C61</f>
        <v>ETERNAL</v>
      </c>
      <c r="B66" s="142">
        <f>VLOOKUP(A66,'Data Vlaue (Cr)'!C61:CW274,99,0)</f>
        <v>12963</v>
      </c>
      <c r="C66" s="90">
        <f>VLOOKUP(A66,'Data Vlaue (Cr)'!C61:CY274,101,0)</f>
        <v>7</v>
      </c>
      <c r="D66" s="139">
        <f>VLOOKUP(A66,'Data Vlaue (Cr)'!C61:CZ274,102,0)</f>
        <v>5.9999999999999995E-4</v>
      </c>
      <c r="E66" s="91">
        <f>VLOOKUP($A66,'Data Vlaue (Cr)'!$C:$FB,75)</f>
        <v>8782</v>
      </c>
      <c r="F66" s="91">
        <f>VLOOKUP($A66,'Data Vlaue (Cr)'!$C:$FB,77)</f>
        <v>67</v>
      </c>
      <c r="G66" s="92">
        <f>VLOOKUP(A66,'Data Vlaue (Cr)'!C61:CB274,78,0)</f>
        <v>7.7000000000000002E-3</v>
      </c>
      <c r="H66" s="91">
        <f>VLOOKUP($A66,'Data Vlaue (Cr)'!$C:$FB,91)</f>
        <v>2729</v>
      </c>
      <c r="I66" s="91">
        <f>VLOOKUP($A66,'Data Vlaue (Cr)'!$C:$FB,93)</f>
        <v>-41</v>
      </c>
      <c r="J66" s="92">
        <f>VLOOKUP($A66,'Data Vlaue (Cr)'!$C:$FB,94)</f>
        <v>-1.49E-2</v>
      </c>
      <c r="K66" s="91">
        <f>VLOOKUP($A66,'Data Vlaue (Cr)'!$C:$FB,95)</f>
        <v>1452</v>
      </c>
      <c r="L66" s="91">
        <f>VLOOKUP($A66,'Data Vlaue (Cr)'!$C:$FB,97)</f>
        <v>-18</v>
      </c>
      <c r="M66" s="92">
        <f>VLOOKUP($A66,'Data Vlaue (Cr)'!$C:$FB,98)</f>
        <v>-1.2500000000000001E-2</v>
      </c>
      <c r="N66" s="91">
        <f>VLOOKUP($A66,'Data Vlaue (Cr)'!$C:$FB,79)</f>
        <v>8115</v>
      </c>
      <c r="O66" s="92">
        <f>VLOOKUP($A66,'Data Vlaue (Cr)'!$C:$FB,82)</f>
        <v>-8.3999999999999995E-3</v>
      </c>
    </row>
    <row r="67" spans="1:15" x14ac:dyDescent="0.25">
      <c r="A67" s="97" t="str">
        <f>'Data Vlaue (Cr)'!C62</f>
        <v>EXIDEIND</v>
      </c>
      <c r="B67" s="142">
        <f>VLOOKUP(A67,'Data Vlaue (Cr)'!C62:CW275,99,0)</f>
        <v>1896</v>
      </c>
      <c r="C67" s="90">
        <f>VLOOKUP(A67,'Data Vlaue (Cr)'!C62:CY275,101,0)</f>
        <v>87</v>
      </c>
      <c r="D67" s="139">
        <f>VLOOKUP(A67,'Data Vlaue (Cr)'!C62:CZ275,102,0)</f>
        <v>4.8099999999999997E-2</v>
      </c>
      <c r="E67" s="91">
        <f>VLOOKUP($A67,'Data Vlaue (Cr)'!$C:$FB,75)</f>
        <v>1134</v>
      </c>
      <c r="F67" s="91">
        <f>VLOOKUP($A67,'Data Vlaue (Cr)'!$C:$FB,77)</f>
        <v>18</v>
      </c>
      <c r="G67" s="92">
        <f>VLOOKUP(A67,'Data Vlaue (Cr)'!C62:CB275,78,0)</f>
        <v>1.5900000000000001E-2</v>
      </c>
      <c r="H67" s="91">
        <f>VLOOKUP($A67,'Data Vlaue (Cr)'!$C:$FB,91)</f>
        <v>459</v>
      </c>
      <c r="I67" s="91">
        <f>VLOOKUP($A67,'Data Vlaue (Cr)'!$C:$FB,93)</f>
        <v>53</v>
      </c>
      <c r="J67" s="92">
        <f>VLOOKUP($A67,'Data Vlaue (Cr)'!$C:$FB,94)</f>
        <v>0.13170000000000001</v>
      </c>
      <c r="K67" s="91">
        <f>VLOOKUP($A67,'Data Vlaue (Cr)'!$C:$FB,95)</f>
        <v>302</v>
      </c>
      <c r="L67" s="91">
        <f>VLOOKUP($A67,'Data Vlaue (Cr)'!$C:$FB,97)</f>
        <v>16</v>
      </c>
      <c r="M67" s="92">
        <f>VLOOKUP($A67,'Data Vlaue (Cr)'!$C:$FB,98)</f>
        <v>5.4899999999999997E-2</v>
      </c>
      <c r="N67" s="91">
        <f>VLOOKUP($A67,'Data Vlaue (Cr)'!$C:$FB,79)</f>
        <v>1039</v>
      </c>
      <c r="O67" s="92">
        <f>VLOOKUP($A67,'Data Vlaue (Cr)'!$C:$FB,82)</f>
        <v>1.6999999999999999E-3</v>
      </c>
    </row>
    <row r="68" spans="1:15" x14ac:dyDescent="0.25">
      <c r="A68" s="97" t="str">
        <f>'Data Vlaue (Cr)'!C63</f>
        <v>FEDERALBNK</v>
      </c>
      <c r="B68" s="142">
        <f>VLOOKUP(A68,'Data Vlaue (Cr)'!C63:CW276,99,0)</f>
        <v>4088</v>
      </c>
      <c r="C68" s="90">
        <f>VLOOKUP(A68,'Data Vlaue (Cr)'!C63:CY276,101,0)</f>
        <v>-27</v>
      </c>
      <c r="D68" s="139">
        <f>VLOOKUP(A68,'Data Vlaue (Cr)'!C63:CZ276,102,0)</f>
        <v>-6.4999999999999997E-3</v>
      </c>
      <c r="E68" s="91">
        <f>VLOOKUP($A68,'Data Vlaue (Cr)'!$C:$FB,75)</f>
        <v>1757</v>
      </c>
      <c r="F68" s="91">
        <f>VLOOKUP($A68,'Data Vlaue (Cr)'!$C:$FB,77)</f>
        <v>-28</v>
      </c>
      <c r="G68" s="92">
        <f>VLOOKUP(A68,'Data Vlaue (Cr)'!C63:CB276,78,0)</f>
        <v>-1.5699999999999999E-2</v>
      </c>
      <c r="H68" s="91">
        <f>VLOOKUP($A68,'Data Vlaue (Cr)'!$C:$FB,91)</f>
        <v>1151</v>
      </c>
      <c r="I68" s="91">
        <f>VLOOKUP($A68,'Data Vlaue (Cr)'!$C:$FB,93)</f>
        <v>-23</v>
      </c>
      <c r="J68" s="92">
        <f>VLOOKUP($A68,'Data Vlaue (Cr)'!$C:$FB,94)</f>
        <v>-1.95E-2</v>
      </c>
      <c r="K68" s="91">
        <f>VLOOKUP($A68,'Data Vlaue (Cr)'!$C:$FB,95)</f>
        <v>1181</v>
      </c>
      <c r="L68" s="91">
        <f>VLOOKUP($A68,'Data Vlaue (Cr)'!$C:$FB,97)</f>
        <v>24</v>
      </c>
      <c r="M68" s="92">
        <f>VLOOKUP($A68,'Data Vlaue (Cr)'!$C:$FB,98)</f>
        <v>2.0899999999999998E-2</v>
      </c>
      <c r="N68" s="91">
        <f>VLOOKUP($A68,'Data Vlaue (Cr)'!$C:$FB,79)</f>
        <v>1523</v>
      </c>
      <c r="O68" s="92">
        <f>VLOOKUP($A68,'Data Vlaue (Cr)'!$C:$FB,82)</f>
        <v>-2.3E-2</v>
      </c>
    </row>
    <row r="69" spans="1:15" x14ac:dyDescent="0.25">
      <c r="A69" s="97" t="str">
        <f>'Data Vlaue (Cr)'!C64</f>
        <v>FINNIFTY</v>
      </c>
      <c r="B69" s="142">
        <f>VLOOKUP(A69,'Data Vlaue (Cr)'!C64:CW277,99,0)</f>
        <v>4419</v>
      </c>
      <c r="C69" s="90">
        <f>VLOOKUP(A69,'Data Vlaue (Cr)'!C64:CY277,101,0)</f>
        <v>228</v>
      </c>
      <c r="D69" s="139">
        <f>VLOOKUP(A69,'Data Vlaue (Cr)'!C64:CZ277,102,0)</f>
        <v>5.45E-2</v>
      </c>
      <c r="E69" s="91">
        <f>VLOOKUP($A69,'Data Vlaue (Cr)'!$C:$FB,75)</f>
        <v>119</v>
      </c>
      <c r="F69" s="91">
        <f>VLOOKUP($A69,'Data Vlaue (Cr)'!$C:$FB,77)</f>
        <v>0</v>
      </c>
      <c r="G69" s="92">
        <f>VLOOKUP(A69,'Data Vlaue (Cr)'!C64:CB277,78,0)</f>
        <v>6.9999999999999999E-4</v>
      </c>
      <c r="H69" s="91">
        <f>VLOOKUP($A69,'Data Vlaue (Cr)'!$C:$FB,91)</f>
        <v>2630</v>
      </c>
      <c r="I69" s="91">
        <f>VLOOKUP($A69,'Data Vlaue (Cr)'!$C:$FB,93)</f>
        <v>39</v>
      </c>
      <c r="J69" s="92">
        <f>VLOOKUP($A69,'Data Vlaue (Cr)'!$C:$FB,94)</f>
        <v>1.49E-2</v>
      </c>
      <c r="K69" s="91">
        <f>VLOOKUP($A69,'Data Vlaue (Cr)'!$C:$FB,95)</f>
        <v>1669</v>
      </c>
      <c r="L69" s="91">
        <f>VLOOKUP($A69,'Data Vlaue (Cr)'!$C:$FB,97)</f>
        <v>190</v>
      </c>
      <c r="M69" s="92">
        <f>VLOOKUP($A69,'Data Vlaue (Cr)'!$C:$FB,98)</f>
        <v>0.12820000000000001</v>
      </c>
      <c r="N69" s="91">
        <f>VLOOKUP($A69,'Data Vlaue (Cr)'!$C:$FB,79)</f>
        <v>107</v>
      </c>
      <c r="O69" s="92">
        <f>VLOOKUP($A69,'Data Vlaue (Cr)'!$C:$FB,82)</f>
        <v>-9.9000000000000008E-3</v>
      </c>
    </row>
    <row r="70" spans="1:15" x14ac:dyDescent="0.25">
      <c r="A70" s="97" t="str">
        <f>'Data Vlaue (Cr)'!C65</f>
        <v>FORTIS</v>
      </c>
      <c r="B70" s="142">
        <f>VLOOKUP(A70,'Data Vlaue (Cr)'!C65:CW278,99,0)</f>
        <v>2048</v>
      </c>
      <c r="C70" s="90">
        <f>VLOOKUP(A70,'Data Vlaue (Cr)'!C65:CY278,101,0)</f>
        <v>-40</v>
      </c>
      <c r="D70" s="139">
        <f>VLOOKUP(A70,'Data Vlaue (Cr)'!C65:CZ278,102,0)</f>
        <v>-1.9400000000000001E-2</v>
      </c>
      <c r="E70" s="91">
        <f>VLOOKUP($A70,'Data Vlaue (Cr)'!$C:$FB,75)</f>
        <v>1238</v>
      </c>
      <c r="F70" s="91">
        <f>VLOOKUP($A70,'Data Vlaue (Cr)'!$C:$FB,77)</f>
        <v>-16</v>
      </c>
      <c r="G70" s="92">
        <f>VLOOKUP(A70,'Data Vlaue (Cr)'!C65:CB278,78,0)</f>
        <v>-1.3100000000000001E-2</v>
      </c>
      <c r="H70" s="91">
        <f>VLOOKUP($A70,'Data Vlaue (Cr)'!$C:$FB,91)</f>
        <v>558</v>
      </c>
      <c r="I70" s="91">
        <f>VLOOKUP($A70,'Data Vlaue (Cr)'!$C:$FB,93)</f>
        <v>-19</v>
      </c>
      <c r="J70" s="92">
        <f>VLOOKUP($A70,'Data Vlaue (Cr)'!$C:$FB,94)</f>
        <v>-3.2099999999999997E-2</v>
      </c>
      <c r="K70" s="91">
        <f>VLOOKUP($A70,'Data Vlaue (Cr)'!$C:$FB,95)</f>
        <v>251</v>
      </c>
      <c r="L70" s="91">
        <f>VLOOKUP($A70,'Data Vlaue (Cr)'!$C:$FB,97)</f>
        <v>-5</v>
      </c>
      <c r="M70" s="92">
        <f>VLOOKUP($A70,'Data Vlaue (Cr)'!$C:$FB,98)</f>
        <v>-2.12E-2</v>
      </c>
      <c r="N70" s="91">
        <f>VLOOKUP($A70,'Data Vlaue (Cr)'!$C:$FB,79)</f>
        <v>1159</v>
      </c>
      <c r="O70" s="92">
        <f>VLOOKUP($A70,'Data Vlaue (Cr)'!$C:$FB,82)</f>
        <v>-1.84E-2</v>
      </c>
    </row>
    <row r="71" spans="1:15" x14ac:dyDescent="0.25">
      <c r="A71" s="97" t="str">
        <f>'Data Vlaue (Cr)'!C66</f>
        <v>GAIL</v>
      </c>
      <c r="B71" s="142">
        <f>VLOOKUP(A71,'Data Vlaue (Cr)'!C66:CW279,99,0)</f>
        <v>3583</v>
      </c>
      <c r="C71" s="90">
        <f>VLOOKUP(A71,'Data Vlaue (Cr)'!C66:CY279,101,0)</f>
        <v>-2</v>
      </c>
      <c r="D71" s="139">
        <f>VLOOKUP(A71,'Data Vlaue (Cr)'!C66:CZ279,102,0)</f>
        <v>-5.9999999999999995E-4</v>
      </c>
      <c r="E71" s="91">
        <f>VLOOKUP($A71,'Data Vlaue (Cr)'!$C:$FB,75)</f>
        <v>1673</v>
      </c>
      <c r="F71" s="91">
        <f>VLOOKUP($A71,'Data Vlaue (Cr)'!$C:$FB,77)</f>
        <v>1</v>
      </c>
      <c r="G71" s="92">
        <f>VLOOKUP(A71,'Data Vlaue (Cr)'!C66:CB279,78,0)</f>
        <v>4.0000000000000002E-4</v>
      </c>
      <c r="H71" s="91">
        <f>VLOOKUP($A71,'Data Vlaue (Cr)'!$C:$FB,91)</f>
        <v>1155</v>
      </c>
      <c r="I71" s="91">
        <f>VLOOKUP($A71,'Data Vlaue (Cr)'!$C:$FB,93)</f>
        <v>5</v>
      </c>
      <c r="J71" s="92">
        <f>VLOOKUP($A71,'Data Vlaue (Cr)'!$C:$FB,94)</f>
        <v>4.4000000000000003E-3</v>
      </c>
      <c r="K71" s="91">
        <f>VLOOKUP($A71,'Data Vlaue (Cr)'!$C:$FB,95)</f>
        <v>755</v>
      </c>
      <c r="L71" s="91">
        <f>VLOOKUP($A71,'Data Vlaue (Cr)'!$C:$FB,97)</f>
        <v>-8</v>
      </c>
      <c r="M71" s="92">
        <f>VLOOKUP($A71,'Data Vlaue (Cr)'!$C:$FB,98)</f>
        <v>-1.04E-2</v>
      </c>
      <c r="N71" s="91">
        <f>VLOOKUP($A71,'Data Vlaue (Cr)'!$C:$FB,79)</f>
        <v>1484</v>
      </c>
      <c r="O71" s="92">
        <f>VLOOKUP($A71,'Data Vlaue (Cr)'!$C:$FB,82)</f>
        <v>-9.1000000000000004E-3</v>
      </c>
    </row>
    <row r="72" spans="1:15" x14ac:dyDescent="0.25">
      <c r="A72" s="97" t="str">
        <f>'Data Vlaue (Cr)'!C67</f>
        <v>GLENMARK</v>
      </c>
      <c r="B72" s="142">
        <f>VLOOKUP(A72,'Data Vlaue (Cr)'!C67:CW280,99,0)</f>
        <v>4245</v>
      </c>
      <c r="C72" s="90">
        <f>VLOOKUP(A72,'Data Vlaue (Cr)'!C67:CY280,101,0)</f>
        <v>-17</v>
      </c>
      <c r="D72" s="139">
        <f>VLOOKUP(A72,'Data Vlaue (Cr)'!C67:CZ280,102,0)</f>
        <v>-4.1000000000000003E-3</v>
      </c>
      <c r="E72" s="91">
        <f>VLOOKUP($A72,'Data Vlaue (Cr)'!$C:$FB,75)</f>
        <v>2863</v>
      </c>
      <c r="F72" s="91">
        <f>VLOOKUP($A72,'Data Vlaue (Cr)'!$C:$FB,77)</f>
        <v>11</v>
      </c>
      <c r="G72" s="92">
        <f>VLOOKUP(A72,'Data Vlaue (Cr)'!C67:CB280,78,0)</f>
        <v>3.8E-3</v>
      </c>
      <c r="H72" s="91">
        <f>VLOOKUP($A72,'Data Vlaue (Cr)'!$C:$FB,91)</f>
        <v>798</v>
      </c>
      <c r="I72" s="91">
        <f>VLOOKUP($A72,'Data Vlaue (Cr)'!$C:$FB,93)</f>
        <v>-24</v>
      </c>
      <c r="J72" s="92">
        <f>VLOOKUP($A72,'Data Vlaue (Cr)'!$C:$FB,94)</f>
        <v>-2.9100000000000001E-2</v>
      </c>
      <c r="K72" s="91">
        <f>VLOOKUP($A72,'Data Vlaue (Cr)'!$C:$FB,95)</f>
        <v>584</v>
      </c>
      <c r="L72" s="91">
        <f>VLOOKUP($A72,'Data Vlaue (Cr)'!$C:$FB,97)</f>
        <v>-4</v>
      </c>
      <c r="M72" s="92">
        <f>VLOOKUP($A72,'Data Vlaue (Cr)'!$C:$FB,98)</f>
        <v>-7.6E-3</v>
      </c>
      <c r="N72" s="91">
        <f>VLOOKUP($A72,'Data Vlaue (Cr)'!$C:$FB,79)</f>
        <v>2797</v>
      </c>
      <c r="O72" s="92">
        <f>VLOOKUP($A72,'Data Vlaue (Cr)'!$C:$FB,82)</f>
        <v>1.1999999999999999E-3</v>
      </c>
    </row>
    <row r="73" spans="1:15" x14ac:dyDescent="0.25">
      <c r="A73" s="97" t="str">
        <f>'Data Vlaue (Cr)'!C68</f>
        <v>GMRAIRPORT</v>
      </c>
      <c r="B73" s="142">
        <f>VLOOKUP(A73,'Data Vlaue (Cr)'!C68:CW281,99,0)</f>
        <v>4126</v>
      </c>
      <c r="C73" s="90">
        <f>VLOOKUP(A73,'Data Vlaue (Cr)'!C68:CY281,101,0)</f>
        <v>48</v>
      </c>
      <c r="D73" s="139">
        <f>VLOOKUP(A73,'Data Vlaue (Cr)'!C68:CZ281,102,0)</f>
        <v>1.17E-2</v>
      </c>
      <c r="E73" s="91">
        <f>VLOOKUP($A73,'Data Vlaue (Cr)'!$C:$FB,75)</f>
        <v>1740</v>
      </c>
      <c r="F73" s="91">
        <f>VLOOKUP($A73,'Data Vlaue (Cr)'!$C:$FB,77)</f>
        <v>-5</v>
      </c>
      <c r="G73" s="92">
        <f>VLOOKUP(A73,'Data Vlaue (Cr)'!C68:CB281,78,0)</f>
        <v>-2.7000000000000001E-3</v>
      </c>
      <c r="H73" s="91">
        <f>VLOOKUP($A73,'Data Vlaue (Cr)'!$C:$FB,91)</f>
        <v>1587</v>
      </c>
      <c r="I73" s="91">
        <f>VLOOKUP($A73,'Data Vlaue (Cr)'!$C:$FB,93)</f>
        <v>76</v>
      </c>
      <c r="J73" s="92">
        <f>VLOOKUP($A73,'Data Vlaue (Cr)'!$C:$FB,94)</f>
        <v>5.0500000000000003E-2</v>
      </c>
      <c r="K73" s="91">
        <f>VLOOKUP($A73,'Data Vlaue (Cr)'!$C:$FB,95)</f>
        <v>799</v>
      </c>
      <c r="L73" s="91">
        <f>VLOOKUP($A73,'Data Vlaue (Cr)'!$C:$FB,97)</f>
        <v>-24</v>
      </c>
      <c r="M73" s="92">
        <f>VLOOKUP($A73,'Data Vlaue (Cr)'!$C:$FB,98)</f>
        <v>-2.92E-2</v>
      </c>
      <c r="N73" s="91">
        <f>VLOOKUP($A73,'Data Vlaue (Cr)'!$C:$FB,79)</f>
        <v>1537</v>
      </c>
      <c r="O73" s="92">
        <f>VLOOKUP($A73,'Data Vlaue (Cr)'!$C:$FB,82)</f>
        <v>-1.3899999999999999E-2</v>
      </c>
    </row>
    <row r="74" spans="1:15" x14ac:dyDescent="0.25">
      <c r="A74" s="97" t="str">
        <f>'Data Vlaue (Cr)'!C69</f>
        <v>GODREJCP</v>
      </c>
      <c r="B74" s="142">
        <f>VLOOKUP(A74,'Data Vlaue (Cr)'!C69:CW282,99,0)</f>
        <v>1691</v>
      </c>
      <c r="C74" s="90">
        <f>VLOOKUP(A74,'Data Vlaue (Cr)'!C69:CY282,101,0)</f>
        <v>1</v>
      </c>
      <c r="D74" s="139">
        <f>VLOOKUP(A74,'Data Vlaue (Cr)'!C69:CZ282,102,0)</f>
        <v>5.9999999999999995E-4</v>
      </c>
      <c r="E74" s="91">
        <f>VLOOKUP($A74,'Data Vlaue (Cr)'!$C:$FB,75)</f>
        <v>1119</v>
      </c>
      <c r="F74" s="91">
        <f>VLOOKUP($A74,'Data Vlaue (Cr)'!$C:$FB,77)</f>
        <v>15</v>
      </c>
      <c r="G74" s="92">
        <f>VLOOKUP(A74,'Data Vlaue (Cr)'!C69:CB282,78,0)</f>
        <v>1.35E-2</v>
      </c>
      <c r="H74" s="91">
        <f>VLOOKUP($A74,'Data Vlaue (Cr)'!$C:$FB,91)</f>
        <v>336</v>
      </c>
      <c r="I74" s="91">
        <f>VLOOKUP($A74,'Data Vlaue (Cr)'!$C:$FB,93)</f>
        <v>-20</v>
      </c>
      <c r="J74" s="92">
        <f>VLOOKUP($A74,'Data Vlaue (Cr)'!$C:$FB,94)</f>
        <v>-5.5500000000000001E-2</v>
      </c>
      <c r="K74" s="91">
        <f>VLOOKUP($A74,'Data Vlaue (Cr)'!$C:$FB,95)</f>
        <v>235</v>
      </c>
      <c r="L74" s="91">
        <f>VLOOKUP($A74,'Data Vlaue (Cr)'!$C:$FB,97)</f>
        <v>6</v>
      </c>
      <c r="M74" s="92">
        <f>VLOOKUP($A74,'Data Vlaue (Cr)'!$C:$FB,98)</f>
        <v>2.5600000000000001E-2</v>
      </c>
      <c r="N74" s="91">
        <f>VLOOKUP($A74,'Data Vlaue (Cr)'!$C:$FB,79)</f>
        <v>1078</v>
      </c>
      <c r="O74" s="92">
        <f>VLOOKUP($A74,'Data Vlaue (Cr)'!$C:$FB,82)</f>
        <v>5.9999999999999995E-4</v>
      </c>
    </row>
    <row r="75" spans="1:15" x14ac:dyDescent="0.25">
      <c r="A75" s="97" t="str">
        <f>'Data Vlaue (Cr)'!C70</f>
        <v>GODREJPROP</v>
      </c>
      <c r="B75" s="142">
        <f>VLOOKUP(A75,'Data Vlaue (Cr)'!C70:CW283,99,0)</f>
        <v>2954</v>
      </c>
      <c r="C75" s="90">
        <f>VLOOKUP(A75,'Data Vlaue (Cr)'!C70:CY283,101,0)</f>
        <v>44</v>
      </c>
      <c r="D75" s="139">
        <f>VLOOKUP(A75,'Data Vlaue (Cr)'!C70:CZ283,102,0)</f>
        <v>1.5100000000000001E-2</v>
      </c>
      <c r="E75" s="91">
        <f>VLOOKUP($A75,'Data Vlaue (Cr)'!$C:$FB,75)</f>
        <v>1859</v>
      </c>
      <c r="F75" s="91">
        <f>VLOOKUP($A75,'Data Vlaue (Cr)'!$C:$FB,77)</f>
        <v>33</v>
      </c>
      <c r="G75" s="92">
        <f>VLOOKUP(A75,'Data Vlaue (Cr)'!C70:CB283,78,0)</f>
        <v>1.83E-2</v>
      </c>
      <c r="H75" s="91">
        <f>VLOOKUP($A75,'Data Vlaue (Cr)'!$C:$FB,91)</f>
        <v>692</v>
      </c>
      <c r="I75" s="91">
        <f>VLOOKUP($A75,'Data Vlaue (Cr)'!$C:$FB,93)</f>
        <v>14</v>
      </c>
      <c r="J75" s="92">
        <f>VLOOKUP($A75,'Data Vlaue (Cr)'!$C:$FB,94)</f>
        <v>2.1000000000000001E-2</v>
      </c>
      <c r="K75" s="91">
        <f>VLOOKUP($A75,'Data Vlaue (Cr)'!$C:$FB,95)</f>
        <v>402</v>
      </c>
      <c r="L75" s="91">
        <f>VLOOKUP($A75,'Data Vlaue (Cr)'!$C:$FB,97)</f>
        <v>-4</v>
      </c>
      <c r="M75" s="92">
        <f>VLOOKUP($A75,'Data Vlaue (Cr)'!$C:$FB,98)</f>
        <v>-8.9999999999999993E-3</v>
      </c>
      <c r="N75" s="91">
        <f>VLOOKUP($A75,'Data Vlaue (Cr)'!$C:$FB,79)</f>
        <v>1677</v>
      </c>
      <c r="O75" s="92">
        <f>VLOOKUP($A75,'Data Vlaue (Cr)'!$C:$FB,82)</f>
        <v>5.4000000000000003E-3</v>
      </c>
    </row>
    <row r="76" spans="1:15" x14ac:dyDescent="0.25">
      <c r="A76" s="97" t="str">
        <f>'Data Vlaue (Cr)'!C71</f>
        <v>GRASIM</v>
      </c>
      <c r="B76" s="142">
        <f>VLOOKUP(A76,'Data Vlaue (Cr)'!C71:CW284,99,0)</f>
        <v>5792</v>
      </c>
      <c r="C76" s="90">
        <f>VLOOKUP(A76,'Data Vlaue (Cr)'!C71:CY284,101,0)</f>
        <v>11</v>
      </c>
      <c r="D76" s="139">
        <f>VLOOKUP(A76,'Data Vlaue (Cr)'!C71:CZ284,102,0)</f>
        <v>1.9E-3</v>
      </c>
      <c r="E76" s="91">
        <f>VLOOKUP($A76,'Data Vlaue (Cr)'!$C:$FB,75)</f>
        <v>4508</v>
      </c>
      <c r="F76" s="91">
        <f>VLOOKUP($A76,'Data Vlaue (Cr)'!$C:$FB,77)</f>
        <v>16</v>
      </c>
      <c r="G76" s="92">
        <f>VLOOKUP(A76,'Data Vlaue (Cr)'!C71:CB284,78,0)</f>
        <v>3.5999999999999999E-3</v>
      </c>
      <c r="H76" s="91">
        <f>VLOOKUP($A76,'Data Vlaue (Cr)'!$C:$FB,91)</f>
        <v>614</v>
      </c>
      <c r="I76" s="91">
        <f>VLOOKUP($A76,'Data Vlaue (Cr)'!$C:$FB,93)</f>
        <v>-3</v>
      </c>
      <c r="J76" s="92">
        <f>VLOOKUP($A76,'Data Vlaue (Cr)'!$C:$FB,94)</f>
        <v>-4.4000000000000003E-3</v>
      </c>
      <c r="K76" s="91">
        <f>VLOOKUP($A76,'Data Vlaue (Cr)'!$C:$FB,95)</f>
        <v>670</v>
      </c>
      <c r="L76" s="91">
        <f>VLOOKUP($A76,'Data Vlaue (Cr)'!$C:$FB,97)</f>
        <v>-3</v>
      </c>
      <c r="M76" s="92">
        <f>VLOOKUP($A76,'Data Vlaue (Cr)'!$C:$FB,98)</f>
        <v>-4.0000000000000001E-3</v>
      </c>
      <c r="N76" s="91">
        <f>VLOOKUP($A76,'Data Vlaue (Cr)'!$C:$FB,79)</f>
        <v>4137</v>
      </c>
      <c r="O76" s="92">
        <f>VLOOKUP($A76,'Data Vlaue (Cr)'!$C:$FB,82)</f>
        <v>-5.3E-3</v>
      </c>
    </row>
    <row r="77" spans="1:15" x14ac:dyDescent="0.25">
      <c r="A77" s="97" t="str">
        <f>'Data Vlaue (Cr)'!C72</f>
        <v>HAL</v>
      </c>
      <c r="B77" s="142">
        <f>VLOOKUP(A77,'Data Vlaue (Cr)'!C72:CW285,99,0)</f>
        <v>10164</v>
      </c>
      <c r="C77" s="90">
        <f>VLOOKUP(A77,'Data Vlaue (Cr)'!C72:CY285,101,0)</f>
        <v>-113</v>
      </c>
      <c r="D77" s="139">
        <f>VLOOKUP(A77,'Data Vlaue (Cr)'!C72:CZ285,102,0)</f>
        <v>-1.0999999999999999E-2</v>
      </c>
      <c r="E77" s="91">
        <f>VLOOKUP($A77,'Data Vlaue (Cr)'!$C:$FB,75)</f>
        <v>4437</v>
      </c>
      <c r="F77" s="91">
        <f>VLOOKUP($A77,'Data Vlaue (Cr)'!$C:$FB,77)</f>
        <v>-20</v>
      </c>
      <c r="G77" s="92">
        <f>VLOOKUP(A77,'Data Vlaue (Cr)'!C72:CB285,78,0)</f>
        <v>-4.4999999999999997E-3</v>
      </c>
      <c r="H77" s="91">
        <f>VLOOKUP($A77,'Data Vlaue (Cr)'!$C:$FB,91)</f>
        <v>3764</v>
      </c>
      <c r="I77" s="91">
        <f>VLOOKUP($A77,'Data Vlaue (Cr)'!$C:$FB,93)</f>
        <v>-132</v>
      </c>
      <c r="J77" s="92">
        <f>VLOOKUP($A77,'Data Vlaue (Cr)'!$C:$FB,94)</f>
        <v>-3.4000000000000002E-2</v>
      </c>
      <c r="K77" s="91">
        <f>VLOOKUP($A77,'Data Vlaue (Cr)'!$C:$FB,95)</f>
        <v>1963</v>
      </c>
      <c r="L77" s="91">
        <f>VLOOKUP($A77,'Data Vlaue (Cr)'!$C:$FB,97)</f>
        <v>39</v>
      </c>
      <c r="M77" s="92">
        <f>VLOOKUP($A77,'Data Vlaue (Cr)'!$C:$FB,98)</f>
        <v>2.0400000000000001E-2</v>
      </c>
      <c r="N77" s="91">
        <f>VLOOKUP($A77,'Data Vlaue (Cr)'!$C:$FB,79)</f>
        <v>3879</v>
      </c>
      <c r="O77" s="92">
        <f>VLOOKUP($A77,'Data Vlaue (Cr)'!$C:$FB,82)</f>
        <v>-1.5900000000000001E-2</v>
      </c>
    </row>
    <row r="78" spans="1:15" x14ac:dyDescent="0.25">
      <c r="A78" s="97" t="str">
        <f>'Data Vlaue (Cr)'!C73</f>
        <v>HAVELLS</v>
      </c>
      <c r="B78" s="142">
        <f>VLOOKUP(A78,'Data Vlaue (Cr)'!C73:CW286,99,0)</f>
        <v>1836</v>
      </c>
      <c r="C78" s="90">
        <f>VLOOKUP(A78,'Data Vlaue (Cr)'!C73:CY286,101,0)</f>
        <v>-26</v>
      </c>
      <c r="D78" s="139">
        <f>VLOOKUP(A78,'Data Vlaue (Cr)'!C73:CZ286,102,0)</f>
        <v>-1.41E-2</v>
      </c>
      <c r="E78" s="91">
        <f>VLOOKUP($A78,'Data Vlaue (Cr)'!$C:$FB,75)</f>
        <v>1171</v>
      </c>
      <c r="F78" s="91">
        <f>VLOOKUP($A78,'Data Vlaue (Cr)'!$C:$FB,77)</f>
        <v>-28</v>
      </c>
      <c r="G78" s="92">
        <f>VLOOKUP(A78,'Data Vlaue (Cr)'!C73:CB286,78,0)</f>
        <v>-2.3300000000000001E-2</v>
      </c>
      <c r="H78" s="91">
        <f>VLOOKUP($A78,'Data Vlaue (Cr)'!$C:$FB,91)</f>
        <v>366</v>
      </c>
      <c r="I78" s="91">
        <f>VLOOKUP($A78,'Data Vlaue (Cr)'!$C:$FB,93)</f>
        <v>-11</v>
      </c>
      <c r="J78" s="92">
        <f>VLOOKUP($A78,'Data Vlaue (Cr)'!$C:$FB,94)</f>
        <v>-2.9100000000000001E-2</v>
      </c>
      <c r="K78" s="91">
        <f>VLOOKUP($A78,'Data Vlaue (Cr)'!$C:$FB,95)</f>
        <v>299</v>
      </c>
      <c r="L78" s="91">
        <f>VLOOKUP($A78,'Data Vlaue (Cr)'!$C:$FB,97)</f>
        <v>13</v>
      </c>
      <c r="M78" s="92">
        <f>VLOOKUP($A78,'Data Vlaue (Cr)'!$C:$FB,98)</f>
        <v>4.4299999999999999E-2</v>
      </c>
      <c r="N78" s="91">
        <f>VLOOKUP($A78,'Data Vlaue (Cr)'!$C:$FB,79)</f>
        <v>1102</v>
      </c>
      <c r="O78" s="92">
        <f>VLOOKUP($A78,'Data Vlaue (Cr)'!$C:$FB,82)</f>
        <v>-2.4E-2</v>
      </c>
    </row>
    <row r="79" spans="1:15" x14ac:dyDescent="0.25">
      <c r="A79" s="97" t="str">
        <f>'Data Vlaue (Cr)'!C74</f>
        <v>HCLTECH</v>
      </c>
      <c r="B79" s="142">
        <f>VLOOKUP(A79,'Data Vlaue (Cr)'!C74:CW287,99,0)</f>
        <v>4836</v>
      </c>
      <c r="C79" s="90">
        <f>VLOOKUP(A79,'Data Vlaue (Cr)'!C74:CY287,101,0)</f>
        <v>65</v>
      </c>
      <c r="D79" s="139">
        <f>VLOOKUP(A79,'Data Vlaue (Cr)'!C74:CZ287,102,0)</f>
        <v>1.37E-2</v>
      </c>
      <c r="E79" s="91">
        <f>VLOOKUP($A79,'Data Vlaue (Cr)'!$C:$FB,75)</f>
        <v>2858</v>
      </c>
      <c r="F79" s="91">
        <f>VLOOKUP($A79,'Data Vlaue (Cr)'!$C:$FB,77)</f>
        <v>18</v>
      </c>
      <c r="G79" s="92">
        <f>VLOOKUP(A79,'Data Vlaue (Cr)'!C74:CB287,78,0)</f>
        <v>6.3E-3</v>
      </c>
      <c r="H79" s="91">
        <f>VLOOKUP($A79,'Data Vlaue (Cr)'!$C:$FB,91)</f>
        <v>1247</v>
      </c>
      <c r="I79" s="91">
        <f>VLOOKUP($A79,'Data Vlaue (Cr)'!$C:$FB,93)</f>
        <v>18</v>
      </c>
      <c r="J79" s="92">
        <f>VLOOKUP($A79,'Data Vlaue (Cr)'!$C:$FB,94)</f>
        <v>1.47E-2</v>
      </c>
      <c r="K79" s="91">
        <f>VLOOKUP($A79,'Data Vlaue (Cr)'!$C:$FB,95)</f>
        <v>731</v>
      </c>
      <c r="L79" s="91">
        <f>VLOOKUP($A79,'Data Vlaue (Cr)'!$C:$FB,97)</f>
        <v>29</v>
      </c>
      <c r="M79" s="92">
        <f>VLOOKUP($A79,'Data Vlaue (Cr)'!$C:$FB,98)</f>
        <v>4.1799999999999997E-2</v>
      </c>
      <c r="N79" s="91">
        <f>VLOOKUP($A79,'Data Vlaue (Cr)'!$C:$FB,79)</f>
        <v>2617</v>
      </c>
      <c r="O79" s="92">
        <f>VLOOKUP($A79,'Data Vlaue (Cr)'!$C:$FB,82)</f>
        <v>-9.5999999999999992E-3</v>
      </c>
    </row>
    <row r="80" spans="1:15" x14ac:dyDescent="0.25">
      <c r="A80" s="97" t="str">
        <f>'Data Vlaue (Cr)'!C75</f>
        <v>HDFCAMC</v>
      </c>
      <c r="B80" s="142">
        <f>VLOOKUP(A80,'Data Vlaue (Cr)'!C75:CW288,99,0)</f>
        <v>3557</v>
      </c>
      <c r="C80" s="90">
        <f>VLOOKUP(A80,'Data Vlaue (Cr)'!C75:CY288,101,0)</f>
        <v>1109</v>
      </c>
      <c r="D80" s="139">
        <f>VLOOKUP(A80,'Data Vlaue (Cr)'!C75:CZ288,102,0)</f>
        <v>0.45319999999999999</v>
      </c>
      <c r="E80" s="91">
        <f>VLOOKUP($A80,'Data Vlaue (Cr)'!$C:$FB,75)</f>
        <v>1557</v>
      </c>
      <c r="F80" s="91">
        <f>VLOOKUP($A80,'Data Vlaue (Cr)'!$C:$FB,77)</f>
        <v>197</v>
      </c>
      <c r="G80" s="92">
        <f>VLOOKUP(A80,'Data Vlaue (Cr)'!C75:CB288,78,0)</f>
        <v>0.1452</v>
      </c>
      <c r="H80" s="91">
        <f>VLOOKUP($A80,'Data Vlaue (Cr)'!$C:$FB,91)</f>
        <v>1024</v>
      </c>
      <c r="I80" s="91">
        <f>VLOOKUP($A80,'Data Vlaue (Cr)'!$C:$FB,93)</f>
        <v>413</v>
      </c>
      <c r="J80" s="92">
        <f>VLOOKUP($A80,'Data Vlaue (Cr)'!$C:$FB,94)</f>
        <v>0.67549999999999999</v>
      </c>
      <c r="K80" s="91">
        <f>VLOOKUP($A80,'Data Vlaue (Cr)'!$C:$FB,95)</f>
        <v>976</v>
      </c>
      <c r="L80" s="91">
        <f>VLOOKUP($A80,'Data Vlaue (Cr)'!$C:$FB,97)</f>
        <v>499</v>
      </c>
      <c r="M80" s="92">
        <f>VLOOKUP($A80,'Data Vlaue (Cr)'!$C:$FB,98)</f>
        <v>1.0466</v>
      </c>
      <c r="N80" s="91">
        <f>VLOOKUP($A80,'Data Vlaue (Cr)'!$C:$FB,79)</f>
        <v>1348</v>
      </c>
      <c r="O80" s="92">
        <f>VLOOKUP($A80,'Data Vlaue (Cr)'!$C:$FB,82)</f>
        <v>0.1206</v>
      </c>
    </row>
    <row r="81" spans="1:15" x14ac:dyDescent="0.25">
      <c r="A81" s="97" t="str">
        <f>'Data Vlaue (Cr)'!C76</f>
        <v>HDFCBANK</v>
      </c>
      <c r="B81" s="142">
        <f>VLOOKUP(A81,'Data Vlaue (Cr)'!C76:CW289,99,0)</f>
        <v>29400</v>
      </c>
      <c r="C81" s="90">
        <f>VLOOKUP(A81,'Data Vlaue (Cr)'!C76:CY289,101,0)</f>
        <v>640</v>
      </c>
      <c r="D81" s="139">
        <f>VLOOKUP(A81,'Data Vlaue (Cr)'!C76:CZ289,102,0)</f>
        <v>2.23E-2</v>
      </c>
      <c r="E81" s="91">
        <f>VLOOKUP($A81,'Data Vlaue (Cr)'!$C:$FB,75)</f>
        <v>22106</v>
      </c>
      <c r="F81" s="91">
        <f>VLOOKUP($A81,'Data Vlaue (Cr)'!$C:$FB,77)</f>
        <v>338</v>
      </c>
      <c r="G81" s="92">
        <f>VLOOKUP(A81,'Data Vlaue (Cr)'!C76:CB289,78,0)</f>
        <v>1.55E-2</v>
      </c>
      <c r="H81" s="91">
        <f>VLOOKUP($A81,'Data Vlaue (Cr)'!$C:$FB,91)</f>
        <v>4513</v>
      </c>
      <c r="I81" s="91">
        <f>VLOOKUP($A81,'Data Vlaue (Cr)'!$C:$FB,93)</f>
        <v>251</v>
      </c>
      <c r="J81" s="92">
        <f>VLOOKUP($A81,'Data Vlaue (Cr)'!$C:$FB,94)</f>
        <v>5.8900000000000001E-2</v>
      </c>
      <c r="K81" s="91">
        <f>VLOOKUP($A81,'Data Vlaue (Cr)'!$C:$FB,95)</f>
        <v>2781</v>
      </c>
      <c r="L81" s="91">
        <f>VLOOKUP($A81,'Data Vlaue (Cr)'!$C:$FB,97)</f>
        <v>51</v>
      </c>
      <c r="M81" s="92">
        <f>VLOOKUP($A81,'Data Vlaue (Cr)'!$C:$FB,98)</f>
        <v>1.8800000000000001E-2</v>
      </c>
      <c r="N81" s="91">
        <f>VLOOKUP($A81,'Data Vlaue (Cr)'!$C:$FB,79)</f>
        <v>17242</v>
      </c>
      <c r="O81" s="92">
        <f>VLOOKUP($A81,'Data Vlaue (Cr)'!$C:$FB,82)</f>
        <v>-5.11E-2</v>
      </c>
    </row>
    <row r="82" spans="1:15" x14ac:dyDescent="0.25">
      <c r="A82" s="97" t="str">
        <f>'Data Vlaue (Cr)'!C77</f>
        <v>HDFCLIFE</v>
      </c>
      <c r="B82" s="142">
        <f>VLOOKUP(A82,'Data Vlaue (Cr)'!C77:CW290,99,0)</f>
        <v>4478</v>
      </c>
      <c r="C82" s="90">
        <f>VLOOKUP(A82,'Data Vlaue (Cr)'!C77:CY290,101,0)</f>
        <v>-52</v>
      </c>
      <c r="D82" s="139">
        <f>VLOOKUP(A82,'Data Vlaue (Cr)'!C77:CZ290,102,0)</f>
        <v>-1.15E-2</v>
      </c>
      <c r="E82" s="91">
        <f>VLOOKUP($A82,'Data Vlaue (Cr)'!$C:$FB,75)</f>
        <v>2411</v>
      </c>
      <c r="F82" s="91">
        <f>VLOOKUP($A82,'Data Vlaue (Cr)'!$C:$FB,77)</f>
        <v>27</v>
      </c>
      <c r="G82" s="92">
        <f>VLOOKUP(A82,'Data Vlaue (Cr)'!C77:CB290,78,0)</f>
        <v>1.1299999999999999E-2</v>
      </c>
      <c r="H82" s="91">
        <f>VLOOKUP($A82,'Data Vlaue (Cr)'!$C:$FB,91)</f>
        <v>1419</v>
      </c>
      <c r="I82" s="91">
        <f>VLOOKUP($A82,'Data Vlaue (Cr)'!$C:$FB,93)</f>
        <v>-79</v>
      </c>
      <c r="J82" s="92">
        <f>VLOOKUP($A82,'Data Vlaue (Cr)'!$C:$FB,94)</f>
        <v>-5.2499999999999998E-2</v>
      </c>
      <c r="K82" s="91">
        <f>VLOOKUP($A82,'Data Vlaue (Cr)'!$C:$FB,95)</f>
        <v>647</v>
      </c>
      <c r="L82" s="91">
        <f>VLOOKUP($A82,'Data Vlaue (Cr)'!$C:$FB,97)</f>
        <v>0</v>
      </c>
      <c r="M82" s="92">
        <f>VLOOKUP($A82,'Data Vlaue (Cr)'!$C:$FB,98)</f>
        <v>-5.9999999999999995E-4</v>
      </c>
      <c r="N82" s="91">
        <f>VLOOKUP($A82,'Data Vlaue (Cr)'!$C:$FB,79)</f>
        <v>2184</v>
      </c>
      <c r="O82" s="92">
        <f>VLOOKUP($A82,'Data Vlaue (Cr)'!$C:$FB,82)</f>
        <v>-3.2000000000000002E-3</v>
      </c>
    </row>
    <row r="83" spans="1:15" x14ac:dyDescent="0.25">
      <c r="A83" s="97" t="str">
        <f>'Data Vlaue (Cr)'!C78</f>
        <v>HEROMOTOCO</v>
      </c>
      <c r="B83" s="142">
        <f>VLOOKUP(A83,'Data Vlaue (Cr)'!C78:CW291,99,0)</f>
        <v>7749</v>
      </c>
      <c r="C83" s="90">
        <f>VLOOKUP(A83,'Data Vlaue (Cr)'!C78:CY291,101,0)</f>
        <v>972</v>
      </c>
      <c r="D83" s="139">
        <f>VLOOKUP(A83,'Data Vlaue (Cr)'!C78:CZ291,102,0)</f>
        <v>0.1434</v>
      </c>
      <c r="E83" s="91">
        <f>VLOOKUP($A83,'Data Vlaue (Cr)'!$C:$FB,75)</f>
        <v>3510</v>
      </c>
      <c r="F83" s="91">
        <f>VLOOKUP($A83,'Data Vlaue (Cr)'!$C:$FB,77)</f>
        <v>3</v>
      </c>
      <c r="G83" s="92">
        <f>VLOOKUP(A83,'Data Vlaue (Cr)'!C78:CB291,78,0)</f>
        <v>8.0000000000000004E-4</v>
      </c>
      <c r="H83" s="91">
        <f>VLOOKUP($A83,'Data Vlaue (Cr)'!$C:$FB,91)</f>
        <v>2963</v>
      </c>
      <c r="I83" s="91">
        <f>VLOOKUP($A83,'Data Vlaue (Cr)'!$C:$FB,93)</f>
        <v>849</v>
      </c>
      <c r="J83" s="92">
        <f>VLOOKUP($A83,'Data Vlaue (Cr)'!$C:$FB,94)</f>
        <v>0.40139999999999998</v>
      </c>
      <c r="K83" s="91">
        <f>VLOOKUP($A83,'Data Vlaue (Cr)'!$C:$FB,95)</f>
        <v>1276</v>
      </c>
      <c r="L83" s="91">
        <f>VLOOKUP($A83,'Data Vlaue (Cr)'!$C:$FB,97)</f>
        <v>120</v>
      </c>
      <c r="M83" s="92">
        <f>VLOOKUP($A83,'Data Vlaue (Cr)'!$C:$FB,98)</f>
        <v>0.1038</v>
      </c>
      <c r="N83" s="91">
        <f>VLOOKUP($A83,'Data Vlaue (Cr)'!$C:$FB,79)</f>
        <v>3329</v>
      </c>
      <c r="O83" s="92">
        <f>VLOOKUP($A83,'Data Vlaue (Cr)'!$C:$FB,82)</f>
        <v>-1.0500000000000001E-2</v>
      </c>
    </row>
    <row r="84" spans="1:15" x14ac:dyDescent="0.25">
      <c r="A84" s="97" t="str">
        <f>'Data Vlaue (Cr)'!C79</f>
        <v>HFCL</v>
      </c>
      <c r="B84" s="142">
        <f>VLOOKUP(A84,'Data Vlaue (Cr)'!C79:CW292,99,0)</f>
        <v>1361</v>
      </c>
      <c r="C84" s="90">
        <f>VLOOKUP(A84,'Data Vlaue (Cr)'!C79:CY292,101,0)</f>
        <v>-19</v>
      </c>
      <c r="D84" s="139">
        <f>VLOOKUP(A84,'Data Vlaue (Cr)'!C79:CZ292,102,0)</f>
        <v>-1.3599999999999999E-2</v>
      </c>
      <c r="E84" s="91">
        <f>VLOOKUP($A84,'Data Vlaue (Cr)'!$C:$FB,75)</f>
        <v>671</v>
      </c>
      <c r="F84" s="91">
        <f>VLOOKUP($A84,'Data Vlaue (Cr)'!$C:$FB,77)</f>
        <v>-7</v>
      </c>
      <c r="G84" s="92">
        <f>VLOOKUP(A84,'Data Vlaue (Cr)'!C79:CB292,78,0)</f>
        <v>-0.01</v>
      </c>
      <c r="H84" s="91">
        <f>VLOOKUP($A84,'Data Vlaue (Cr)'!$C:$FB,91)</f>
        <v>483</v>
      </c>
      <c r="I84" s="91">
        <f>VLOOKUP($A84,'Data Vlaue (Cr)'!$C:$FB,93)</f>
        <v>-13</v>
      </c>
      <c r="J84" s="92">
        <f>VLOOKUP($A84,'Data Vlaue (Cr)'!$C:$FB,94)</f>
        <v>-2.6499999999999999E-2</v>
      </c>
      <c r="K84" s="91">
        <f>VLOOKUP($A84,'Data Vlaue (Cr)'!$C:$FB,95)</f>
        <v>207</v>
      </c>
      <c r="L84" s="91">
        <f>VLOOKUP($A84,'Data Vlaue (Cr)'!$C:$FB,97)</f>
        <v>1</v>
      </c>
      <c r="M84" s="92">
        <f>VLOOKUP($A84,'Data Vlaue (Cr)'!$C:$FB,98)</f>
        <v>5.3E-3</v>
      </c>
      <c r="N84" s="91">
        <f>VLOOKUP($A84,'Data Vlaue (Cr)'!$C:$FB,79)</f>
        <v>671</v>
      </c>
      <c r="O84" s="92">
        <f>VLOOKUP($A84,'Data Vlaue (Cr)'!$C:$FB,82)</f>
        <v>-0.01</v>
      </c>
    </row>
    <row r="85" spans="1:15" x14ac:dyDescent="0.25">
      <c r="A85" s="97" t="str">
        <f>'Data Vlaue (Cr)'!C80</f>
        <v>HINDALCO</v>
      </c>
      <c r="B85" s="142">
        <f>VLOOKUP(A85,'Data Vlaue (Cr)'!C80:CW293,99,0)</f>
        <v>9100</v>
      </c>
      <c r="C85" s="90">
        <f>VLOOKUP(A85,'Data Vlaue (Cr)'!C80:CY293,101,0)</f>
        <v>78</v>
      </c>
      <c r="D85" s="139">
        <f>VLOOKUP(A85,'Data Vlaue (Cr)'!C80:CZ293,102,0)</f>
        <v>8.6E-3</v>
      </c>
      <c r="E85" s="91">
        <f>VLOOKUP($A85,'Data Vlaue (Cr)'!$C:$FB,75)</f>
        <v>6762</v>
      </c>
      <c r="F85" s="91">
        <f>VLOOKUP($A85,'Data Vlaue (Cr)'!$C:$FB,77)</f>
        <v>61</v>
      </c>
      <c r="G85" s="92">
        <f>VLOOKUP(A85,'Data Vlaue (Cr)'!C80:CB293,78,0)</f>
        <v>9.1999999999999998E-3</v>
      </c>
      <c r="H85" s="91">
        <f>VLOOKUP($A85,'Data Vlaue (Cr)'!$C:$FB,91)</f>
        <v>1319</v>
      </c>
      <c r="I85" s="91">
        <f>VLOOKUP($A85,'Data Vlaue (Cr)'!$C:$FB,93)</f>
        <v>-19</v>
      </c>
      <c r="J85" s="92">
        <f>VLOOKUP($A85,'Data Vlaue (Cr)'!$C:$FB,94)</f>
        <v>-1.4200000000000001E-2</v>
      </c>
      <c r="K85" s="91">
        <f>VLOOKUP($A85,'Data Vlaue (Cr)'!$C:$FB,95)</f>
        <v>1020</v>
      </c>
      <c r="L85" s="91">
        <f>VLOOKUP($A85,'Data Vlaue (Cr)'!$C:$FB,97)</f>
        <v>35</v>
      </c>
      <c r="M85" s="92">
        <f>VLOOKUP($A85,'Data Vlaue (Cr)'!$C:$FB,98)</f>
        <v>3.5799999999999998E-2</v>
      </c>
      <c r="N85" s="91">
        <f>VLOOKUP($A85,'Data Vlaue (Cr)'!$C:$FB,79)</f>
        <v>5964</v>
      </c>
      <c r="O85" s="92">
        <f>VLOOKUP($A85,'Data Vlaue (Cr)'!$C:$FB,82)</f>
        <v>-7.0999999999999994E-2</v>
      </c>
    </row>
    <row r="86" spans="1:15" x14ac:dyDescent="0.25">
      <c r="A86" s="97" t="str">
        <f>'Data Vlaue (Cr)'!C81</f>
        <v>HINDPETRO</v>
      </c>
      <c r="B86" s="142">
        <f>VLOOKUP(A86,'Data Vlaue (Cr)'!C81:CW294,99,0)</f>
        <v>2897</v>
      </c>
      <c r="C86" s="90">
        <f>VLOOKUP(A86,'Data Vlaue (Cr)'!C81:CY294,101,0)</f>
        <v>7</v>
      </c>
      <c r="D86" s="139">
        <f>VLOOKUP(A86,'Data Vlaue (Cr)'!C81:CZ294,102,0)</f>
        <v>2.3E-3</v>
      </c>
      <c r="E86" s="91">
        <f>VLOOKUP($A86,'Data Vlaue (Cr)'!$C:$FB,75)</f>
        <v>1787</v>
      </c>
      <c r="F86" s="91">
        <f>VLOOKUP($A86,'Data Vlaue (Cr)'!$C:$FB,77)</f>
        <v>8</v>
      </c>
      <c r="G86" s="92">
        <f>VLOOKUP(A86,'Data Vlaue (Cr)'!C81:CB294,78,0)</f>
        <v>4.4999999999999997E-3</v>
      </c>
      <c r="H86" s="91">
        <f>VLOOKUP($A86,'Data Vlaue (Cr)'!$C:$FB,91)</f>
        <v>697</v>
      </c>
      <c r="I86" s="91">
        <f>VLOOKUP($A86,'Data Vlaue (Cr)'!$C:$FB,93)</f>
        <v>-9</v>
      </c>
      <c r="J86" s="92">
        <f>VLOOKUP($A86,'Data Vlaue (Cr)'!$C:$FB,94)</f>
        <v>-1.29E-2</v>
      </c>
      <c r="K86" s="91">
        <f>VLOOKUP($A86,'Data Vlaue (Cr)'!$C:$FB,95)</f>
        <v>414</v>
      </c>
      <c r="L86" s="91">
        <f>VLOOKUP($A86,'Data Vlaue (Cr)'!$C:$FB,97)</f>
        <v>8</v>
      </c>
      <c r="M86" s="92">
        <f>VLOOKUP($A86,'Data Vlaue (Cr)'!$C:$FB,98)</f>
        <v>1.9E-2</v>
      </c>
      <c r="N86" s="91">
        <f>VLOOKUP($A86,'Data Vlaue (Cr)'!$C:$FB,79)</f>
        <v>1696</v>
      </c>
      <c r="O86" s="92">
        <f>VLOOKUP($A86,'Data Vlaue (Cr)'!$C:$FB,82)</f>
        <v>-6.4000000000000003E-3</v>
      </c>
    </row>
    <row r="87" spans="1:15" x14ac:dyDescent="0.25">
      <c r="A87" s="97" t="str">
        <f>'Data Vlaue (Cr)'!C82</f>
        <v>HINDUNILVR</v>
      </c>
      <c r="B87" s="142">
        <f>VLOOKUP(A87,'Data Vlaue (Cr)'!C82:CW295,99,0)</f>
        <v>4975</v>
      </c>
      <c r="C87" s="90">
        <f>VLOOKUP(A87,'Data Vlaue (Cr)'!C82:CY295,101,0)</f>
        <v>216</v>
      </c>
      <c r="D87" s="139">
        <f>VLOOKUP(A87,'Data Vlaue (Cr)'!C82:CZ295,102,0)</f>
        <v>4.5400000000000003E-2</v>
      </c>
      <c r="E87" s="91">
        <f>VLOOKUP($A87,'Data Vlaue (Cr)'!$C:$FB,75)</f>
        <v>2654</v>
      </c>
      <c r="F87" s="91">
        <f>VLOOKUP($A87,'Data Vlaue (Cr)'!$C:$FB,77)</f>
        <v>170</v>
      </c>
      <c r="G87" s="92">
        <f>VLOOKUP(A87,'Data Vlaue (Cr)'!C82:CB295,78,0)</f>
        <v>6.83E-2</v>
      </c>
      <c r="H87" s="91">
        <f>VLOOKUP($A87,'Data Vlaue (Cr)'!$C:$FB,91)</f>
        <v>1536</v>
      </c>
      <c r="I87" s="91">
        <f>VLOOKUP($A87,'Data Vlaue (Cr)'!$C:$FB,93)</f>
        <v>37</v>
      </c>
      <c r="J87" s="92">
        <f>VLOOKUP($A87,'Data Vlaue (Cr)'!$C:$FB,94)</f>
        <v>2.4500000000000001E-2</v>
      </c>
      <c r="K87" s="91">
        <f>VLOOKUP($A87,'Data Vlaue (Cr)'!$C:$FB,95)</f>
        <v>785</v>
      </c>
      <c r="L87" s="91">
        <f>VLOOKUP($A87,'Data Vlaue (Cr)'!$C:$FB,97)</f>
        <v>10</v>
      </c>
      <c r="M87" s="92">
        <f>VLOOKUP($A87,'Data Vlaue (Cr)'!$C:$FB,98)</f>
        <v>1.24E-2</v>
      </c>
      <c r="N87" s="91">
        <f>VLOOKUP($A87,'Data Vlaue (Cr)'!$C:$FB,79)</f>
        <v>2187</v>
      </c>
      <c r="O87" s="92">
        <f>VLOOKUP($A87,'Data Vlaue (Cr)'!$C:$FB,82)</f>
        <v>4.9000000000000002E-2</v>
      </c>
    </row>
    <row r="88" spans="1:15" x14ac:dyDescent="0.25">
      <c r="A88" s="97" t="str">
        <f>'Data Vlaue (Cr)'!C83</f>
        <v>HINDZINC</v>
      </c>
      <c r="B88" s="142">
        <f>VLOOKUP(A88,'Data Vlaue (Cr)'!C83:CW296,99,0)</f>
        <v>7359</v>
      </c>
      <c r="C88" s="90">
        <f>VLOOKUP(A88,'Data Vlaue (Cr)'!C83:CY296,101,0)</f>
        <v>96</v>
      </c>
      <c r="D88" s="139">
        <f>VLOOKUP(A88,'Data Vlaue (Cr)'!C83:CZ296,102,0)</f>
        <v>1.32E-2</v>
      </c>
      <c r="E88" s="91">
        <f>VLOOKUP($A88,'Data Vlaue (Cr)'!$C:$FB,75)</f>
        <v>2156</v>
      </c>
      <c r="F88" s="91">
        <f>VLOOKUP($A88,'Data Vlaue (Cr)'!$C:$FB,77)</f>
        <v>13</v>
      </c>
      <c r="G88" s="92">
        <f>VLOOKUP(A88,'Data Vlaue (Cr)'!C83:CB296,78,0)</f>
        <v>6.1000000000000004E-3</v>
      </c>
      <c r="H88" s="91">
        <f>VLOOKUP($A88,'Data Vlaue (Cr)'!$C:$FB,91)</f>
        <v>3025</v>
      </c>
      <c r="I88" s="91">
        <f>VLOOKUP($A88,'Data Vlaue (Cr)'!$C:$FB,93)</f>
        <v>-52</v>
      </c>
      <c r="J88" s="92">
        <f>VLOOKUP($A88,'Data Vlaue (Cr)'!$C:$FB,94)</f>
        <v>-1.67E-2</v>
      </c>
      <c r="K88" s="91">
        <f>VLOOKUP($A88,'Data Vlaue (Cr)'!$C:$FB,95)</f>
        <v>2178</v>
      </c>
      <c r="L88" s="91">
        <f>VLOOKUP($A88,'Data Vlaue (Cr)'!$C:$FB,97)</f>
        <v>134</v>
      </c>
      <c r="M88" s="92">
        <f>VLOOKUP($A88,'Data Vlaue (Cr)'!$C:$FB,98)</f>
        <v>6.5699999999999995E-2</v>
      </c>
      <c r="N88" s="91">
        <f>VLOOKUP($A88,'Data Vlaue (Cr)'!$C:$FB,79)</f>
        <v>1829</v>
      </c>
      <c r="O88" s="92">
        <f>VLOOKUP($A88,'Data Vlaue (Cr)'!$C:$FB,82)</f>
        <v>-3.0200000000000001E-2</v>
      </c>
    </row>
    <row r="89" spans="1:15" x14ac:dyDescent="0.25">
      <c r="A89" s="97" t="str">
        <f>'Data Vlaue (Cr)'!C84</f>
        <v>HUDCO</v>
      </c>
      <c r="B89" s="142">
        <f>VLOOKUP(A89,'Data Vlaue (Cr)'!C84:CW297,99,0)</f>
        <v>1978</v>
      </c>
      <c r="C89" s="90">
        <f>VLOOKUP(A89,'Data Vlaue (Cr)'!C84:CY297,101,0)</f>
        <v>14</v>
      </c>
      <c r="D89" s="139">
        <f>VLOOKUP(A89,'Data Vlaue (Cr)'!C84:CZ297,102,0)</f>
        <v>7.1999999999999998E-3</v>
      </c>
      <c r="E89" s="91">
        <f>VLOOKUP($A89,'Data Vlaue (Cr)'!$C:$FB,75)</f>
        <v>711</v>
      </c>
      <c r="F89" s="91">
        <f>VLOOKUP($A89,'Data Vlaue (Cr)'!$C:$FB,77)</f>
        <v>-12</v>
      </c>
      <c r="G89" s="92">
        <f>VLOOKUP(A89,'Data Vlaue (Cr)'!C84:CB297,78,0)</f>
        <v>-1.6799999999999999E-2</v>
      </c>
      <c r="H89" s="91">
        <f>VLOOKUP($A89,'Data Vlaue (Cr)'!$C:$FB,91)</f>
        <v>877</v>
      </c>
      <c r="I89" s="91">
        <f>VLOOKUP($A89,'Data Vlaue (Cr)'!$C:$FB,93)</f>
        <v>15</v>
      </c>
      <c r="J89" s="92">
        <f>VLOOKUP($A89,'Data Vlaue (Cr)'!$C:$FB,94)</f>
        <v>1.7600000000000001E-2</v>
      </c>
      <c r="K89" s="91">
        <f>VLOOKUP($A89,'Data Vlaue (Cr)'!$C:$FB,95)</f>
        <v>389</v>
      </c>
      <c r="L89" s="91">
        <f>VLOOKUP($A89,'Data Vlaue (Cr)'!$C:$FB,97)</f>
        <v>11</v>
      </c>
      <c r="M89" s="92">
        <f>VLOOKUP($A89,'Data Vlaue (Cr)'!$C:$FB,98)</f>
        <v>2.9700000000000001E-2</v>
      </c>
      <c r="N89" s="91">
        <f>VLOOKUP($A89,'Data Vlaue (Cr)'!$C:$FB,79)</f>
        <v>637</v>
      </c>
      <c r="O89" s="92">
        <f>VLOOKUP($A89,'Data Vlaue (Cr)'!$C:$FB,82)</f>
        <v>-3.1800000000000002E-2</v>
      </c>
    </row>
    <row r="90" spans="1:15" x14ac:dyDescent="0.25">
      <c r="A90" s="97" t="str">
        <f>'Data Vlaue (Cr)'!C85</f>
        <v>ICICIBANK</v>
      </c>
      <c r="B90" s="142">
        <f>VLOOKUP(A90,'Data Vlaue (Cr)'!C85:CW298,99,0)</f>
        <v>25275</v>
      </c>
      <c r="C90" s="90">
        <f>VLOOKUP(A90,'Data Vlaue (Cr)'!C85:CY298,101,0)</f>
        <v>-152</v>
      </c>
      <c r="D90" s="139">
        <f>VLOOKUP(A90,'Data Vlaue (Cr)'!C85:CZ298,102,0)</f>
        <v>-6.0000000000000001E-3</v>
      </c>
      <c r="E90" s="91">
        <f>VLOOKUP($A90,'Data Vlaue (Cr)'!$C:$FB,75)</f>
        <v>16478</v>
      </c>
      <c r="F90" s="91">
        <f>VLOOKUP($A90,'Data Vlaue (Cr)'!$C:$FB,77)</f>
        <v>124</v>
      </c>
      <c r="G90" s="92">
        <f>VLOOKUP(A90,'Data Vlaue (Cr)'!C85:CB298,78,0)</f>
        <v>7.6E-3</v>
      </c>
      <c r="H90" s="91">
        <f>VLOOKUP($A90,'Data Vlaue (Cr)'!$C:$FB,91)</f>
        <v>5461</v>
      </c>
      <c r="I90" s="91">
        <f>VLOOKUP($A90,'Data Vlaue (Cr)'!$C:$FB,93)</f>
        <v>-220</v>
      </c>
      <c r="J90" s="92">
        <f>VLOOKUP($A90,'Data Vlaue (Cr)'!$C:$FB,94)</f>
        <v>-3.8800000000000001E-2</v>
      </c>
      <c r="K90" s="91">
        <f>VLOOKUP($A90,'Data Vlaue (Cr)'!$C:$FB,95)</f>
        <v>3336</v>
      </c>
      <c r="L90" s="91">
        <f>VLOOKUP($A90,'Data Vlaue (Cr)'!$C:$FB,97)</f>
        <v>-55</v>
      </c>
      <c r="M90" s="92">
        <f>VLOOKUP($A90,'Data Vlaue (Cr)'!$C:$FB,98)</f>
        <v>-1.6199999999999999E-2</v>
      </c>
      <c r="N90" s="91">
        <f>VLOOKUP($A90,'Data Vlaue (Cr)'!$C:$FB,79)</f>
        <v>12590</v>
      </c>
      <c r="O90" s="92">
        <f>VLOOKUP($A90,'Data Vlaue (Cr)'!$C:$FB,82)</f>
        <v>-8.3000000000000004E-2</v>
      </c>
    </row>
    <row r="91" spans="1:15" x14ac:dyDescent="0.25">
      <c r="A91" s="97" t="str">
        <f>'Data Vlaue (Cr)'!C86</f>
        <v>ICICIGI</v>
      </c>
      <c r="B91" s="142">
        <f>VLOOKUP(A91,'Data Vlaue (Cr)'!C86:CW299,99,0)</f>
        <v>1705</v>
      </c>
      <c r="C91" s="90">
        <f>VLOOKUP(A91,'Data Vlaue (Cr)'!C86:CY299,101,0)</f>
        <v>-6</v>
      </c>
      <c r="D91" s="139">
        <f>VLOOKUP(A91,'Data Vlaue (Cr)'!C86:CZ299,102,0)</f>
        <v>-3.3E-3</v>
      </c>
      <c r="E91" s="91">
        <f>VLOOKUP($A91,'Data Vlaue (Cr)'!$C:$FB,75)</f>
        <v>1108</v>
      </c>
      <c r="F91" s="91">
        <f>VLOOKUP($A91,'Data Vlaue (Cr)'!$C:$FB,77)</f>
        <v>-9</v>
      </c>
      <c r="G91" s="92">
        <f>VLOOKUP(A91,'Data Vlaue (Cr)'!C86:CB299,78,0)</f>
        <v>-8.2000000000000007E-3</v>
      </c>
      <c r="H91" s="91">
        <f>VLOOKUP($A91,'Data Vlaue (Cr)'!$C:$FB,91)</f>
        <v>387</v>
      </c>
      <c r="I91" s="91">
        <f>VLOOKUP($A91,'Data Vlaue (Cr)'!$C:$FB,93)</f>
        <v>-2</v>
      </c>
      <c r="J91" s="92">
        <f>VLOOKUP($A91,'Data Vlaue (Cr)'!$C:$FB,94)</f>
        <v>-6.0000000000000001E-3</v>
      </c>
      <c r="K91" s="91">
        <f>VLOOKUP($A91,'Data Vlaue (Cr)'!$C:$FB,95)</f>
        <v>210</v>
      </c>
      <c r="L91" s="91">
        <f>VLOOKUP($A91,'Data Vlaue (Cr)'!$C:$FB,97)</f>
        <v>6</v>
      </c>
      <c r="M91" s="92">
        <f>VLOOKUP($A91,'Data Vlaue (Cr)'!$C:$FB,98)</f>
        <v>2.93E-2</v>
      </c>
      <c r="N91" s="91">
        <f>VLOOKUP($A91,'Data Vlaue (Cr)'!$C:$FB,79)</f>
        <v>1071</v>
      </c>
      <c r="O91" s="92">
        <f>VLOOKUP($A91,'Data Vlaue (Cr)'!$C:$FB,82)</f>
        <v>-1.9699999999999999E-2</v>
      </c>
    </row>
    <row r="92" spans="1:15" x14ac:dyDescent="0.25">
      <c r="A92" s="97" t="str">
        <f>'Data Vlaue (Cr)'!C87</f>
        <v>ICICIPRULI</v>
      </c>
      <c r="B92" s="142">
        <f>VLOOKUP(A92,'Data Vlaue (Cr)'!C87:CW300,99,0)</f>
        <v>1528</v>
      </c>
      <c r="C92" s="90">
        <f>VLOOKUP(A92,'Data Vlaue (Cr)'!C87:CY300,101,0)</f>
        <v>24</v>
      </c>
      <c r="D92" s="139">
        <f>VLOOKUP(A92,'Data Vlaue (Cr)'!C87:CZ300,102,0)</f>
        <v>1.5699999999999999E-2</v>
      </c>
      <c r="E92" s="91">
        <f>VLOOKUP($A92,'Data Vlaue (Cr)'!$C:$FB,75)</f>
        <v>1072</v>
      </c>
      <c r="F92" s="91">
        <f>VLOOKUP($A92,'Data Vlaue (Cr)'!$C:$FB,77)</f>
        <v>10</v>
      </c>
      <c r="G92" s="92">
        <f>VLOOKUP(A92,'Data Vlaue (Cr)'!C87:CB300,78,0)</f>
        <v>9.1000000000000004E-3</v>
      </c>
      <c r="H92" s="91">
        <f>VLOOKUP($A92,'Data Vlaue (Cr)'!$C:$FB,91)</f>
        <v>305</v>
      </c>
      <c r="I92" s="91">
        <f>VLOOKUP($A92,'Data Vlaue (Cr)'!$C:$FB,93)</f>
        <v>2</v>
      </c>
      <c r="J92" s="92">
        <f>VLOOKUP($A92,'Data Vlaue (Cr)'!$C:$FB,94)</f>
        <v>5.4999999999999997E-3</v>
      </c>
      <c r="K92" s="91">
        <f>VLOOKUP($A92,'Data Vlaue (Cr)'!$C:$FB,95)</f>
        <v>151</v>
      </c>
      <c r="L92" s="91">
        <f>VLOOKUP($A92,'Data Vlaue (Cr)'!$C:$FB,97)</f>
        <v>12</v>
      </c>
      <c r="M92" s="92">
        <f>VLOOKUP($A92,'Data Vlaue (Cr)'!$C:$FB,98)</f>
        <v>8.8300000000000003E-2</v>
      </c>
      <c r="N92" s="91">
        <f>VLOOKUP($A92,'Data Vlaue (Cr)'!$C:$FB,79)</f>
        <v>1035</v>
      </c>
      <c r="O92" s="92">
        <f>VLOOKUP($A92,'Data Vlaue (Cr)'!$C:$FB,82)</f>
        <v>2E-3</v>
      </c>
    </row>
    <row r="93" spans="1:15" x14ac:dyDescent="0.25">
      <c r="A93" s="97" t="str">
        <f>'Data Vlaue (Cr)'!C88</f>
        <v>IDEA</v>
      </c>
      <c r="B93" s="142">
        <f>VLOOKUP(A93,'Data Vlaue (Cr)'!C88:CW301,99,0)</f>
        <v>12016</v>
      </c>
      <c r="C93" s="90">
        <f>VLOOKUP(A93,'Data Vlaue (Cr)'!C88:CY301,101,0)</f>
        <v>-52</v>
      </c>
      <c r="D93" s="139">
        <f>VLOOKUP(A93,'Data Vlaue (Cr)'!C88:CZ301,102,0)</f>
        <v>-4.3E-3</v>
      </c>
      <c r="E93" s="91">
        <f>VLOOKUP($A93,'Data Vlaue (Cr)'!$C:$FB,75)</f>
        <v>7823</v>
      </c>
      <c r="F93" s="91">
        <f>VLOOKUP($A93,'Data Vlaue (Cr)'!$C:$FB,77)</f>
        <v>-58</v>
      </c>
      <c r="G93" s="92">
        <f>VLOOKUP(A93,'Data Vlaue (Cr)'!C88:CB301,78,0)</f>
        <v>-7.4000000000000003E-3</v>
      </c>
      <c r="H93" s="91">
        <f>VLOOKUP($A93,'Data Vlaue (Cr)'!$C:$FB,91)</f>
        <v>2737</v>
      </c>
      <c r="I93" s="91">
        <f>VLOOKUP($A93,'Data Vlaue (Cr)'!$C:$FB,93)</f>
        <v>78</v>
      </c>
      <c r="J93" s="92">
        <f>VLOOKUP($A93,'Data Vlaue (Cr)'!$C:$FB,94)</f>
        <v>2.93E-2</v>
      </c>
      <c r="K93" s="91">
        <f>VLOOKUP($A93,'Data Vlaue (Cr)'!$C:$FB,95)</f>
        <v>1457</v>
      </c>
      <c r="L93" s="91">
        <f>VLOOKUP($A93,'Data Vlaue (Cr)'!$C:$FB,97)</f>
        <v>-72</v>
      </c>
      <c r="M93" s="92">
        <f>VLOOKUP($A93,'Data Vlaue (Cr)'!$C:$FB,98)</f>
        <v>-4.6899999999999997E-2</v>
      </c>
      <c r="N93" s="91">
        <f>VLOOKUP($A93,'Data Vlaue (Cr)'!$C:$FB,79)</f>
        <v>6682</v>
      </c>
      <c r="O93" s="92">
        <f>VLOOKUP($A93,'Data Vlaue (Cr)'!$C:$FB,82)</f>
        <v>-1.66E-2</v>
      </c>
    </row>
    <row r="94" spans="1:15" x14ac:dyDescent="0.25">
      <c r="A94" s="97" t="str">
        <f>'Data Vlaue (Cr)'!C89</f>
        <v>IDFCFIRSTB</v>
      </c>
      <c r="B94" s="142">
        <f>VLOOKUP(A94,'Data Vlaue (Cr)'!C89:CW302,99,0)</f>
        <v>4923</v>
      </c>
      <c r="C94" s="90">
        <f>VLOOKUP(A94,'Data Vlaue (Cr)'!C89:CY302,101,0)</f>
        <v>52</v>
      </c>
      <c r="D94" s="139">
        <f>VLOOKUP(A94,'Data Vlaue (Cr)'!C89:CZ302,102,0)</f>
        <v>1.0699999999999999E-2</v>
      </c>
      <c r="E94" s="91">
        <f>VLOOKUP($A94,'Data Vlaue (Cr)'!$C:$FB,75)</f>
        <v>3007</v>
      </c>
      <c r="F94" s="91">
        <f>VLOOKUP($A94,'Data Vlaue (Cr)'!$C:$FB,77)</f>
        <v>51</v>
      </c>
      <c r="G94" s="92">
        <f>VLOOKUP(A94,'Data Vlaue (Cr)'!C89:CB302,78,0)</f>
        <v>1.7299999999999999E-2</v>
      </c>
      <c r="H94" s="91">
        <f>VLOOKUP($A94,'Data Vlaue (Cr)'!$C:$FB,91)</f>
        <v>1099</v>
      </c>
      <c r="I94" s="91">
        <f>VLOOKUP($A94,'Data Vlaue (Cr)'!$C:$FB,93)</f>
        <v>-13</v>
      </c>
      <c r="J94" s="92">
        <f>VLOOKUP($A94,'Data Vlaue (Cr)'!$C:$FB,94)</f>
        <v>-1.2E-2</v>
      </c>
      <c r="K94" s="91">
        <f>VLOOKUP($A94,'Data Vlaue (Cr)'!$C:$FB,95)</f>
        <v>817</v>
      </c>
      <c r="L94" s="91">
        <f>VLOOKUP($A94,'Data Vlaue (Cr)'!$C:$FB,97)</f>
        <v>15</v>
      </c>
      <c r="M94" s="92">
        <f>VLOOKUP($A94,'Data Vlaue (Cr)'!$C:$FB,98)</f>
        <v>1.8200000000000001E-2</v>
      </c>
      <c r="N94" s="91">
        <f>VLOOKUP($A94,'Data Vlaue (Cr)'!$C:$FB,79)</f>
        <v>2527</v>
      </c>
      <c r="O94" s="92">
        <f>VLOOKUP($A94,'Data Vlaue (Cr)'!$C:$FB,82)</f>
        <v>-2.5999999999999999E-3</v>
      </c>
    </row>
    <row r="95" spans="1:15" x14ac:dyDescent="0.25">
      <c r="A95" s="97" t="str">
        <f>'Data Vlaue (Cr)'!C90</f>
        <v>IEX</v>
      </c>
      <c r="B95" s="142">
        <f>VLOOKUP(A95,'Data Vlaue (Cr)'!C90:CW303,99,0)</f>
        <v>1931</v>
      </c>
      <c r="C95" s="90">
        <f>VLOOKUP(A95,'Data Vlaue (Cr)'!C90:CY303,101,0)</f>
        <v>6</v>
      </c>
      <c r="D95" s="139">
        <f>VLOOKUP(A95,'Data Vlaue (Cr)'!C90:CZ303,102,0)</f>
        <v>2.8999999999999998E-3</v>
      </c>
      <c r="E95" s="91">
        <f>VLOOKUP($A95,'Data Vlaue (Cr)'!$C:$FB,75)</f>
        <v>808</v>
      </c>
      <c r="F95" s="91">
        <f>VLOOKUP($A95,'Data Vlaue (Cr)'!$C:$FB,77)</f>
        <v>13</v>
      </c>
      <c r="G95" s="92">
        <f>VLOOKUP(A95,'Data Vlaue (Cr)'!C90:CB303,78,0)</f>
        <v>1.61E-2</v>
      </c>
      <c r="H95" s="91">
        <f>VLOOKUP($A95,'Data Vlaue (Cr)'!$C:$FB,91)</f>
        <v>649</v>
      </c>
      <c r="I95" s="91">
        <f>VLOOKUP($A95,'Data Vlaue (Cr)'!$C:$FB,93)</f>
        <v>-6</v>
      </c>
      <c r="J95" s="92">
        <f>VLOOKUP($A95,'Data Vlaue (Cr)'!$C:$FB,94)</f>
        <v>-9.1000000000000004E-3</v>
      </c>
      <c r="K95" s="91">
        <f>VLOOKUP($A95,'Data Vlaue (Cr)'!$C:$FB,95)</f>
        <v>474</v>
      </c>
      <c r="L95" s="91">
        <f>VLOOKUP($A95,'Data Vlaue (Cr)'!$C:$FB,97)</f>
        <v>-1</v>
      </c>
      <c r="M95" s="92">
        <f>VLOOKUP($A95,'Data Vlaue (Cr)'!$C:$FB,98)</f>
        <v>-2.5000000000000001E-3</v>
      </c>
      <c r="N95" s="91">
        <f>VLOOKUP($A95,'Data Vlaue (Cr)'!$C:$FB,79)</f>
        <v>707</v>
      </c>
      <c r="O95" s="92">
        <f>VLOOKUP($A95,'Data Vlaue (Cr)'!$C:$FB,82)</f>
        <v>-6.0000000000000001E-3</v>
      </c>
    </row>
    <row r="96" spans="1:15" x14ac:dyDescent="0.25">
      <c r="A96" s="97" t="str">
        <f>'Data Vlaue (Cr)'!C91</f>
        <v>IIFL</v>
      </c>
      <c r="B96" s="142">
        <f>VLOOKUP(A96,'Data Vlaue (Cr)'!C91:CW304,99,0)</f>
        <v>1347</v>
      </c>
      <c r="C96" s="90">
        <f>VLOOKUP(A96,'Data Vlaue (Cr)'!C91:CY304,101,0)</f>
        <v>-17</v>
      </c>
      <c r="D96" s="139">
        <f>VLOOKUP(A96,'Data Vlaue (Cr)'!C91:CZ304,102,0)</f>
        <v>-1.2200000000000001E-2</v>
      </c>
      <c r="E96" s="91">
        <f>VLOOKUP($A96,'Data Vlaue (Cr)'!$C:$FB,75)</f>
        <v>677</v>
      </c>
      <c r="F96" s="91">
        <f>VLOOKUP($A96,'Data Vlaue (Cr)'!$C:$FB,77)</f>
        <v>-2</v>
      </c>
      <c r="G96" s="92">
        <f>VLOOKUP(A96,'Data Vlaue (Cr)'!C91:CB304,78,0)</f>
        <v>-3.3E-3</v>
      </c>
      <c r="H96" s="91">
        <f>VLOOKUP($A96,'Data Vlaue (Cr)'!$C:$FB,91)</f>
        <v>416</v>
      </c>
      <c r="I96" s="91">
        <f>VLOOKUP($A96,'Data Vlaue (Cr)'!$C:$FB,93)</f>
        <v>-11</v>
      </c>
      <c r="J96" s="92">
        <f>VLOOKUP($A96,'Data Vlaue (Cr)'!$C:$FB,94)</f>
        <v>-2.5000000000000001E-2</v>
      </c>
      <c r="K96" s="91">
        <f>VLOOKUP($A96,'Data Vlaue (Cr)'!$C:$FB,95)</f>
        <v>254</v>
      </c>
      <c r="L96" s="91">
        <f>VLOOKUP($A96,'Data Vlaue (Cr)'!$C:$FB,97)</f>
        <v>-4</v>
      </c>
      <c r="M96" s="92">
        <f>VLOOKUP($A96,'Data Vlaue (Cr)'!$C:$FB,98)</f>
        <v>-1.4800000000000001E-2</v>
      </c>
      <c r="N96" s="91">
        <f>VLOOKUP($A96,'Data Vlaue (Cr)'!$C:$FB,79)</f>
        <v>652</v>
      </c>
      <c r="O96" s="92">
        <f>VLOOKUP($A96,'Data Vlaue (Cr)'!$C:$FB,82)</f>
        <v>-6.4000000000000003E-3</v>
      </c>
    </row>
    <row r="97" spans="1:15" x14ac:dyDescent="0.25">
      <c r="A97" s="97" t="str">
        <f>'Data Vlaue (Cr)'!C92</f>
        <v>INDHOTEL</v>
      </c>
      <c r="B97" s="142">
        <f>VLOOKUP(A97,'Data Vlaue (Cr)'!C92:CW305,99,0)</f>
        <v>3217</v>
      </c>
      <c r="C97" s="90">
        <f>VLOOKUP(A97,'Data Vlaue (Cr)'!C92:CY305,101,0)</f>
        <v>-26</v>
      </c>
      <c r="D97" s="139">
        <f>VLOOKUP(A97,'Data Vlaue (Cr)'!C92:CZ305,102,0)</f>
        <v>-7.9000000000000008E-3</v>
      </c>
      <c r="E97" s="91">
        <f>VLOOKUP($A97,'Data Vlaue (Cr)'!$C:$FB,75)</f>
        <v>1946</v>
      </c>
      <c r="F97" s="91">
        <f>VLOOKUP($A97,'Data Vlaue (Cr)'!$C:$FB,77)</f>
        <v>-26</v>
      </c>
      <c r="G97" s="92">
        <f>VLOOKUP(A97,'Data Vlaue (Cr)'!C92:CB305,78,0)</f>
        <v>-1.2999999999999999E-2</v>
      </c>
      <c r="H97" s="91">
        <f>VLOOKUP($A97,'Data Vlaue (Cr)'!$C:$FB,91)</f>
        <v>772</v>
      </c>
      <c r="I97" s="91">
        <f>VLOOKUP($A97,'Data Vlaue (Cr)'!$C:$FB,93)</f>
        <v>-24</v>
      </c>
      <c r="J97" s="92">
        <f>VLOOKUP($A97,'Data Vlaue (Cr)'!$C:$FB,94)</f>
        <v>-3.0700000000000002E-2</v>
      </c>
      <c r="K97" s="91">
        <f>VLOOKUP($A97,'Data Vlaue (Cr)'!$C:$FB,95)</f>
        <v>500</v>
      </c>
      <c r="L97" s="91">
        <f>VLOOKUP($A97,'Data Vlaue (Cr)'!$C:$FB,97)</f>
        <v>24</v>
      </c>
      <c r="M97" s="92">
        <f>VLOOKUP($A97,'Data Vlaue (Cr)'!$C:$FB,98)</f>
        <v>5.1299999999999998E-2</v>
      </c>
      <c r="N97" s="91">
        <f>VLOOKUP($A97,'Data Vlaue (Cr)'!$C:$FB,79)</f>
        <v>1792</v>
      </c>
      <c r="O97" s="92">
        <f>VLOOKUP($A97,'Data Vlaue (Cr)'!$C:$FB,82)</f>
        <v>-2.3900000000000001E-2</v>
      </c>
    </row>
    <row r="98" spans="1:15" x14ac:dyDescent="0.25">
      <c r="A98" s="97" t="str">
        <f>'Data Vlaue (Cr)'!C93</f>
        <v>INDIANB</v>
      </c>
      <c r="B98" s="142">
        <f>VLOOKUP(A98,'Data Vlaue (Cr)'!C93:CW306,99,0)</f>
        <v>2266</v>
      </c>
      <c r="C98" s="90">
        <f>VLOOKUP(A98,'Data Vlaue (Cr)'!C93:CY306,101,0)</f>
        <v>-19</v>
      </c>
      <c r="D98" s="139">
        <f>VLOOKUP(A98,'Data Vlaue (Cr)'!C93:CZ306,102,0)</f>
        <v>-8.3999999999999995E-3</v>
      </c>
      <c r="E98" s="91">
        <f>VLOOKUP($A98,'Data Vlaue (Cr)'!$C:$FB,75)</f>
        <v>914</v>
      </c>
      <c r="F98" s="91">
        <f>VLOOKUP($A98,'Data Vlaue (Cr)'!$C:$FB,77)</f>
        <v>1</v>
      </c>
      <c r="G98" s="92">
        <f>VLOOKUP(A98,'Data Vlaue (Cr)'!C93:CB306,78,0)</f>
        <v>1.4E-3</v>
      </c>
      <c r="H98" s="91">
        <f>VLOOKUP($A98,'Data Vlaue (Cr)'!$C:$FB,91)</f>
        <v>957</v>
      </c>
      <c r="I98" s="91">
        <f>VLOOKUP($A98,'Data Vlaue (Cr)'!$C:$FB,93)</f>
        <v>-20</v>
      </c>
      <c r="J98" s="92">
        <f>VLOOKUP($A98,'Data Vlaue (Cr)'!$C:$FB,94)</f>
        <v>-2.01E-2</v>
      </c>
      <c r="K98" s="91">
        <f>VLOOKUP($A98,'Data Vlaue (Cr)'!$C:$FB,95)</f>
        <v>395</v>
      </c>
      <c r="L98" s="91">
        <f>VLOOKUP($A98,'Data Vlaue (Cr)'!$C:$FB,97)</f>
        <v>-1</v>
      </c>
      <c r="M98" s="92">
        <f>VLOOKUP($A98,'Data Vlaue (Cr)'!$C:$FB,98)</f>
        <v>-2E-3</v>
      </c>
      <c r="N98" s="91">
        <f>VLOOKUP($A98,'Data Vlaue (Cr)'!$C:$FB,79)</f>
        <v>861</v>
      </c>
      <c r="O98" s="92">
        <f>VLOOKUP($A98,'Data Vlaue (Cr)'!$C:$FB,82)</f>
        <v>-2.0999999999999999E-3</v>
      </c>
    </row>
    <row r="99" spans="1:15" x14ac:dyDescent="0.25">
      <c r="A99" s="97" t="str">
        <f>'Data Vlaue (Cr)'!C94</f>
        <v>INDIAVIX</v>
      </c>
      <c r="B99" s="142">
        <f>VLOOKUP(A99,'Data Vlaue (Cr)'!C94:CW307,99,0)</f>
        <v>0</v>
      </c>
      <c r="C99" s="90">
        <f>VLOOKUP(A99,'Data Vlaue (Cr)'!C94:CY307,101,0)</f>
        <v>0</v>
      </c>
      <c r="D99" s="139">
        <f>VLOOKUP(A99,'Data Vlaue (Cr)'!C94:CZ307,102,0)</f>
        <v>0</v>
      </c>
      <c r="E99" s="91">
        <f>VLOOKUP($A99,'Data Vlaue (Cr)'!$C:$FB,75)</f>
        <v>0</v>
      </c>
      <c r="F99" s="91">
        <f>VLOOKUP($A99,'Data Vlaue (Cr)'!$C:$FB,77)</f>
        <v>0</v>
      </c>
      <c r="G99" s="92">
        <f>VLOOKUP(A99,'Data Vlaue (Cr)'!C94:CB307,78,0)</f>
        <v>0</v>
      </c>
      <c r="H99" s="91">
        <f>VLOOKUP($A99,'Data Vlaue (Cr)'!$C:$FB,91)</f>
        <v>0</v>
      </c>
      <c r="I99" s="91">
        <f>VLOOKUP($A99,'Data Vlaue (Cr)'!$C:$FB,93)</f>
        <v>0</v>
      </c>
      <c r="J99" s="92">
        <f>VLOOKUP($A99,'Data Vlaue (Cr)'!$C:$FB,94)</f>
        <v>0</v>
      </c>
      <c r="K99" s="91">
        <f>VLOOKUP($A99,'Data Vlaue (Cr)'!$C:$FB,95)</f>
        <v>0</v>
      </c>
      <c r="L99" s="91">
        <f>VLOOKUP($A99,'Data Vlaue (Cr)'!$C:$FB,97)</f>
        <v>0</v>
      </c>
      <c r="M99" s="92">
        <f>VLOOKUP($A99,'Data Vlaue (Cr)'!$C:$FB,98)</f>
        <v>0</v>
      </c>
      <c r="N99" s="91">
        <f>VLOOKUP($A99,'Data Vlaue (Cr)'!$C:$FB,79)</f>
        <v>0</v>
      </c>
      <c r="O99" s="92">
        <f>VLOOKUP($A99,'Data Vlaue (Cr)'!$C:$FB,82)</f>
        <v>0</v>
      </c>
    </row>
    <row r="100" spans="1:15" x14ac:dyDescent="0.25">
      <c r="A100" s="97" t="str">
        <f>'Data Vlaue (Cr)'!C95</f>
        <v>INDIGO</v>
      </c>
      <c r="B100" s="142">
        <f>VLOOKUP(A100,'Data Vlaue (Cr)'!C95:CW308,99,0)</f>
        <v>18619</v>
      </c>
      <c r="C100" s="90">
        <f>VLOOKUP(A100,'Data Vlaue (Cr)'!C95:CY308,101,0)</f>
        <v>-697</v>
      </c>
      <c r="D100" s="139">
        <f>VLOOKUP(A100,'Data Vlaue (Cr)'!C95:CZ308,102,0)</f>
        <v>-3.61E-2</v>
      </c>
      <c r="E100" s="91">
        <f>VLOOKUP($A100,'Data Vlaue (Cr)'!$C:$FB,75)</f>
        <v>5941</v>
      </c>
      <c r="F100" s="91">
        <f>VLOOKUP($A100,'Data Vlaue (Cr)'!$C:$FB,77)</f>
        <v>-360</v>
      </c>
      <c r="G100" s="92">
        <f>VLOOKUP(A100,'Data Vlaue (Cr)'!C95:CB308,78,0)</f>
        <v>-5.7200000000000001E-2</v>
      </c>
      <c r="H100" s="91">
        <f>VLOOKUP($A100,'Data Vlaue (Cr)'!$C:$FB,91)</f>
        <v>8117</v>
      </c>
      <c r="I100" s="91">
        <f>VLOOKUP($A100,'Data Vlaue (Cr)'!$C:$FB,93)</f>
        <v>-667</v>
      </c>
      <c r="J100" s="92">
        <f>VLOOKUP($A100,'Data Vlaue (Cr)'!$C:$FB,94)</f>
        <v>-7.5999999999999998E-2</v>
      </c>
      <c r="K100" s="91">
        <f>VLOOKUP($A100,'Data Vlaue (Cr)'!$C:$FB,95)</f>
        <v>4560</v>
      </c>
      <c r="L100" s="91">
        <f>VLOOKUP($A100,'Data Vlaue (Cr)'!$C:$FB,97)</f>
        <v>331</v>
      </c>
      <c r="M100" s="92">
        <f>VLOOKUP($A100,'Data Vlaue (Cr)'!$C:$FB,98)</f>
        <v>7.8299999999999995E-2</v>
      </c>
      <c r="N100" s="91">
        <f>VLOOKUP($A100,'Data Vlaue (Cr)'!$C:$FB,79)</f>
        <v>5150</v>
      </c>
      <c r="O100" s="92">
        <f>VLOOKUP($A100,'Data Vlaue (Cr)'!$C:$FB,82)</f>
        <v>-8.2100000000000006E-2</v>
      </c>
    </row>
    <row r="101" spans="1:15" x14ac:dyDescent="0.25">
      <c r="A101" s="97" t="str">
        <f>'Data Vlaue (Cr)'!C96</f>
        <v>INDUSINDBK</v>
      </c>
      <c r="B101" s="142">
        <f>VLOOKUP(A101,'Data Vlaue (Cr)'!C96:CW309,99,0)</f>
        <v>5925</v>
      </c>
      <c r="C101" s="90">
        <f>VLOOKUP(A101,'Data Vlaue (Cr)'!C96:CY309,101,0)</f>
        <v>-87</v>
      </c>
      <c r="D101" s="139">
        <f>VLOOKUP(A101,'Data Vlaue (Cr)'!C96:CZ309,102,0)</f>
        <v>-1.4500000000000001E-2</v>
      </c>
      <c r="E101" s="91">
        <f>VLOOKUP($A101,'Data Vlaue (Cr)'!$C:$FB,75)</f>
        <v>3958</v>
      </c>
      <c r="F101" s="91">
        <f>VLOOKUP($A101,'Data Vlaue (Cr)'!$C:$FB,77)</f>
        <v>-37</v>
      </c>
      <c r="G101" s="92">
        <f>VLOOKUP(A101,'Data Vlaue (Cr)'!C96:CB309,78,0)</f>
        <v>-9.1999999999999998E-3</v>
      </c>
      <c r="H101" s="91">
        <f>VLOOKUP($A101,'Data Vlaue (Cr)'!$C:$FB,91)</f>
        <v>1150</v>
      </c>
      <c r="I101" s="91">
        <f>VLOOKUP($A101,'Data Vlaue (Cr)'!$C:$FB,93)</f>
        <v>-37</v>
      </c>
      <c r="J101" s="92">
        <f>VLOOKUP($A101,'Data Vlaue (Cr)'!$C:$FB,94)</f>
        <v>-3.15E-2</v>
      </c>
      <c r="K101" s="91">
        <f>VLOOKUP($A101,'Data Vlaue (Cr)'!$C:$FB,95)</f>
        <v>818</v>
      </c>
      <c r="L101" s="91">
        <f>VLOOKUP($A101,'Data Vlaue (Cr)'!$C:$FB,97)</f>
        <v>-13</v>
      </c>
      <c r="M101" s="92">
        <f>VLOOKUP($A101,'Data Vlaue (Cr)'!$C:$FB,98)</f>
        <v>-1.54E-2</v>
      </c>
      <c r="N101" s="91">
        <f>VLOOKUP($A101,'Data Vlaue (Cr)'!$C:$FB,79)</f>
        <v>3539</v>
      </c>
      <c r="O101" s="92">
        <f>VLOOKUP($A101,'Data Vlaue (Cr)'!$C:$FB,82)</f>
        <v>-1.83E-2</v>
      </c>
    </row>
    <row r="102" spans="1:15" x14ac:dyDescent="0.25">
      <c r="A102" s="97" t="str">
        <f>'Data Vlaue (Cr)'!C97</f>
        <v>INDUSTOWER</v>
      </c>
      <c r="B102" s="142">
        <f>VLOOKUP(A102,'Data Vlaue (Cr)'!C97:CW310,99,0)</f>
        <v>5114</v>
      </c>
      <c r="C102" s="90">
        <f>VLOOKUP(A102,'Data Vlaue (Cr)'!C97:CY310,101,0)</f>
        <v>-61</v>
      </c>
      <c r="D102" s="139">
        <f>VLOOKUP(A102,'Data Vlaue (Cr)'!C97:CZ310,102,0)</f>
        <v>-1.17E-2</v>
      </c>
      <c r="E102" s="91">
        <f>VLOOKUP($A102,'Data Vlaue (Cr)'!$C:$FB,75)</f>
        <v>3429</v>
      </c>
      <c r="F102" s="91">
        <f>VLOOKUP($A102,'Data Vlaue (Cr)'!$C:$FB,77)</f>
        <v>4</v>
      </c>
      <c r="G102" s="92">
        <f>VLOOKUP(A102,'Data Vlaue (Cr)'!C97:CB310,78,0)</f>
        <v>1.1000000000000001E-3</v>
      </c>
      <c r="H102" s="91">
        <f>VLOOKUP($A102,'Data Vlaue (Cr)'!$C:$FB,91)</f>
        <v>1052</v>
      </c>
      <c r="I102" s="91">
        <f>VLOOKUP($A102,'Data Vlaue (Cr)'!$C:$FB,93)</f>
        <v>-49</v>
      </c>
      <c r="J102" s="92">
        <f>VLOOKUP($A102,'Data Vlaue (Cr)'!$C:$FB,94)</f>
        <v>-4.48E-2</v>
      </c>
      <c r="K102" s="91">
        <f>VLOOKUP($A102,'Data Vlaue (Cr)'!$C:$FB,95)</f>
        <v>632</v>
      </c>
      <c r="L102" s="91">
        <f>VLOOKUP($A102,'Data Vlaue (Cr)'!$C:$FB,97)</f>
        <v>-15</v>
      </c>
      <c r="M102" s="92">
        <f>VLOOKUP($A102,'Data Vlaue (Cr)'!$C:$FB,98)</f>
        <v>-2.2800000000000001E-2</v>
      </c>
      <c r="N102" s="91">
        <f>VLOOKUP($A102,'Data Vlaue (Cr)'!$C:$FB,79)</f>
        <v>3285</v>
      </c>
      <c r="O102" s="92">
        <f>VLOOKUP($A102,'Data Vlaue (Cr)'!$C:$FB,82)</f>
        <v>-7.1999999999999998E-3</v>
      </c>
    </row>
    <row r="103" spans="1:15" x14ac:dyDescent="0.25">
      <c r="A103" s="97" t="str">
        <f>'Data Vlaue (Cr)'!C98</f>
        <v>INFY</v>
      </c>
      <c r="B103" s="142">
        <f>VLOOKUP(A103,'Data Vlaue (Cr)'!C98:CW311,99,0)</f>
        <v>19745</v>
      </c>
      <c r="C103" s="90">
        <f>VLOOKUP(A103,'Data Vlaue (Cr)'!C98:CY311,101,0)</f>
        <v>775</v>
      </c>
      <c r="D103" s="139">
        <f>VLOOKUP(A103,'Data Vlaue (Cr)'!C98:CZ311,102,0)</f>
        <v>4.0899999999999999E-2</v>
      </c>
      <c r="E103" s="91">
        <f>VLOOKUP($A103,'Data Vlaue (Cr)'!$C:$FB,75)</f>
        <v>11694</v>
      </c>
      <c r="F103" s="91">
        <f>VLOOKUP($A103,'Data Vlaue (Cr)'!$C:$FB,77)</f>
        <v>183</v>
      </c>
      <c r="G103" s="92">
        <f>VLOOKUP(A103,'Data Vlaue (Cr)'!C98:CB311,78,0)</f>
        <v>1.5900000000000001E-2</v>
      </c>
      <c r="H103" s="91">
        <f>VLOOKUP($A103,'Data Vlaue (Cr)'!$C:$FB,91)</f>
        <v>4576</v>
      </c>
      <c r="I103" s="91">
        <f>VLOOKUP($A103,'Data Vlaue (Cr)'!$C:$FB,93)</f>
        <v>46</v>
      </c>
      <c r="J103" s="92">
        <f>VLOOKUP($A103,'Data Vlaue (Cr)'!$C:$FB,94)</f>
        <v>1.0200000000000001E-2</v>
      </c>
      <c r="K103" s="91">
        <f>VLOOKUP($A103,'Data Vlaue (Cr)'!$C:$FB,95)</f>
        <v>3475</v>
      </c>
      <c r="L103" s="91">
        <f>VLOOKUP($A103,'Data Vlaue (Cr)'!$C:$FB,97)</f>
        <v>546</v>
      </c>
      <c r="M103" s="92">
        <f>VLOOKUP($A103,'Data Vlaue (Cr)'!$C:$FB,98)</f>
        <v>0.18640000000000001</v>
      </c>
      <c r="N103" s="91">
        <f>VLOOKUP($A103,'Data Vlaue (Cr)'!$C:$FB,79)</f>
        <v>9261</v>
      </c>
      <c r="O103" s="92">
        <f>VLOOKUP($A103,'Data Vlaue (Cr)'!$C:$FB,82)</f>
        <v>-4.7199999999999999E-2</v>
      </c>
    </row>
    <row r="104" spans="1:15" x14ac:dyDescent="0.25">
      <c r="A104" s="97" t="str">
        <f>'Data Vlaue (Cr)'!C99</f>
        <v>INOXWIND</v>
      </c>
      <c r="B104" s="142">
        <f>VLOOKUP(A104,'Data Vlaue (Cr)'!C99:CW312,99,0)</f>
        <v>1963</v>
      </c>
      <c r="C104" s="90">
        <f>VLOOKUP(A104,'Data Vlaue (Cr)'!C99:CY312,101,0)</f>
        <v>-1</v>
      </c>
      <c r="D104" s="139">
        <f>VLOOKUP(A104,'Data Vlaue (Cr)'!C99:CZ312,102,0)</f>
        <v>-5.9999999999999995E-4</v>
      </c>
      <c r="E104" s="91">
        <f>VLOOKUP($A104,'Data Vlaue (Cr)'!$C:$FB,75)</f>
        <v>1102</v>
      </c>
      <c r="F104" s="91">
        <f>VLOOKUP($A104,'Data Vlaue (Cr)'!$C:$FB,77)</f>
        <v>1</v>
      </c>
      <c r="G104" s="92">
        <f>VLOOKUP(A104,'Data Vlaue (Cr)'!C99:CB312,78,0)</f>
        <v>8.0000000000000004E-4</v>
      </c>
      <c r="H104" s="91">
        <f>VLOOKUP($A104,'Data Vlaue (Cr)'!$C:$FB,91)</f>
        <v>579</v>
      </c>
      <c r="I104" s="91">
        <f>VLOOKUP($A104,'Data Vlaue (Cr)'!$C:$FB,93)</f>
        <v>-1</v>
      </c>
      <c r="J104" s="92">
        <f>VLOOKUP($A104,'Data Vlaue (Cr)'!$C:$FB,94)</f>
        <v>-2.5000000000000001E-3</v>
      </c>
      <c r="K104" s="91">
        <f>VLOOKUP($A104,'Data Vlaue (Cr)'!$C:$FB,95)</f>
        <v>283</v>
      </c>
      <c r="L104" s="91">
        <f>VLOOKUP($A104,'Data Vlaue (Cr)'!$C:$FB,97)</f>
        <v>-1</v>
      </c>
      <c r="M104" s="92">
        <f>VLOOKUP($A104,'Data Vlaue (Cr)'!$C:$FB,98)</f>
        <v>-2.2000000000000001E-3</v>
      </c>
      <c r="N104" s="91">
        <f>VLOOKUP($A104,'Data Vlaue (Cr)'!$C:$FB,79)</f>
        <v>1017</v>
      </c>
      <c r="O104" s="92">
        <f>VLOOKUP($A104,'Data Vlaue (Cr)'!$C:$FB,82)</f>
        <v>-3.2000000000000002E-3</v>
      </c>
    </row>
    <row r="105" spans="1:15" x14ac:dyDescent="0.25">
      <c r="A105" s="97" t="str">
        <f>'Data Vlaue (Cr)'!C100</f>
        <v>IOC</v>
      </c>
      <c r="B105" s="142">
        <f>VLOOKUP(A105,'Data Vlaue (Cr)'!C100:CW313,99,0)</f>
        <v>3270</v>
      </c>
      <c r="C105" s="90">
        <f>VLOOKUP(A105,'Data Vlaue (Cr)'!C100:CY313,101,0)</f>
        <v>-2</v>
      </c>
      <c r="D105" s="139">
        <f>VLOOKUP(A105,'Data Vlaue (Cr)'!C100:CZ313,102,0)</f>
        <v>-6.9999999999999999E-4</v>
      </c>
      <c r="E105" s="91">
        <f>VLOOKUP($A105,'Data Vlaue (Cr)'!$C:$FB,75)</f>
        <v>1592</v>
      </c>
      <c r="F105" s="91">
        <f>VLOOKUP($A105,'Data Vlaue (Cr)'!$C:$FB,77)</f>
        <v>22</v>
      </c>
      <c r="G105" s="92">
        <f>VLOOKUP(A105,'Data Vlaue (Cr)'!C100:CB313,78,0)</f>
        <v>1.41E-2</v>
      </c>
      <c r="H105" s="91">
        <f>VLOOKUP($A105,'Data Vlaue (Cr)'!$C:$FB,91)</f>
        <v>1004</v>
      </c>
      <c r="I105" s="91">
        <f>VLOOKUP($A105,'Data Vlaue (Cr)'!$C:$FB,93)</f>
        <v>-21</v>
      </c>
      <c r="J105" s="92">
        <f>VLOOKUP($A105,'Data Vlaue (Cr)'!$C:$FB,94)</f>
        <v>-2.0400000000000001E-2</v>
      </c>
      <c r="K105" s="91">
        <f>VLOOKUP($A105,'Data Vlaue (Cr)'!$C:$FB,95)</f>
        <v>674</v>
      </c>
      <c r="L105" s="91">
        <f>VLOOKUP($A105,'Data Vlaue (Cr)'!$C:$FB,97)</f>
        <v>-3</v>
      </c>
      <c r="M105" s="92">
        <f>VLOOKUP($A105,'Data Vlaue (Cr)'!$C:$FB,98)</f>
        <v>-5.1000000000000004E-3</v>
      </c>
      <c r="N105" s="91">
        <f>VLOOKUP($A105,'Data Vlaue (Cr)'!$C:$FB,79)</f>
        <v>1471</v>
      </c>
      <c r="O105" s="92">
        <f>VLOOKUP($A105,'Data Vlaue (Cr)'!$C:$FB,82)</f>
        <v>-2.3E-3</v>
      </c>
    </row>
    <row r="106" spans="1:15" x14ac:dyDescent="0.25">
      <c r="A106" s="97" t="str">
        <f>'Data Vlaue (Cr)'!C101</f>
        <v>IRCTC</v>
      </c>
      <c r="B106" s="142">
        <f>VLOOKUP(A106,'Data Vlaue (Cr)'!C101:CW314,99,0)</f>
        <v>2527</v>
      </c>
      <c r="C106" s="90">
        <f>VLOOKUP(A106,'Data Vlaue (Cr)'!C101:CY314,101,0)</f>
        <v>-27</v>
      </c>
      <c r="D106" s="139">
        <f>VLOOKUP(A106,'Data Vlaue (Cr)'!C101:CZ314,102,0)</f>
        <v>-1.0699999999999999E-2</v>
      </c>
      <c r="E106" s="91">
        <f>VLOOKUP($A106,'Data Vlaue (Cr)'!$C:$FB,75)</f>
        <v>1396</v>
      </c>
      <c r="F106" s="91">
        <f>VLOOKUP($A106,'Data Vlaue (Cr)'!$C:$FB,77)</f>
        <v>19</v>
      </c>
      <c r="G106" s="92">
        <f>VLOOKUP(A106,'Data Vlaue (Cr)'!C101:CB314,78,0)</f>
        <v>1.3599999999999999E-2</v>
      </c>
      <c r="H106" s="91">
        <f>VLOOKUP($A106,'Data Vlaue (Cr)'!$C:$FB,91)</f>
        <v>675</v>
      </c>
      <c r="I106" s="91">
        <f>VLOOKUP($A106,'Data Vlaue (Cr)'!$C:$FB,93)</f>
        <v>-16</v>
      </c>
      <c r="J106" s="92">
        <f>VLOOKUP($A106,'Data Vlaue (Cr)'!$C:$FB,94)</f>
        <v>-2.2599999999999999E-2</v>
      </c>
      <c r="K106" s="91">
        <f>VLOOKUP($A106,'Data Vlaue (Cr)'!$C:$FB,95)</f>
        <v>456</v>
      </c>
      <c r="L106" s="91">
        <f>VLOOKUP($A106,'Data Vlaue (Cr)'!$C:$FB,97)</f>
        <v>-30</v>
      </c>
      <c r="M106" s="92">
        <f>VLOOKUP($A106,'Data Vlaue (Cr)'!$C:$FB,98)</f>
        <v>-6.25E-2</v>
      </c>
      <c r="N106" s="91">
        <f>VLOOKUP($A106,'Data Vlaue (Cr)'!$C:$FB,79)</f>
        <v>1219</v>
      </c>
      <c r="O106" s="92">
        <f>VLOOKUP($A106,'Data Vlaue (Cr)'!$C:$FB,82)</f>
        <v>2.5999999999999999E-3</v>
      </c>
    </row>
    <row r="107" spans="1:15" x14ac:dyDescent="0.25">
      <c r="A107" s="97" t="str">
        <f>'Data Vlaue (Cr)'!C102</f>
        <v>IREDA</v>
      </c>
      <c r="B107" s="142">
        <f>VLOOKUP(A107,'Data Vlaue (Cr)'!C102:CW315,99,0)</f>
        <v>1520</v>
      </c>
      <c r="C107" s="90">
        <f>VLOOKUP(A107,'Data Vlaue (Cr)'!C102:CY315,101,0)</f>
        <v>34</v>
      </c>
      <c r="D107" s="139">
        <f>VLOOKUP(A107,'Data Vlaue (Cr)'!C102:CZ315,102,0)</f>
        <v>2.3E-2</v>
      </c>
      <c r="E107" s="91">
        <f>VLOOKUP($A107,'Data Vlaue (Cr)'!$C:$FB,75)</f>
        <v>737</v>
      </c>
      <c r="F107" s="91">
        <f>VLOOKUP($A107,'Data Vlaue (Cr)'!$C:$FB,77)</f>
        <v>13</v>
      </c>
      <c r="G107" s="92">
        <f>VLOOKUP(A107,'Data Vlaue (Cr)'!C102:CB315,78,0)</f>
        <v>1.7600000000000001E-2</v>
      </c>
      <c r="H107" s="91">
        <f>VLOOKUP($A107,'Data Vlaue (Cr)'!$C:$FB,91)</f>
        <v>519</v>
      </c>
      <c r="I107" s="91">
        <f>VLOOKUP($A107,'Data Vlaue (Cr)'!$C:$FB,93)</f>
        <v>12</v>
      </c>
      <c r="J107" s="92">
        <f>VLOOKUP($A107,'Data Vlaue (Cr)'!$C:$FB,94)</f>
        <v>2.29E-2</v>
      </c>
      <c r="K107" s="91">
        <f>VLOOKUP($A107,'Data Vlaue (Cr)'!$C:$FB,95)</f>
        <v>264</v>
      </c>
      <c r="L107" s="91">
        <f>VLOOKUP($A107,'Data Vlaue (Cr)'!$C:$FB,97)</f>
        <v>10</v>
      </c>
      <c r="M107" s="92">
        <f>VLOOKUP($A107,'Data Vlaue (Cr)'!$C:$FB,98)</f>
        <v>3.8699999999999998E-2</v>
      </c>
      <c r="N107" s="91">
        <f>VLOOKUP($A107,'Data Vlaue (Cr)'!$C:$FB,79)</f>
        <v>542</v>
      </c>
      <c r="O107" s="92">
        <f>VLOOKUP($A107,'Data Vlaue (Cr)'!$C:$FB,82)</f>
        <v>-1.11E-2</v>
      </c>
    </row>
    <row r="108" spans="1:15" x14ac:dyDescent="0.25">
      <c r="A108" s="97" t="str">
        <f>'Data Vlaue (Cr)'!C103</f>
        <v>IRFC</v>
      </c>
      <c r="B108" s="142">
        <f>VLOOKUP(A108,'Data Vlaue (Cr)'!C103:CW316,99,0)</f>
        <v>1255</v>
      </c>
      <c r="C108" s="90">
        <f>VLOOKUP(A108,'Data Vlaue (Cr)'!C103:CY316,101,0)</f>
        <v>-1</v>
      </c>
      <c r="D108" s="139">
        <f>VLOOKUP(A108,'Data Vlaue (Cr)'!C103:CZ316,102,0)</f>
        <v>-5.0000000000000001E-4</v>
      </c>
      <c r="E108" s="91">
        <f>VLOOKUP($A108,'Data Vlaue (Cr)'!$C:$FB,75)</f>
        <v>532</v>
      </c>
      <c r="F108" s="91">
        <f>VLOOKUP($A108,'Data Vlaue (Cr)'!$C:$FB,77)</f>
        <v>-1</v>
      </c>
      <c r="G108" s="92">
        <f>VLOOKUP(A108,'Data Vlaue (Cr)'!C103:CB316,78,0)</f>
        <v>-2.5999999999999999E-3</v>
      </c>
      <c r="H108" s="91">
        <f>VLOOKUP($A108,'Data Vlaue (Cr)'!$C:$FB,91)</f>
        <v>484</v>
      </c>
      <c r="I108" s="91">
        <f>VLOOKUP($A108,'Data Vlaue (Cr)'!$C:$FB,93)</f>
        <v>-5</v>
      </c>
      <c r="J108" s="92">
        <f>VLOOKUP($A108,'Data Vlaue (Cr)'!$C:$FB,94)</f>
        <v>-1.01E-2</v>
      </c>
      <c r="K108" s="91">
        <f>VLOOKUP($A108,'Data Vlaue (Cr)'!$C:$FB,95)</f>
        <v>239</v>
      </c>
      <c r="L108" s="91">
        <f>VLOOKUP($A108,'Data Vlaue (Cr)'!$C:$FB,97)</f>
        <v>6</v>
      </c>
      <c r="M108" s="92">
        <f>VLOOKUP($A108,'Data Vlaue (Cr)'!$C:$FB,98)</f>
        <v>2.4500000000000001E-2</v>
      </c>
      <c r="N108" s="91">
        <f>VLOOKUP($A108,'Data Vlaue (Cr)'!$C:$FB,79)</f>
        <v>456</v>
      </c>
      <c r="O108" s="92">
        <f>VLOOKUP($A108,'Data Vlaue (Cr)'!$C:$FB,82)</f>
        <v>-1.15E-2</v>
      </c>
    </row>
    <row r="109" spans="1:15" x14ac:dyDescent="0.25">
      <c r="A109" s="97" t="str">
        <f>'Data Vlaue (Cr)'!C104</f>
        <v>ITC</v>
      </c>
      <c r="B109" s="142">
        <f>VLOOKUP(A109,'Data Vlaue (Cr)'!C104:CW317,99,0)</f>
        <v>11064</v>
      </c>
      <c r="C109" s="90">
        <f>VLOOKUP(A109,'Data Vlaue (Cr)'!C104:CY317,101,0)</f>
        <v>-19</v>
      </c>
      <c r="D109" s="139">
        <f>VLOOKUP(A109,'Data Vlaue (Cr)'!C104:CZ317,102,0)</f>
        <v>-1.6999999999999999E-3</v>
      </c>
      <c r="E109" s="91">
        <f>VLOOKUP($A109,'Data Vlaue (Cr)'!$C:$FB,75)</f>
        <v>7006</v>
      </c>
      <c r="F109" s="91">
        <f>VLOOKUP($A109,'Data Vlaue (Cr)'!$C:$FB,77)</f>
        <v>27</v>
      </c>
      <c r="G109" s="92">
        <f>VLOOKUP(A109,'Data Vlaue (Cr)'!C104:CB317,78,0)</f>
        <v>3.8999999999999998E-3</v>
      </c>
      <c r="H109" s="91">
        <f>VLOOKUP($A109,'Data Vlaue (Cr)'!$C:$FB,91)</f>
        <v>2534</v>
      </c>
      <c r="I109" s="91">
        <f>VLOOKUP($A109,'Data Vlaue (Cr)'!$C:$FB,93)</f>
        <v>-1</v>
      </c>
      <c r="J109" s="92">
        <f>VLOOKUP($A109,'Data Vlaue (Cr)'!$C:$FB,94)</f>
        <v>-4.0000000000000002E-4</v>
      </c>
      <c r="K109" s="91">
        <f>VLOOKUP($A109,'Data Vlaue (Cr)'!$C:$FB,95)</f>
        <v>1523</v>
      </c>
      <c r="L109" s="91">
        <f>VLOOKUP($A109,'Data Vlaue (Cr)'!$C:$FB,97)</f>
        <v>-45</v>
      </c>
      <c r="M109" s="92">
        <f>VLOOKUP($A109,'Data Vlaue (Cr)'!$C:$FB,98)</f>
        <v>-2.8500000000000001E-2</v>
      </c>
      <c r="N109" s="91">
        <f>VLOOKUP($A109,'Data Vlaue (Cr)'!$C:$FB,79)</f>
        <v>5990</v>
      </c>
      <c r="O109" s="92">
        <f>VLOOKUP($A109,'Data Vlaue (Cr)'!$C:$FB,82)</f>
        <v>-3.78E-2</v>
      </c>
    </row>
    <row r="110" spans="1:15" x14ac:dyDescent="0.25">
      <c r="A110" s="97" t="str">
        <f>'Data Vlaue (Cr)'!C105</f>
        <v>JINDALSTEL</v>
      </c>
      <c r="B110" s="142">
        <f>VLOOKUP(A110,'Data Vlaue (Cr)'!C105:CW318,99,0)</f>
        <v>2288</v>
      </c>
      <c r="C110" s="90">
        <f>VLOOKUP(A110,'Data Vlaue (Cr)'!C105:CY318,101,0)</f>
        <v>112</v>
      </c>
      <c r="D110" s="139">
        <f>VLOOKUP(A110,'Data Vlaue (Cr)'!C105:CZ318,102,0)</f>
        <v>5.1700000000000003E-2</v>
      </c>
      <c r="E110" s="91">
        <f>VLOOKUP($A110,'Data Vlaue (Cr)'!$C:$FB,75)</f>
        <v>1315</v>
      </c>
      <c r="F110" s="91">
        <f>VLOOKUP($A110,'Data Vlaue (Cr)'!$C:$FB,77)</f>
        <v>72</v>
      </c>
      <c r="G110" s="92">
        <f>VLOOKUP(A110,'Data Vlaue (Cr)'!C105:CB318,78,0)</f>
        <v>5.7500000000000002E-2</v>
      </c>
      <c r="H110" s="91">
        <f>VLOOKUP($A110,'Data Vlaue (Cr)'!$C:$FB,91)</f>
        <v>601</v>
      </c>
      <c r="I110" s="91">
        <f>VLOOKUP($A110,'Data Vlaue (Cr)'!$C:$FB,93)</f>
        <v>17</v>
      </c>
      <c r="J110" s="92">
        <f>VLOOKUP($A110,'Data Vlaue (Cr)'!$C:$FB,94)</f>
        <v>2.9700000000000001E-2</v>
      </c>
      <c r="K110" s="91">
        <f>VLOOKUP($A110,'Data Vlaue (Cr)'!$C:$FB,95)</f>
        <v>372</v>
      </c>
      <c r="L110" s="91">
        <f>VLOOKUP($A110,'Data Vlaue (Cr)'!$C:$FB,97)</f>
        <v>24</v>
      </c>
      <c r="M110" s="92">
        <f>VLOOKUP($A110,'Data Vlaue (Cr)'!$C:$FB,98)</f>
        <v>6.7799999999999999E-2</v>
      </c>
      <c r="N110" s="91">
        <f>VLOOKUP($A110,'Data Vlaue (Cr)'!$C:$FB,79)</f>
        <v>1256</v>
      </c>
      <c r="O110" s="92">
        <f>VLOOKUP($A110,'Data Vlaue (Cr)'!$C:$FB,82)</f>
        <v>3.8100000000000002E-2</v>
      </c>
    </row>
    <row r="111" spans="1:15" x14ac:dyDescent="0.25">
      <c r="A111" s="97" t="str">
        <f>'Data Vlaue (Cr)'!C106</f>
        <v>JIOFIN</v>
      </c>
      <c r="B111" s="142">
        <f>VLOOKUP(A111,'Data Vlaue (Cr)'!C106:CW319,99,0)</f>
        <v>8161</v>
      </c>
      <c r="C111" s="90">
        <f>VLOOKUP(A111,'Data Vlaue (Cr)'!C106:CY319,101,0)</f>
        <v>117</v>
      </c>
      <c r="D111" s="139">
        <f>VLOOKUP(A111,'Data Vlaue (Cr)'!C106:CZ319,102,0)</f>
        <v>1.46E-2</v>
      </c>
      <c r="E111" s="91">
        <f>VLOOKUP($A111,'Data Vlaue (Cr)'!$C:$FB,75)</f>
        <v>4693</v>
      </c>
      <c r="F111" s="91">
        <f>VLOOKUP($A111,'Data Vlaue (Cr)'!$C:$FB,77)</f>
        <v>27</v>
      </c>
      <c r="G111" s="92">
        <f>VLOOKUP(A111,'Data Vlaue (Cr)'!C106:CB319,78,0)</f>
        <v>5.7999999999999996E-3</v>
      </c>
      <c r="H111" s="91">
        <f>VLOOKUP($A111,'Data Vlaue (Cr)'!$C:$FB,91)</f>
        <v>2050</v>
      </c>
      <c r="I111" s="91">
        <f>VLOOKUP($A111,'Data Vlaue (Cr)'!$C:$FB,93)</f>
        <v>40</v>
      </c>
      <c r="J111" s="92">
        <f>VLOOKUP($A111,'Data Vlaue (Cr)'!$C:$FB,94)</f>
        <v>0.02</v>
      </c>
      <c r="K111" s="91">
        <f>VLOOKUP($A111,'Data Vlaue (Cr)'!$C:$FB,95)</f>
        <v>1417</v>
      </c>
      <c r="L111" s="91">
        <f>VLOOKUP($A111,'Data Vlaue (Cr)'!$C:$FB,97)</f>
        <v>50</v>
      </c>
      <c r="M111" s="92">
        <f>VLOOKUP($A111,'Data Vlaue (Cr)'!$C:$FB,98)</f>
        <v>3.6600000000000001E-2</v>
      </c>
      <c r="N111" s="91">
        <f>VLOOKUP($A111,'Data Vlaue (Cr)'!$C:$FB,79)</f>
        <v>3875</v>
      </c>
      <c r="O111" s="92">
        <f>VLOOKUP($A111,'Data Vlaue (Cr)'!$C:$FB,82)</f>
        <v>-2.4400000000000002E-2</v>
      </c>
    </row>
    <row r="112" spans="1:15" x14ac:dyDescent="0.25">
      <c r="A112" s="97" t="str">
        <f>'Data Vlaue (Cr)'!C107</f>
        <v>JSWENERGY</v>
      </c>
      <c r="B112" s="142">
        <f>VLOOKUP(A112,'Data Vlaue (Cr)'!C107:CW320,99,0)</f>
        <v>3405</v>
      </c>
      <c r="C112" s="90">
        <f>VLOOKUP(A112,'Data Vlaue (Cr)'!C107:CY320,101,0)</f>
        <v>-53</v>
      </c>
      <c r="D112" s="139">
        <f>VLOOKUP(A112,'Data Vlaue (Cr)'!C107:CZ320,102,0)</f>
        <v>-1.5299999999999999E-2</v>
      </c>
      <c r="E112" s="91">
        <f>VLOOKUP($A112,'Data Vlaue (Cr)'!$C:$FB,75)</f>
        <v>2175</v>
      </c>
      <c r="F112" s="91">
        <f>VLOOKUP($A112,'Data Vlaue (Cr)'!$C:$FB,77)</f>
        <v>-35</v>
      </c>
      <c r="G112" s="92">
        <f>VLOOKUP(A112,'Data Vlaue (Cr)'!C107:CB320,78,0)</f>
        <v>-1.5800000000000002E-2</v>
      </c>
      <c r="H112" s="91">
        <f>VLOOKUP($A112,'Data Vlaue (Cr)'!$C:$FB,91)</f>
        <v>745</v>
      </c>
      <c r="I112" s="91">
        <f>VLOOKUP($A112,'Data Vlaue (Cr)'!$C:$FB,93)</f>
        <v>3</v>
      </c>
      <c r="J112" s="92">
        <f>VLOOKUP($A112,'Data Vlaue (Cr)'!$C:$FB,94)</f>
        <v>4.3E-3</v>
      </c>
      <c r="K112" s="91">
        <f>VLOOKUP($A112,'Data Vlaue (Cr)'!$C:$FB,95)</f>
        <v>485</v>
      </c>
      <c r="L112" s="91">
        <f>VLOOKUP($A112,'Data Vlaue (Cr)'!$C:$FB,97)</f>
        <v>-21</v>
      </c>
      <c r="M112" s="92">
        <f>VLOOKUP($A112,'Data Vlaue (Cr)'!$C:$FB,98)</f>
        <v>-4.2099999999999999E-2</v>
      </c>
      <c r="N112" s="91">
        <f>VLOOKUP($A112,'Data Vlaue (Cr)'!$C:$FB,79)</f>
        <v>2062</v>
      </c>
      <c r="O112" s="92">
        <f>VLOOKUP($A112,'Data Vlaue (Cr)'!$C:$FB,82)</f>
        <v>-2.1100000000000001E-2</v>
      </c>
    </row>
    <row r="113" spans="1:15" x14ac:dyDescent="0.25">
      <c r="A113" s="97" t="str">
        <f>'Data Vlaue (Cr)'!C108</f>
        <v>JSWSTEEL</v>
      </c>
      <c r="B113" s="142">
        <f>VLOOKUP(A113,'Data Vlaue (Cr)'!C108:CW321,99,0)</f>
        <v>8710</v>
      </c>
      <c r="C113" s="90">
        <f>VLOOKUP(A113,'Data Vlaue (Cr)'!C108:CY321,101,0)</f>
        <v>9</v>
      </c>
      <c r="D113" s="139">
        <f>VLOOKUP(A113,'Data Vlaue (Cr)'!C108:CZ321,102,0)</f>
        <v>1E-3</v>
      </c>
      <c r="E113" s="91">
        <f>VLOOKUP($A113,'Data Vlaue (Cr)'!$C:$FB,75)</f>
        <v>5391</v>
      </c>
      <c r="F113" s="91">
        <f>VLOOKUP($A113,'Data Vlaue (Cr)'!$C:$FB,77)</f>
        <v>26</v>
      </c>
      <c r="G113" s="92">
        <f>VLOOKUP(A113,'Data Vlaue (Cr)'!C108:CB321,78,0)</f>
        <v>4.8999999999999998E-3</v>
      </c>
      <c r="H113" s="91">
        <f>VLOOKUP($A113,'Data Vlaue (Cr)'!$C:$FB,91)</f>
        <v>2177</v>
      </c>
      <c r="I113" s="91">
        <f>VLOOKUP($A113,'Data Vlaue (Cr)'!$C:$FB,93)</f>
        <v>-38</v>
      </c>
      <c r="J113" s="92">
        <f>VLOOKUP($A113,'Data Vlaue (Cr)'!$C:$FB,94)</f>
        <v>-1.7100000000000001E-2</v>
      </c>
      <c r="K113" s="91">
        <f>VLOOKUP($A113,'Data Vlaue (Cr)'!$C:$FB,95)</f>
        <v>1142</v>
      </c>
      <c r="L113" s="91">
        <f>VLOOKUP($A113,'Data Vlaue (Cr)'!$C:$FB,97)</f>
        <v>20</v>
      </c>
      <c r="M113" s="92">
        <f>VLOOKUP($A113,'Data Vlaue (Cr)'!$C:$FB,98)</f>
        <v>1.7899999999999999E-2</v>
      </c>
      <c r="N113" s="91">
        <f>VLOOKUP($A113,'Data Vlaue (Cr)'!$C:$FB,79)</f>
        <v>5020</v>
      </c>
      <c r="O113" s="92">
        <f>VLOOKUP($A113,'Data Vlaue (Cr)'!$C:$FB,82)</f>
        <v>-1.4200000000000001E-2</v>
      </c>
    </row>
    <row r="114" spans="1:15" x14ac:dyDescent="0.25">
      <c r="A114" s="97" t="str">
        <f>'Data Vlaue (Cr)'!C109</f>
        <v>JUBLFOOD</v>
      </c>
      <c r="B114" s="142">
        <f>VLOOKUP(A114,'Data Vlaue (Cr)'!C109:CW322,99,0)</f>
        <v>2481</v>
      </c>
      <c r="C114" s="90">
        <f>VLOOKUP(A114,'Data Vlaue (Cr)'!C109:CY322,101,0)</f>
        <v>-29</v>
      </c>
      <c r="D114" s="139">
        <f>VLOOKUP(A114,'Data Vlaue (Cr)'!C109:CZ322,102,0)</f>
        <v>-1.14E-2</v>
      </c>
      <c r="E114" s="91">
        <f>VLOOKUP($A114,'Data Vlaue (Cr)'!$C:$FB,75)</f>
        <v>1240</v>
      </c>
      <c r="F114" s="91">
        <f>VLOOKUP($A114,'Data Vlaue (Cr)'!$C:$FB,77)</f>
        <v>-2</v>
      </c>
      <c r="G114" s="92">
        <f>VLOOKUP(A114,'Data Vlaue (Cr)'!C109:CB322,78,0)</f>
        <v>-1.9E-3</v>
      </c>
      <c r="H114" s="91">
        <f>VLOOKUP($A114,'Data Vlaue (Cr)'!$C:$FB,91)</f>
        <v>776</v>
      </c>
      <c r="I114" s="91">
        <f>VLOOKUP($A114,'Data Vlaue (Cr)'!$C:$FB,93)</f>
        <v>-36</v>
      </c>
      <c r="J114" s="92">
        <f>VLOOKUP($A114,'Data Vlaue (Cr)'!$C:$FB,94)</f>
        <v>-4.4299999999999999E-2</v>
      </c>
      <c r="K114" s="91">
        <f>VLOOKUP($A114,'Data Vlaue (Cr)'!$C:$FB,95)</f>
        <v>465</v>
      </c>
      <c r="L114" s="91">
        <f>VLOOKUP($A114,'Data Vlaue (Cr)'!$C:$FB,97)</f>
        <v>10</v>
      </c>
      <c r="M114" s="92">
        <f>VLOOKUP($A114,'Data Vlaue (Cr)'!$C:$FB,98)</f>
        <v>2.1299999999999999E-2</v>
      </c>
      <c r="N114" s="91">
        <f>VLOOKUP($A114,'Data Vlaue (Cr)'!$C:$FB,79)</f>
        <v>1092</v>
      </c>
      <c r="O114" s="92">
        <f>VLOOKUP($A114,'Data Vlaue (Cr)'!$C:$FB,82)</f>
        <v>-1.01E-2</v>
      </c>
    </row>
    <row r="115" spans="1:15" x14ac:dyDescent="0.25">
      <c r="A115" s="97" t="str">
        <f>'Data Vlaue (Cr)'!C110</f>
        <v>KALYANKJIL</v>
      </c>
      <c r="B115" s="142">
        <f>VLOOKUP(A115,'Data Vlaue (Cr)'!C110:CW323,99,0)</f>
        <v>2469</v>
      </c>
      <c r="C115" s="90">
        <f>VLOOKUP(A115,'Data Vlaue (Cr)'!C110:CY323,101,0)</f>
        <v>25</v>
      </c>
      <c r="D115" s="139">
        <f>VLOOKUP(A115,'Data Vlaue (Cr)'!C110:CZ323,102,0)</f>
        <v>1.03E-2</v>
      </c>
      <c r="E115" s="91">
        <f>VLOOKUP($A115,'Data Vlaue (Cr)'!$C:$FB,75)</f>
        <v>1608</v>
      </c>
      <c r="F115" s="91">
        <f>VLOOKUP($A115,'Data Vlaue (Cr)'!$C:$FB,77)</f>
        <v>4</v>
      </c>
      <c r="G115" s="92">
        <f>VLOOKUP(A115,'Data Vlaue (Cr)'!C110:CB323,78,0)</f>
        <v>2.7000000000000001E-3</v>
      </c>
      <c r="H115" s="91">
        <f>VLOOKUP($A115,'Data Vlaue (Cr)'!$C:$FB,91)</f>
        <v>556</v>
      </c>
      <c r="I115" s="91">
        <f>VLOOKUP($A115,'Data Vlaue (Cr)'!$C:$FB,93)</f>
        <v>15</v>
      </c>
      <c r="J115" s="92">
        <f>VLOOKUP($A115,'Data Vlaue (Cr)'!$C:$FB,94)</f>
        <v>2.7E-2</v>
      </c>
      <c r="K115" s="91">
        <f>VLOOKUP($A115,'Data Vlaue (Cr)'!$C:$FB,95)</f>
        <v>304</v>
      </c>
      <c r="L115" s="91">
        <f>VLOOKUP($A115,'Data Vlaue (Cr)'!$C:$FB,97)</f>
        <v>6</v>
      </c>
      <c r="M115" s="92">
        <f>VLOOKUP($A115,'Data Vlaue (Cr)'!$C:$FB,98)</f>
        <v>2.0799999999999999E-2</v>
      </c>
      <c r="N115" s="91">
        <f>VLOOKUP($A115,'Data Vlaue (Cr)'!$C:$FB,79)</f>
        <v>1539</v>
      </c>
      <c r="O115" s="92">
        <f>VLOOKUP($A115,'Data Vlaue (Cr)'!$C:$FB,82)</f>
        <v>1.1000000000000001E-3</v>
      </c>
    </row>
    <row r="116" spans="1:15" x14ac:dyDescent="0.25">
      <c r="A116" s="97" t="str">
        <f>'Data Vlaue (Cr)'!C111</f>
        <v>KAYNES</v>
      </c>
      <c r="B116" s="142">
        <f>VLOOKUP(A116,'Data Vlaue (Cr)'!C111:CW324,99,0)</f>
        <v>6128</v>
      </c>
      <c r="C116" s="90">
        <f>VLOOKUP(A116,'Data Vlaue (Cr)'!C111:CY324,101,0)</f>
        <v>-147</v>
      </c>
      <c r="D116" s="139">
        <f>VLOOKUP(A116,'Data Vlaue (Cr)'!C111:CZ324,102,0)</f>
        <v>-2.35E-2</v>
      </c>
      <c r="E116" s="91">
        <f>VLOOKUP($A116,'Data Vlaue (Cr)'!$C:$FB,75)</f>
        <v>1494</v>
      </c>
      <c r="F116" s="91">
        <f>VLOOKUP($A116,'Data Vlaue (Cr)'!$C:$FB,77)</f>
        <v>-51</v>
      </c>
      <c r="G116" s="92">
        <f>VLOOKUP(A116,'Data Vlaue (Cr)'!C111:CB324,78,0)</f>
        <v>-3.3099999999999997E-2</v>
      </c>
      <c r="H116" s="91">
        <f>VLOOKUP($A116,'Data Vlaue (Cr)'!$C:$FB,91)</f>
        <v>3331</v>
      </c>
      <c r="I116" s="91">
        <f>VLOOKUP($A116,'Data Vlaue (Cr)'!$C:$FB,93)</f>
        <v>-50</v>
      </c>
      <c r="J116" s="92">
        <f>VLOOKUP($A116,'Data Vlaue (Cr)'!$C:$FB,94)</f>
        <v>-1.47E-2</v>
      </c>
      <c r="K116" s="91">
        <f>VLOOKUP($A116,'Data Vlaue (Cr)'!$C:$FB,95)</f>
        <v>1303</v>
      </c>
      <c r="L116" s="91">
        <f>VLOOKUP($A116,'Data Vlaue (Cr)'!$C:$FB,97)</f>
        <v>-47</v>
      </c>
      <c r="M116" s="92">
        <f>VLOOKUP($A116,'Data Vlaue (Cr)'!$C:$FB,98)</f>
        <v>-3.4500000000000003E-2</v>
      </c>
      <c r="N116" s="91">
        <f>VLOOKUP($A116,'Data Vlaue (Cr)'!$C:$FB,79)</f>
        <v>1258</v>
      </c>
      <c r="O116" s="92">
        <f>VLOOKUP($A116,'Data Vlaue (Cr)'!$C:$FB,82)</f>
        <v>-5.0700000000000002E-2</v>
      </c>
    </row>
    <row r="117" spans="1:15" x14ac:dyDescent="0.25">
      <c r="A117" s="97" t="str">
        <f>'Data Vlaue (Cr)'!C112</f>
        <v>KEI</v>
      </c>
      <c r="B117" s="142">
        <f>VLOOKUP(A117,'Data Vlaue (Cr)'!C112:CW325,99,0)</f>
        <v>947</v>
      </c>
      <c r="C117" s="90">
        <f>VLOOKUP(A117,'Data Vlaue (Cr)'!C112:CY325,101,0)</f>
        <v>3</v>
      </c>
      <c r="D117" s="139">
        <f>VLOOKUP(A117,'Data Vlaue (Cr)'!C112:CZ325,102,0)</f>
        <v>2.8999999999999998E-3</v>
      </c>
      <c r="E117" s="91">
        <f>VLOOKUP($A117,'Data Vlaue (Cr)'!$C:$FB,75)</f>
        <v>486</v>
      </c>
      <c r="F117" s="91">
        <f>VLOOKUP($A117,'Data Vlaue (Cr)'!$C:$FB,77)</f>
        <v>12</v>
      </c>
      <c r="G117" s="92">
        <f>VLOOKUP(A117,'Data Vlaue (Cr)'!C112:CB325,78,0)</f>
        <v>2.4500000000000001E-2</v>
      </c>
      <c r="H117" s="91">
        <f>VLOOKUP($A117,'Data Vlaue (Cr)'!$C:$FB,91)</f>
        <v>272</v>
      </c>
      <c r="I117" s="91">
        <f>VLOOKUP($A117,'Data Vlaue (Cr)'!$C:$FB,93)</f>
        <v>-9</v>
      </c>
      <c r="J117" s="92">
        <f>VLOOKUP($A117,'Data Vlaue (Cr)'!$C:$FB,94)</f>
        <v>-3.2199999999999999E-2</v>
      </c>
      <c r="K117" s="91">
        <f>VLOOKUP($A117,'Data Vlaue (Cr)'!$C:$FB,95)</f>
        <v>189</v>
      </c>
      <c r="L117" s="91">
        <f>VLOOKUP($A117,'Data Vlaue (Cr)'!$C:$FB,97)</f>
        <v>0</v>
      </c>
      <c r="M117" s="92">
        <f>VLOOKUP($A117,'Data Vlaue (Cr)'!$C:$FB,98)</f>
        <v>8.0000000000000004E-4</v>
      </c>
      <c r="N117" s="91">
        <f>VLOOKUP($A117,'Data Vlaue (Cr)'!$C:$FB,79)</f>
        <v>440</v>
      </c>
      <c r="O117" s="92">
        <f>VLOOKUP($A117,'Data Vlaue (Cr)'!$C:$FB,82)</f>
        <v>1.66E-2</v>
      </c>
    </row>
    <row r="118" spans="1:15" x14ac:dyDescent="0.25">
      <c r="A118" s="97" t="str">
        <f>'Data Vlaue (Cr)'!C113</f>
        <v>KFINTECH</v>
      </c>
      <c r="B118" s="142">
        <f>VLOOKUP(A118,'Data Vlaue (Cr)'!C113:CW326,99,0)</f>
        <v>854</v>
      </c>
      <c r="C118" s="90">
        <f>VLOOKUP(A118,'Data Vlaue (Cr)'!C113:CY326,101,0)</f>
        <v>-68</v>
      </c>
      <c r="D118" s="139">
        <f>VLOOKUP(A118,'Data Vlaue (Cr)'!C113:CZ326,102,0)</f>
        <v>-7.3899999999999993E-2</v>
      </c>
      <c r="E118" s="91">
        <f>VLOOKUP($A118,'Data Vlaue (Cr)'!$C:$FB,75)</f>
        <v>377</v>
      </c>
      <c r="F118" s="91">
        <f>VLOOKUP($A118,'Data Vlaue (Cr)'!$C:$FB,77)</f>
        <v>-18</v>
      </c>
      <c r="G118" s="92">
        <f>VLOOKUP(A118,'Data Vlaue (Cr)'!C113:CB326,78,0)</f>
        <v>-4.53E-2</v>
      </c>
      <c r="H118" s="91">
        <f>VLOOKUP($A118,'Data Vlaue (Cr)'!$C:$FB,91)</f>
        <v>269</v>
      </c>
      <c r="I118" s="91">
        <f>VLOOKUP($A118,'Data Vlaue (Cr)'!$C:$FB,93)</f>
        <v>-53</v>
      </c>
      <c r="J118" s="92">
        <f>VLOOKUP($A118,'Data Vlaue (Cr)'!$C:$FB,94)</f>
        <v>-0.16350000000000001</v>
      </c>
      <c r="K118" s="91">
        <f>VLOOKUP($A118,'Data Vlaue (Cr)'!$C:$FB,95)</f>
        <v>208</v>
      </c>
      <c r="L118" s="91">
        <f>VLOOKUP($A118,'Data Vlaue (Cr)'!$C:$FB,97)</f>
        <v>2</v>
      </c>
      <c r="M118" s="92">
        <f>VLOOKUP($A118,'Data Vlaue (Cr)'!$C:$FB,98)</f>
        <v>1.11E-2</v>
      </c>
      <c r="N118" s="91">
        <f>VLOOKUP($A118,'Data Vlaue (Cr)'!$C:$FB,79)</f>
        <v>342</v>
      </c>
      <c r="O118" s="92">
        <f>VLOOKUP($A118,'Data Vlaue (Cr)'!$C:$FB,82)</f>
        <v>-4.0500000000000001E-2</v>
      </c>
    </row>
    <row r="119" spans="1:15" x14ac:dyDescent="0.25">
      <c r="A119" s="97" t="str">
        <f>'Data Vlaue (Cr)'!C114</f>
        <v>KOTAKBANK</v>
      </c>
      <c r="B119" s="142">
        <f>VLOOKUP(A119,'Data Vlaue (Cr)'!C114:CW327,99,0)</f>
        <v>12426</v>
      </c>
      <c r="C119" s="90">
        <f>VLOOKUP(A119,'Data Vlaue (Cr)'!C114:CY327,101,0)</f>
        <v>48</v>
      </c>
      <c r="D119" s="139">
        <f>VLOOKUP(A119,'Data Vlaue (Cr)'!C114:CZ327,102,0)</f>
        <v>3.8999999999999998E-3</v>
      </c>
      <c r="E119" s="91">
        <f>VLOOKUP($A119,'Data Vlaue (Cr)'!$C:$FB,75)</f>
        <v>8847</v>
      </c>
      <c r="F119" s="91">
        <f>VLOOKUP($A119,'Data Vlaue (Cr)'!$C:$FB,77)</f>
        <v>71</v>
      </c>
      <c r="G119" s="92">
        <f>VLOOKUP(A119,'Data Vlaue (Cr)'!C114:CB327,78,0)</f>
        <v>8.0999999999999996E-3</v>
      </c>
      <c r="H119" s="91">
        <f>VLOOKUP($A119,'Data Vlaue (Cr)'!$C:$FB,91)</f>
        <v>1946</v>
      </c>
      <c r="I119" s="91">
        <f>VLOOKUP($A119,'Data Vlaue (Cr)'!$C:$FB,93)</f>
        <v>-5</v>
      </c>
      <c r="J119" s="92">
        <f>VLOOKUP($A119,'Data Vlaue (Cr)'!$C:$FB,94)</f>
        <v>-2.5000000000000001E-3</v>
      </c>
      <c r="K119" s="91">
        <f>VLOOKUP($A119,'Data Vlaue (Cr)'!$C:$FB,95)</f>
        <v>1633</v>
      </c>
      <c r="L119" s="91">
        <f>VLOOKUP($A119,'Data Vlaue (Cr)'!$C:$FB,97)</f>
        <v>-18</v>
      </c>
      <c r="M119" s="92">
        <f>VLOOKUP($A119,'Data Vlaue (Cr)'!$C:$FB,98)</f>
        <v>-1.09E-2</v>
      </c>
      <c r="N119" s="91">
        <f>VLOOKUP($A119,'Data Vlaue (Cr)'!$C:$FB,79)</f>
        <v>7230</v>
      </c>
      <c r="O119" s="92">
        <f>VLOOKUP($A119,'Data Vlaue (Cr)'!$C:$FB,82)</f>
        <v>-4.1700000000000001E-2</v>
      </c>
    </row>
    <row r="120" spans="1:15" x14ac:dyDescent="0.25">
      <c r="A120" s="97" t="str">
        <f>'Data Vlaue (Cr)'!C115</f>
        <v>KPITTECH</v>
      </c>
      <c r="B120" s="142">
        <f>VLOOKUP(A120,'Data Vlaue (Cr)'!C115:CW328,99,0)</f>
        <v>957</v>
      </c>
      <c r="C120" s="90">
        <f>VLOOKUP(A120,'Data Vlaue (Cr)'!C115:CY328,101,0)</f>
        <v>14</v>
      </c>
      <c r="D120" s="139">
        <f>VLOOKUP(A120,'Data Vlaue (Cr)'!C115:CZ328,102,0)</f>
        <v>1.4999999999999999E-2</v>
      </c>
      <c r="E120" s="91">
        <f>VLOOKUP($A120,'Data Vlaue (Cr)'!$C:$FB,75)</f>
        <v>448</v>
      </c>
      <c r="F120" s="91">
        <f>VLOOKUP($A120,'Data Vlaue (Cr)'!$C:$FB,77)</f>
        <v>1</v>
      </c>
      <c r="G120" s="92">
        <f>VLOOKUP(A120,'Data Vlaue (Cr)'!C115:CB328,78,0)</f>
        <v>1.2999999999999999E-3</v>
      </c>
      <c r="H120" s="91">
        <f>VLOOKUP($A120,'Data Vlaue (Cr)'!$C:$FB,91)</f>
        <v>324</v>
      </c>
      <c r="I120" s="91">
        <f>VLOOKUP($A120,'Data Vlaue (Cr)'!$C:$FB,93)</f>
        <v>12</v>
      </c>
      <c r="J120" s="92">
        <f>VLOOKUP($A120,'Data Vlaue (Cr)'!$C:$FB,94)</f>
        <v>3.7600000000000001E-2</v>
      </c>
      <c r="K120" s="91">
        <f>VLOOKUP($A120,'Data Vlaue (Cr)'!$C:$FB,95)</f>
        <v>185</v>
      </c>
      <c r="L120" s="91">
        <f>VLOOKUP($A120,'Data Vlaue (Cr)'!$C:$FB,97)</f>
        <v>2</v>
      </c>
      <c r="M120" s="92">
        <f>VLOOKUP($A120,'Data Vlaue (Cr)'!$C:$FB,98)</f>
        <v>0.01</v>
      </c>
      <c r="N120" s="91">
        <f>VLOOKUP($A120,'Data Vlaue (Cr)'!$C:$FB,79)</f>
        <v>405</v>
      </c>
      <c r="O120" s="92">
        <f>VLOOKUP($A120,'Data Vlaue (Cr)'!$C:$FB,82)</f>
        <v>-5.8999999999999999E-3</v>
      </c>
    </row>
    <row r="121" spans="1:15" x14ac:dyDescent="0.25">
      <c r="A121" s="97" t="str">
        <f>'Data Vlaue (Cr)'!C116</f>
        <v>LAURUSLABS</v>
      </c>
      <c r="B121" s="142">
        <f>VLOOKUP(A121,'Data Vlaue (Cr)'!C116:CW329,99,0)</f>
        <v>3023</v>
      </c>
      <c r="C121" s="90">
        <f>VLOOKUP(A121,'Data Vlaue (Cr)'!C116:CY329,101,0)</f>
        <v>-34</v>
      </c>
      <c r="D121" s="139">
        <f>VLOOKUP(A121,'Data Vlaue (Cr)'!C116:CZ329,102,0)</f>
        <v>-1.0999999999999999E-2</v>
      </c>
      <c r="E121" s="91">
        <f>VLOOKUP($A121,'Data Vlaue (Cr)'!$C:$FB,75)</f>
        <v>1645</v>
      </c>
      <c r="F121" s="91">
        <f>VLOOKUP($A121,'Data Vlaue (Cr)'!$C:$FB,77)</f>
        <v>-16</v>
      </c>
      <c r="G121" s="92">
        <f>VLOOKUP(A121,'Data Vlaue (Cr)'!C116:CB329,78,0)</f>
        <v>-9.2999999999999992E-3</v>
      </c>
      <c r="H121" s="91">
        <f>VLOOKUP($A121,'Data Vlaue (Cr)'!$C:$FB,91)</f>
        <v>876</v>
      </c>
      <c r="I121" s="91">
        <f>VLOOKUP($A121,'Data Vlaue (Cr)'!$C:$FB,93)</f>
        <v>-25</v>
      </c>
      <c r="J121" s="92">
        <f>VLOOKUP($A121,'Data Vlaue (Cr)'!$C:$FB,94)</f>
        <v>-2.8000000000000001E-2</v>
      </c>
      <c r="K121" s="91">
        <f>VLOOKUP($A121,'Data Vlaue (Cr)'!$C:$FB,95)</f>
        <v>502</v>
      </c>
      <c r="L121" s="91">
        <f>VLOOKUP($A121,'Data Vlaue (Cr)'!$C:$FB,97)</f>
        <v>7</v>
      </c>
      <c r="M121" s="92">
        <f>VLOOKUP($A121,'Data Vlaue (Cr)'!$C:$FB,98)</f>
        <v>1.4200000000000001E-2</v>
      </c>
      <c r="N121" s="91">
        <f>VLOOKUP($A121,'Data Vlaue (Cr)'!$C:$FB,79)</f>
        <v>1468</v>
      </c>
      <c r="O121" s="92">
        <f>VLOOKUP($A121,'Data Vlaue (Cr)'!$C:$FB,82)</f>
        <v>-2.92E-2</v>
      </c>
    </row>
    <row r="122" spans="1:15" x14ac:dyDescent="0.25">
      <c r="A122" s="97" t="str">
        <f>'Data Vlaue (Cr)'!C117</f>
        <v>LICHSGFIN</v>
      </c>
      <c r="B122" s="142">
        <f>VLOOKUP(A122,'Data Vlaue (Cr)'!C117:CW330,99,0)</f>
        <v>2897</v>
      </c>
      <c r="C122" s="90">
        <f>VLOOKUP(A122,'Data Vlaue (Cr)'!C117:CY330,101,0)</f>
        <v>17</v>
      </c>
      <c r="D122" s="139">
        <f>VLOOKUP(A122,'Data Vlaue (Cr)'!C117:CZ330,102,0)</f>
        <v>5.8999999999999999E-3</v>
      </c>
      <c r="E122" s="91">
        <f>VLOOKUP($A122,'Data Vlaue (Cr)'!$C:$FB,75)</f>
        <v>1918</v>
      </c>
      <c r="F122" s="91">
        <f>VLOOKUP($A122,'Data Vlaue (Cr)'!$C:$FB,77)</f>
        <v>27</v>
      </c>
      <c r="G122" s="92">
        <f>VLOOKUP(A122,'Data Vlaue (Cr)'!C117:CB330,78,0)</f>
        <v>1.4500000000000001E-2</v>
      </c>
      <c r="H122" s="91">
        <f>VLOOKUP($A122,'Data Vlaue (Cr)'!$C:$FB,91)</f>
        <v>553</v>
      </c>
      <c r="I122" s="91">
        <f>VLOOKUP($A122,'Data Vlaue (Cr)'!$C:$FB,93)</f>
        <v>-14</v>
      </c>
      <c r="J122" s="92">
        <f>VLOOKUP($A122,'Data Vlaue (Cr)'!$C:$FB,94)</f>
        <v>-2.53E-2</v>
      </c>
      <c r="K122" s="91">
        <f>VLOOKUP($A122,'Data Vlaue (Cr)'!$C:$FB,95)</f>
        <v>427</v>
      </c>
      <c r="L122" s="91">
        <f>VLOOKUP($A122,'Data Vlaue (Cr)'!$C:$FB,97)</f>
        <v>4</v>
      </c>
      <c r="M122" s="92">
        <f>VLOOKUP($A122,'Data Vlaue (Cr)'!$C:$FB,98)</f>
        <v>8.8999999999999999E-3</v>
      </c>
      <c r="N122" s="91">
        <f>VLOOKUP($A122,'Data Vlaue (Cr)'!$C:$FB,79)</f>
        <v>1734</v>
      </c>
      <c r="O122" s="92">
        <f>VLOOKUP($A122,'Data Vlaue (Cr)'!$C:$FB,82)</f>
        <v>2.0000000000000001E-4</v>
      </c>
    </row>
    <row r="123" spans="1:15" x14ac:dyDescent="0.25">
      <c r="A123" s="97" t="str">
        <f>'Data Vlaue (Cr)'!C118</f>
        <v>LICI</v>
      </c>
      <c r="B123" s="142">
        <f>VLOOKUP(A123,'Data Vlaue (Cr)'!C118:CW331,99,0)</f>
        <v>2233</v>
      </c>
      <c r="C123" s="90">
        <f>VLOOKUP(A123,'Data Vlaue (Cr)'!C118:CY331,101,0)</f>
        <v>63</v>
      </c>
      <c r="D123" s="139">
        <f>VLOOKUP(A123,'Data Vlaue (Cr)'!C118:CZ331,102,0)</f>
        <v>2.8899999999999999E-2</v>
      </c>
      <c r="E123" s="91">
        <f>VLOOKUP($A123,'Data Vlaue (Cr)'!$C:$FB,75)</f>
        <v>1028</v>
      </c>
      <c r="F123" s="91">
        <f>VLOOKUP($A123,'Data Vlaue (Cr)'!$C:$FB,77)</f>
        <v>48</v>
      </c>
      <c r="G123" s="92">
        <f>VLOOKUP(A123,'Data Vlaue (Cr)'!C118:CB331,78,0)</f>
        <v>4.9200000000000001E-2</v>
      </c>
      <c r="H123" s="91">
        <f>VLOOKUP($A123,'Data Vlaue (Cr)'!$C:$FB,91)</f>
        <v>809</v>
      </c>
      <c r="I123" s="91">
        <f>VLOOKUP($A123,'Data Vlaue (Cr)'!$C:$FB,93)</f>
        <v>2</v>
      </c>
      <c r="J123" s="92">
        <f>VLOOKUP($A123,'Data Vlaue (Cr)'!$C:$FB,94)</f>
        <v>2.7000000000000001E-3</v>
      </c>
      <c r="K123" s="91">
        <f>VLOOKUP($A123,'Data Vlaue (Cr)'!$C:$FB,95)</f>
        <v>396</v>
      </c>
      <c r="L123" s="91">
        <f>VLOOKUP($A123,'Data Vlaue (Cr)'!$C:$FB,97)</f>
        <v>12</v>
      </c>
      <c r="M123" s="92">
        <f>VLOOKUP($A123,'Data Vlaue (Cr)'!$C:$FB,98)</f>
        <v>3.1800000000000002E-2</v>
      </c>
      <c r="N123" s="91">
        <f>VLOOKUP($A123,'Data Vlaue (Cr)'!$C:$FB,79)</f>
        <v>862</v>
      </c>
      <c r="O123" s="92">
        <f>VLOOKUP($A123,'Data Vlaue (Cr)'!$C:$FB,82)</f>
        <v>3.1699999999999999E-2</v>
      </c>
    </row>
    <row r="124" spans="1:15" x14ac:dyDescent="0.25">
      <c r="A124" s="97" t="str">
        <f>'Data Vlaue (Cr)'!C119</f>
        <v>LODHA</v>
      </c>
      <c r="B124" s="142">
        <f>VLOOKUP(A124,'Data Vlaue (Cr)'!C119:CW332,99,0)</f>
        <v>2213</v>
      </c>
      <c r="C124" s="90">
        <f>VLOOKUP(A124,'Data Vlaue (Cr)'!C119:CY332,101,0)</f>
        <v>-60</v>
      </c>
      <c r="D124" s="139">
        <f>VLOOKUP(A124,'Data Vlaue (Cr)'!C119:CZ332,102,0)</f>
        <v>-2.6599999999999999E-2</v>
      </c>
      <c r="E124" s="91">
        <f>VLOOKUP($A124,'Data Vlaue (Cr)'!$C:$FB,75)</f>
        <v>1405</v>
      </c>
      <c r="F124" s="91">
        <f>VLOOKUP($A124,'Data Vlaue (Cr)'!$C:$FB,77)</f>
        <v>-6</v>
      </c>
      <c r="G124" s="92">
        <f>VLOOKUP(A124,'Data Vlaue (Cr)'!C119:CB332,78,0)</f>
        <v>-4.4999999999999997E-3</v>
      </c>
      <c r="H124" s="91">
        <f>VLOOKUP($A124,'Data Vlaue (Cr)'!$C:$FB,91)</f>
        <v>550</v>
      </c>
      <c r="I124" s="91">
        <f>VLOOKUP($A124,'Data Vlaue (Cr)'!$C:$FB,93)</f>
        <v>-64</v>
      </c>
      <c r="J124" s="92">
        <f>VLOOKUP($A124,'Data Vlaue (Cr)'!$C:$FB,94)</f>
        <v>-0.1048</v>
      </c>
      <c r="K124" s="91">
        <f>VLOOKUP($A124,'Data Vlaue (Cr)'!$C:$FB,95)</f>
        <v>258</v>
      </c>
      <c r="L124" s="91">
        <f>VLOOKUP($A124,'Data Vlaue (Cr)'!$C:$FB,97)</f>
        <v>10</v>
      </c>
      <c r="M124" s="92">
        <f>VLOOKUP($A124,'Data Vlaue (Cr)'!$C:$FB,98)</f>
        <v>4.2000000000000003E-2</v>
      </c>
      <c r="N124" s="91">
        <f>VLOOKUP($A124,'Data Vlaue (Cr)'!$C:$FB,79)</f>
        <v>1299</v>
      </c>
      <c r="O124" s="92">
        <f>VLOOKUP($A124,'Data Vlaue (Cr)'!$C:$FB,82)</f>
        <v>-1.5599999999999999E-2</v>
      </c>
    </row>
    <row r="125" spans="1:15" x14ac:dyDescent="0.25">
      <c r="A125" s="97" t="str">
        <f>'Data Vlaue (Cr)'!C120</f>
        <v>LT</v>
      </c>
      <c r="B125" s="142">
        <f>VLOOKUP(A125,'Data Vlaue (Cr)'!C120:CW333,99,0)</f>
        <v>9183</v>
      </c>
      <c r="C125" s="90">
        <f>VLOOKUP(A125,'Data Vlaue (Cr)'!C120:CY333,101,0)</f>
        <v>53</v>
      </c>
      <c r="D125" s="139">
        <f>VLOOKUP(A125,'Data Vlaue (Cr)'!C120:CZ333,102,0)</f>
        <v>5.7999999999999996E-3</v>
      </c>
      <c r="E125" s="91">
        <f>VLOOKUP($A125,'Data Vlaue (Cr)'!$C:$FB,75)</f>
        <v>5595</v>
      </c>
      <c r="F125" s="91">
        <f>VLOOKUP($A125,'Data Vlaue (Cr)'!$C:$FB,77)</f>
        <v>71</v>
      </c>
      <c r="G125" s="92">
        <f>VLOOKUP(A125,'Data Vlaue (Cr)'!C120:CB333,78,0)</f>
        <v>1.29E-2</v>
      </c>
      <c r="H125" s="91">
        <f>VLOOKUP($A125,'Data Vlaue (Cr)'!$C:$FB,91)</f>
        <v>2304</v>
      </c>
      <c r="I125" s="91">
        <f>VLOOKUP($A125,'Data Vlaue (Cr)'!$C:$FB,93)</f>
        <v>6</v>
      </c>
      <c r="J125" s="92">
        <f>VLOOKUP($A125,'Data Vlaue (Cr)'!$C:$FB,94)</f>
        <v>2.3999999999999998E-3</v>
      </c>
      <c r="K125" s="91">
        <f>VLOOKUP($A125,'Data Vlaue (Cr)'!$C:$FB,95)</f>
        <v>1284</v>
      </c>
      <c r="L125" s="91">
        <f>VLOOKUP($A125,'Data Vlaue (Cr)'!$C:$FB,97)</f>
        <v>-24</v>
      </c>
      <c r="M125" s="92">
        <f>VLOOKUP($A125,'Data Vlaue (Cr)'!$C:$FB,98)</f>
        <v>-1.8700000000000001E-2</v>
      </c>
      <c r="N125" s="91">
        <f>VLOOKUP($A125,'Data Vlaue (Cr)'!$C:$FB,79)</f>
        <v>4464</v>
      </c>
      <c r="O125" s="92">
        <f>VLOOKUP($A125,'Data Vlaue (Cr)'!$C:$FB,82)</f>
        <v>-5.7599999999999998E-2</v>
      </c>
    </row>
    <row r="126" spans="1:15" x14ac:dyDescent="0.25">
      <c r="A126" s="97" t="str">
        <f>'Data Vlaue (Cr)'!C121</f>
        <v>LTF</v>
      </c>
      <c r="B126" s="142">
        <f>VLOOKUP(A126,'Data Vlaue (Cr)'!C121:CW334,99,0)</f>
        <v>3091</v>
      </c>
      <c r="C126" s="90">
        <f>VLOOKUP(A126,'Data Vlaue (Cr)'!C121:CY334,101,0)</f>
        <v>19</v>
      </c>
      <c r="D126" s="139">
        <f>VLOOKUP(A126,'Data Vlaue (Cr)'!C121:CZ334,102,0)</f>
        <v>6.3E-3</v>
      </c>
      <c r="E126" s="91">
        <f>VLOOKUP($A126,'Data Vlaue (Cr)'!$C:$FB,75)</f>
        <v>1239</v>
      </c>
      <c r="F126" s="91">
        <f>VLOOKUP($A126,'Data Vlaue (Cr)'!$C:$FB,77)</f>
        <v>18</v>
      </c>
      <c r="G126" s="92">
        <f>VLOOKUP(A126,'Data Vlaue (Cr)'!C121:CB334,78,0)</f>
        <v>1.46E-2</v>
      </c>
      <c r="H126" s="91">
        <f>VLOOKUP($A126,'Data Vlaue (Cr)'!$C:$FB,91)</f>
        <v>1131</v>
      </c>
      <c r="I126" s="91">
        <f>VLOOKUP($A126,'Data Vlaue (Cr)'!$C:$FB,93)</f>
        <v>4</v>
      </c>
      <c r="J126" s="92">
        <f>VLOOKUP($A126,'Data Vlaue (Cr)'!$C:$FB,94)</f>
        <v>3.5999999999999999E-3</v>
      </c>
      <c r="K126" s="91">
        <f>VLOOKUP($A126,'Data Vlaue (Cr)'!$C:$FB,95)</f>
        <v>721</v>
      </c>
      <c r="L126" s="91">
        <f>VLOOKUP($A126,'Data Vlaue (Cr)'!$C:$FB,97)</f>
        <v>-2</v>
      </c>
      <c r="M126" s="92">
        <f>VLOOKUP($A126,'Data Vlaue (Cr)'!$C:$FB,98)</f>
        <v>-3.3999999999999998E-3</v>
      </c>
      <c r="N126" s="91">
        <f>VLOOKUP($A126,'Data Vlaue (Cr)'!$C:$FB,79)</f>
        <v>1171</v>
      </c>
      <c r="O126" s="92">
        <f>VLOOKUP($A126,'Data Vlaue (Cr)'!$C:$FB,82)</f>
        <v>1.4999999999999999E-2</v>
      </c>
    </row>
    <row r="127" spans="1:15" x14ac:dyDescent="0.25">
      <c r="A127" s="97" t="str">
        <f>'Data Vlaue (Cr)'!C122</f>
        <v>LTIM</v>
      </c>
      <c r="B127" s="142">
        <f>VLOOKUP(A127,'Data Vlaue (Cr)'!C122:CW335,99,0)</f>
        <v>2607</v>
      </c>
      <c r="C127" s="90">
        <f>VLOOKUP(A127,'Data Vlaue (Cr)'!C122:CY335,101,0)</f>
        <v>124</v>
      </c>
      <c r="D127" s="139">
        <f>VLOOKUP(A127,'Data Vlaue (Cr)'!C122:CZ335,102,0)</f>
        <v>4.99E-2</v>
      </c>
      <c r="E127" s="91">
        <f>VLOOKUP($A127,'Data Vlaue (Cr)'!$C:$FB,75)</f>
        <v>1506</v>
      </c>
      <c r="F127" s="91">
        <f>VLOOKUP($A127,'Data Vlaue (Cr)'!$C:$FB,77)</f>
        <v>59</v>
      </c>
      <c r="G127" s="92">
        <f>VLOOKUP(A127,'Data Vlaue (Cr)'!C122:CB335,78,0)</f>
        <v>4.0599999999999997E-2</v>
      </c>
      <c r="H127" s="91">
        <f>VLOOKUP($A127,'Data Vlaue (Cr)'!$C:$FB,91)</f>
        <v>622</v>
      </c>
      <c r="I127" s="91">
        <f>VLOOKUP($A127,'Data Vlaue (Cr)'!$C:$FB,93)</f>
        <v>44</v>
      </c>
      <c r="J127" s="92">
        <f>VLOOKUP($A127,'Data Vlaue (Cr)'!$C:$FB,94)</f>
        <v>7.5200000000000003E-2</v>
      </c>
      <c r="K127" s="91">
        <f>VLOOKUP($A127,'Data Vlaue (Cr)'!$C:$FB,95)</f>
        <v>479</v>
      </c>
      <c r="L127" s="91">
        <f>VLOOKUP($A127,'Data Vlaue (Cr)'!$C:$FB,97)</f>
        <v>22</v>
      </c>
      <c r="M127" s="92">
        <f>VLOOKUP($A127,'Data Vlaue (Cr)'!$C:$FB,98)</f>
        <v>4.7300000000000002E-2</v>
      </c>
      <c r="N127" s="91">
        <f>VLOOKUP($A127,'Data Vlaue (Cr)'!$C:$FB,79)</f>
        <v>1353</v>
      </c>
      <c r="O127" s="92">
        <f>VLOOKUP($A127,'Data Vlaue (Cr)'!$C:$FB,82)</f>
        <v>0.02</v>
      </c>
    </row>
    <row r="128" spans="1:15" x14ac:dyDescent="0.25">
      <c r="A128" s="97" t="str">
        <f>'Data Vlaue (Cr)'!C123</f>
        <v>LUPIN</v>
      </c>
      <c r="B128" s="142">
        <f>VLOOKUP(A128,'Data Vlaue (Cr)'!C123:CW336,99,0)</f>
        <v>2635</v>
      </c>
      <c r="C128" s="90">
        <f>VLOOKUP(A128,'Data Vlaue (Cr)'!C123:CY336,101,0)</f>
        <v>-19</v>
      </c>
      <c r="D128" s="139">
        <f>VLOOKUP(A128,'Data Vlaue (Cr)'!C123:CZ336,102,0)</f>
        <v>-7.3000000000000001E-3</v>
      </c>
      <c r="E128" s="91">
        <f>VLOOKUP($A128,'Data Vlaue (Cr)'!$C:$FB,75)</f>
        <v>1521</v>
      </c>
      <c r="F128" s="91">
        <f>VLOOKUP($A128,'Data Vlaue (Cr)'!$C:$FB,77)</f>
        <v>-10</v>
      </c>
      <c r="G128" s="92">
        <f>VLOOKUP(A128,'Data Vlaue (Cr)'!C123:CB336,78,0)</f>
        <v>-6.4999999999999997E-3</v>
      </c>
      <c r="H128" s="91">
        <f>VLOOKUP($A128,'Data Vlaue (Cr)'!$C:$FB,91)</f>
        <v>619</v>
      </c>
      <c r="I128" s="91">
        <f>VLOOKUP($A128,'Data Vlaue (Cr)'!$C:$FB,93)</f>
        <v>-18</v>
      </c>
      <c r="J128" s="92">
        <f>VLOOKUP($A128,'Data Vlaue (Cr)'!$C:$FB,94)</f>
        <v>-2.8000000000000001E-2</v>
      </c>
      <c r="K128" s="91">
        <f>VLOOKUP($A128,'Data Vlaue (Cr)'!$C:$FB,95)</f>
        <v>494</v>
      </c>
      <c r="L128" s="91">
        <f>VLOOKUP($A128,'Data Vlaue (Cr)'!$C:$FB,97)</f>
        <v>8</v>
      </c>
      <c r="M128" s="92">
        <f>VLOOKUP($A128,'Data Vlaue (Cr)'!$C:$FB,98)</f>
        <v>1.7000000000000001E-2</v>
      </c>
      <c r="N128" s="91">
        <f>VLOOKUP($A128,'Data Vlaue (Cr)'!$C:$FB,79)</f>
        <v>1434</v>
      </c>
      <c r="O128" s="92">
        <f>VLOOKUP($A128,'Data Vlaue (Cr)'!$C:$FB,82)</f>
        <v>-2.0500000000000001E-2</v>
      </c>
    </row>
    <row r="129" spans="1:15" x14ac:dyDescent="0.25">
      <c r="A129" s="97" t="str">
        <f>'Data Vlaue (Cr)'!C124</f>
        <v>M&amp;M</v>
      </c>
      <c r="B129" s="142">
        <f>VLOOKUP(A129,'Data Vlaue (Cr)'!C124:CW337,99,0)</f>
        <v>10465</v>
      </c>
      <c r="C129" s="90">
        <f>VLOOKUP(A129,'Data Vlaue (Cr)'!C124:CY337,101,0)</f>
        <v>146</v>
      </c>
      <c r="D129" s="139">
        <f>VLOOKUP(A129,'Data Vlaue (Cr)'!C124:CZ337,102,0)</f>
        <v>1.4200000000000001E-2</v>
      </c>
      <c r="E129" s="91">
        <f>VLOOKUP($A129,'Data Vlaue (Cr)'!$C:$FB,75)</f>
        <v>6684</v>
      </c>
      <c r="F129" s="91">
        <f>VLOOKUP($A129,'Data Vlaue (Cr)'!$C:$FB,77)</f>
        <v>53</v>
      </c>
      <c r="G129" s="92">
        <f>VLOOKUP(A129,'Data Vlaue (Cr)'!C124:CB337,78,0)</f>
        <v>8.0000000000000002E-3</v>
      </c>
      <c r="H129" s="91">
        <f>VLOOKUP($A129,'Data Vlaue (Cr)'!$C:$FB,91)</f>
        <v>2456</v>
      </c>
      <c r="I129" s="91">
        <f>VLOOKUP($A129,'Data Vlaue (Cr)'!$C:$FB,93)</f>
        <v>54</v>
      </c>
      <c r="J129" s="92">
        <f>VLOOKUP($A129,'Data Vlaue (Cr)'!$C:$FB,94)</f>
        <v>2.24E-2</v>
      </c>
      <c r="K129" s="91">
        <f>VLOOKUP($A129,'Data Vlaue (Cr)'!$C:$FB,95)</f>
        <v>1325</v>
      </c>
      <c r="L129" s="91">
        <f>VLOOKUP($A129,'Data Vlaue (Cr)'!$C:$FB,97)</f>
        <v>39</v>
      </c>
      <c r="M129" s="92">
        <f>VLOOKUP($A129,'Data Vlaue (Cr)'!$C:$FB,98)</f>
        <v>3.0499999999999999E-2</v>
      </c>
      <c r="N129" s="91">
        <f>VLOOKUP($A129,'Data Vlaue (Cr)'!$C:$FB,79)</f>
        <v>5715</v>
      </c>
      <c r="O129" s="92">
        <f>VLOOKUP($A129,'Data Vlaue (Cr)'!$C:$FB,82)</f>
        <v>-4.2200000000000001E-2</v>
      </c>
    </row>
    <row r="130" spans="1:15" x14ac:dyDescent="0.25">
      <c r="A130" s="97" t="str">
        <f>'Data Vlaue (Cr)'!C125</f>
        <v>MANAPPURAM</v>
      </c>
      <c r="B130" s="142">
        <f>VLOOKUP(A130,'Data Vlaue (Cr)'!C125:CW338,99,0)</f>
        <v>2036</v>
      </c>
      <c r="C130" s="90">
        <f>VLOOKUP(A130,'Data Vlaue (Cr)'!C125:CY338,101,0)</f>
        <v>52</v>
      </c>
      <c r="D130" s="139">
        <f>VLOOKUP(A130,'Data Vlaue (Cr)'!C125:CZ338,102,0)</f>
        <v>2.64E-2</v>
      </c>
      <c r="E130" s="91">
        <f>VLOOKUP($A130,'Data Vlaue (Cr)'!$C:$FB,75)</f>
        <v>1121</v>
      </c>
      <c r="F130" s="91">
        <f>VLOOKUP($A130,'Data Vlaue (Cr)'!$C:$FB,77)</f>
        <v>-15</v>
      </c>
      <c r="G130" s="92">
        <f>VLOOKUP(A130,'Data Vlaue (Cr)'!C125:CB338,78,0)</f>
        <v>-1.3599999999999999E-2</v>
      </c>
      <c r="H130" s="91">
        <f>VLOOKUP($A130,'Data Vlaue (Cr)'!$C:$FB,91)</f>
        <v>577</v>
      </c>
      <c r="I130" s="91">
        <f>VLOOKUP($A130,'Data Vlaue (Cr)'!$C:$FB,93)</f>
        <v>68</v>
      </c>
      <c r="J130" s="92">
        <f>VLOOKUP($A130,'Data Vlaue (Cr)'!$C:$FB,94)</f>
        <v>0.1326</v>
      </c>
      <c r="K130" s="91">
        <f>VLOOKUP($A130,'Data Vlaue (Cr)'!$C:$FB,95)</f>
        <v>338</v>
      </c>
      <c r="L130" s="91">
        <f>VLOOKUP($A130,'Data Vlaue (Cr)'!$C:$FB,97)</f>
        <v>0</v>
      </c>
      <c r="M130" s="92">
        <f>VLOOKUP($A130,'Data Vlaue (Cr)'!$C:$FB,98)</f>
        <v>1E-3</v>
      </c>
      <c r="N130" s="91">
        <f>VLOOKUP($A130,'Data Vlaue (Cr)'!$C:$FB,79)</f>
        <v>1061</v>
      </c>
      <c r="O130" s="92">
        <f>VLOOKUP($A130,'Data Vlaue (Cr)'!$C:$FB,82)</f>
        <v>-1.9800000000000002E-2</v>
      </c>
    </row>
    <row r="131" spans="1:15" x14ac:dyDescent="0.25">
      <c r="A131" s="97" t="str">
        <f>'Data Vlaue (Cr)'!C126</f>
        <v>MANKIND</v>
      </c>
      <c r="B131" s="142">
        <f>VLOOKUP(A131,'Data Vlaue (Cr)'!C126:CW339,99,0)</f>
        <v>918</v>
      </c>
      <c r="C131" s="90">
        <f>VLOOKUP(A131,'Data Vlaue (Cr)'!C126:CY339,101,0)</f>
        <v>-29</v>
      </c>
      <c r="D131" s="139">
        <f>VLOOKUP(A131,'Data Vlaue (Cr)'!C126:CZ339,102,0)</f>
        <v>-3.0499999999999999E-2</v>
      </c>
      <c r="E131" s="91">
        <f>VLOOKUP($A131,'Data Vlaue (Cr)'!$C:$FB,75)</f>
        <v>572</v>
      </c>
      <c r="F131" s="91">
        <f>VLOOKUP($A131,'Data Vlaue (Cr)'!$C:$FB,77)</f>
        <v>1</v>
      </c>
      <c r="G131" s="92">
        <f>VLOOKUP(A131,'Data Vlaue (Cr)'!C126:CB339,78,0)</f>
        <v>1.1000000000000001E-3</v>
      </c>
      <c r="H131" s="91">
        <f>VLOOKUP($A131,'Data Vlaue (Cr)'!$C:$FB,91)</f>
        <v>226</v>
      </c>
      <c r="I131" s="91">
        <f>VLOOKUP($A131,'Data Vlaue (Cr)'!$C:$FB,93)</f>
        <v>-28</v>
      </c>
      <c r="J131" s="92">
        <f>VLOOKUP($A131,'Data Vlaue (Cr)'!$C:$FB,94)</f>
        <v>-0.109</v>
      </c>
      <c r="K131" s="91">
        <f>VLOOKUP($A131,'Data Vlaue (Cr)'!$C:$FB,95)</f>
        <v>120</v>
      </c>
      <c r="L131" s="91">
        <f>VLOOKUP($A131,'Data Vlaue (Cr)'!$C:$FB,97)</f>
        <v>-2</v>
      </c>
      <c r="M131" s="92">
        <f>VLOOKUP($A131,'Data Vlaue (Cr)'!$C:$FB,98)</f>
        <v>-1.5800000000000002E-2</v>
      </c>
      <c r="N131" s="91">
        <f>VLOOKUP($A131,'Data Vlaue (Cr)'!$C:$FB,79)</f>
        <v>517</v>
      </c>
      <c r="O131" s="92">
        <f>VLOOKUP($A131,'Data Vlaue (Cr)'!$C:$FB,82)</f>
        <v>-1.8200000000000001E-2</v>
      </c>
    </row>
    <row r="132" spans="1:15" x14ac:dyDescent="0.25">
      <c r="A132" s="97" t="str">
        <f>'Data Vlaue (Cr)'!C127</f>
        <v>MARICO</v>
      </c>
      <c r="B132" s="142">
        <f>VLOOKUP(A132,'Data Vlaue (Cr)'!C127:CW340,99,0)</f>
        <v>3244</v>
      </c>
      <c r="C132" s="90">
        <f>VLOOKUP(A132,'Data Vlaue (Cr)'!C127:CY340,101,0)</f>
        <v>-56</v>
      </c>
      <c r="D132" s="139">
        <f>VLOOKUP(A132,'Data Vlaue (Cr)'!C127:CZ340,102,0)</f>
        <v>-1.7100000000000001E-2</v>
      </c>
      <c r="E132" s="91">
        <f>VLOOKUP($A132,'Data Vlaue (Cr)'!$C:$FB,75)</f>
        <v>2496</v>
      </c>
      <c r="F132" s="91">
        <f>VLOOKUP($A132,'Data Vlaue (Cr)'!$C:$FB,77)</f>
        <v>-25</v>
      </c>
      <c r="G132" s="92">
        <f>VLOOKUP(A132,'Data Vlaue (Cr)'!C127:CB340,78,0)</f>
        <v>-1.01E-2</v>
      </c>
      <c r="H132" s="91">
        <f>VLOOKUP($A132,'Data Vlaue (Cr)'!$C:$FB,91)</f>
        <v>454</v>
      </c>
      <c r="I132" s="91">
        <f>VLOOKUP($A132,'Data Vlaue (Cr)'!$C:$FB,93)</f>
        <v>-31</v>
      </c>
      <c r="J132" s="92">
        <f>VLOOKUP($A132,'Data Vlaue (Cr)'!$C:$FB,94)</f>
        <v>-6.3899999999999998E-2</v>
      </c>
      <c r="K132" s="91">
        <f>VLOOKUP($A132,'Data Vlaue (Cr)'!$C:$FB,95)</f>
        <v>294</v>
      </c>
      <c r="L132" s="91">
        <f>VLOOKUP($A132,'Data Vlaue (Cr)'!$C:$FB,97)</f>
        <v>0</v>
      </c>
      <c r="M132" s="92">
        <f>VLOOKUP($A132,'Data Vlaue (Cr)'!$C:$FB,98)</f>
        <v>2.9999999999999997E-4</v>
      </c>
      <c r="N132" s="91">
        <f>VLOOKUP($A132,'Data Vlaue (Cr)'!$C:$FB,79)</f>
        <v>2475</v>
      </c>
      <c r="O132" s="92">
        <f>VLOOKUP($A132,'Data Vlaue (Cr)'!$C:$FB,82)</f>
        <v>-1.1299999999999999E-2</v>
      </c>
    </row>
    <row r="133" spans="1:15" x14ac:dyDescent="0.25">
      <c r="A133" s="97" t="str">
        <f>'Data Vlaue (Cr)'!C128</f>
        <v>MARUTI</v>
      </c>
      <c r="B133" s="142">
        <f>VLOOKUP(A133,'Data Vlaue (Cr)'!C128:CW341,99,0)</f>
        <v>9734</v>
      </c>
      <c r="C133" s="90">
        <f>VLOOKUP(A133,'Data Vlaue (Cr)'!C128:CY341,101,0)</f>
        <v>-89</v>
      </c>
      <c r="D133" s="139">
        <f>VLOOKUP(A133,'Data Vlaue (Cr)'!C128:CZ341,102,0)</f>
        <v>-9.1000000000000004E-3</v>
      </c>
      <c r="E133" s="91">
        <f>VLOOKUP($A133,'Data Vlaue (Cr)'!$C:$FB,75)</f>
        <v>4698</v>
      </c>
      <c r="F133" s="91">
        <f>VLOOKUP($A133,'Data Vlaue (Cr)'!$C:$FB,77)</f>
        <v>27</v>
      </c>
      <c r="G133" s="92">
        <f>VLOOKUP(A133,'Data Vlaue (Cr)'!C128:CB341,78,0)</f>
        <v>5.7000000000000002E-3</v>
      </c>
      <c r="H133" s="91">
        <f>VLOOKUP($A133,'Data Vlaue (Cr)'!$C:$FB,91)</f>
        <v>2619</v>
      </c>
      <c r="I133" s="91">
        <f>VLOOKUP($A133,'Data Vlaue (Cr)'!$C:$FB,93)</f>
        <v>-23</v>
      </c>
      <c r="J133" s="92">
        <f>VLOOKUP($A133,'Data Vlaue (Cr)'!$C:$FB,94)</f>
        <v>-8.8000000000000005E-3</v>
      </c>
      <c r="K133" s="91">
        <f>VLOOKUP($A133,'Data Vlaue (Cr)'!$C:$FB,95)</f>
        <v>2417</v>
      </c>
      <c r="L133" s="91">
        <f>VLOOKUP($A133,'Data Vlaue (Cr)'!$C:$FB,97)</f>
        <v>-93</v>
      </c>
      <c r="M133" s="92">
        <f>VLOOKUP($A133,'Data Vlaue (Cr)'!$C:$FB,98)</f>
        <v>-3.6999999999999998E-2</v>
      </c>
      <c r="N133" s="91">
        <f>VLOOKUP($A133,'Data Vlaue (Cr)'!$C:$FB,79)</f>
        <v>4205</v>
      </c>
      <c r="O133" s="92">
        <f>VLOOKUP($A133,'Data Vlaue (Cr)'!$C:$FB,82)</f>
        <v>-1.72E-2</v>
      </c>
    </row>
    <row r="134" spans="1:15" x14ac:dyDescent="0.25">
      <c r="A134" s="97" t="str">
        <f>'Data Vlaue (Cr)'!C129</f>
        <v>MAXHEALTH</v>
      </c>
      <c r="B134" s="142">
        <f>VLOOKUP(A134,'Data Vlaue (Cr)'!C129:CW342,99,0)</f>
        <v>3209</v>
      </c>
      <c r="C134" s="90">
        <f>VLOOKUP(A134,'Data Vlaue (Cr)'!C129:CY342,101,0)</f>
        <v>-39</v>
      </c>
      <c r="D134" s="139">
        <f>VLOOKUP(A134,'Data Vlaue (Cr)'!C129:CZ342,102,0)</f>
        <v>-1.2200000000000001E-2</v>
      </c>
      <c r="E134" s="91">
        <f>VLOOKUP($A134,'Data Vlaue (Cr)'!$C:$FB,75)</f>
        <v>2163</v>
      </c>
      <c r="F134" s="91">
        <f>VLOOKUP($A134,'Data Vlaue (Cr)'!$C:$FB,77)</f>
        <v>89</v>
      </c>
      <c r="G134" s="92">
        <f>VLOOKUP(A134,'Data Vlaue (Cr)'!C129:CB342,78,0)</f>
        <v>4.2700000000000002E-2</v>
      </c>
      <c r="H134" s="91">
        <f>VLOOKUP($A134,'Data Vlaue (Cr)'!$C:$FB,91)</f>
        <v>663</v>
      </c>
      <c r="I134" s="91">
        <f>VLOOKUP($A134,'Data Vlaue (Cr)'!$C:$FB,93)</f>
        <v>-105</v>
      </c>
      <c r="J134" s="92">
        <f>VLOOKUP($A134,'Data Vlaue (Cr)'!$C:$FB,94)</f>
        <v>-0.1368</v>
      </c>
      <c r="K134" s="91">
        <f>VLOOKUP($A134,'Data Vlaue (Cr)'!$C:$FB,95)</f>
        <v>382</v>
      </c>
      <c r="L134" s="91">
        <f>VLOOKUP($A134,'Data Vlaue (Cr)'!$C:$FB,97)</f>
        <v>-23</v>
      </c>
      <c r="M134" s="92">
        <f>VLOOKUP($A134,'Data Vlaue (Cr)'!$C:$FB,98)</f>
        <v>-5.6800000000000003E-2</v>
      </c>
      <c r="N134" s="91">
        <f>VLOOKUP($A134,'Data Vlaue (Cr)'!$C:$FB,79)</f>
        <v>1964</v>
      </c>
      <c r="O134" s="92">
        <f>VLOOKUP($A134,'Data Vlaue (Cr)'!$C:$FB,82)</f>
        <v>2.5000000000000001E-3</v>
      </c>
    </row>
    <row r="135" spans="1:15" x14ac:dyDescent="0.25">
      <c r="A135" s="97" t="str">
        <f>'Data Vlaue (Cr)'!C130</f>
        <v>MAZDOCK</v>
      </c>
      <c r="B135" s="142">
        <f>VLOOKUP(A135,'Data Vlaue (Cr)'!C130:CW343,99,0)</f>
        <v>2489</v>
      </c>
      <c r="C135" s="90">
        <f>VLOOKUP(A135,'Data Vlaue (Cr)'!C130:CY343,101,0)</f>
        <v>-14</v>
      </c>
      <c r="D135" s="139">
        <f>VLOOKUP(A135,'Data Vlaue (Cr)'!C130:CZ343,102,0)</f>
        <v>-5.7999999999999996E-3</v>
      </c>
      <c r="E135" s="91">
        <f>VLOOKUP($A135,'Data Vlaue (Cr)'!$C:$FB,75)</f>
        <v>1080</v>
      </c>
      <c r="F135" s="91">
        <f>VLOOKUP($A135,'Data Vlaue (Cr)'!$C:$FB,77)</f>
        <v>-5</v>
      </c>
      <c r="G135" s="92">
        <f>VLOOKUP(A135,'Data Vlaue (Cr)'!C130:CB343,78,0)</f>
        <v>-4.8999999999999998E-3</v>
      </c>
      <c r="H135" s="91">
        <f>VLOOKUP($A135,'Data Vlaue (Cr)'!$C:$FB,91)</f>
        <v>974</v>
      </c>
      <c r="I135" s="91">
        <f>VLOOKUP($A135,'Data Vlaue (Cr)'!$C:$FB,93)</f>
        <v>-21</v>
      </c>
      <c r="J135" s="92">
        <f>VLOOKUP($A135,'Data Vlaue (Cr)'!$C:$FB,94)</f>
        <v>-2.1600000000000001E-2</v>
      </c>
      <c r="K135" s="91">
        <f>VLOOKUP($A135,'Data Vlaue (Cr)'!$C:$FB,95)</f>
        <v>436</v>
      </c>
      <c r="L135" s="91">
        <f>VLOOKUP($A135,'Data Vlaue (Cr)'!$C:$FB,97)</f>
        <v>12</v>
      </c>
      <c r="M135" s="92">
        <f>VLOOKUP($A135,'Data Vlaue (Cr)'!$C:$FB,98)</f>
        <v>2.92E-2</v>
      </c>
      <c r="N135" s="91">
        <f>VLOOKUP($A135,'Data Vlaue (Cr)'!$C:$FB,79)</f>
        <v>958</v>
      </c>
      <c r="O135" s="92">
        <f>VLOOKUP($A135,'Data Vlaue (Cr)'!$C:$FB,82)</f>
        <v>-8.9999999999999993E-3</v>
      </c>
    </row>
    <row r="136" spans="1:15" x14ac:dyDescent="0.25">
      <c r="A136" s="97" t="str">
        <f>'Data Vlaue (Cr)'!C131</f>
        <v>MCX</v>
      </c>
      <c r="B136" s="142">
        <f>VLOOKUP(A136,'Data Vlaue (Cr)'!C131:CW344,99,0)</f>
        <v>7907</v>
      </c>
      <c r="C136" s="90">
        <f>VLOOKUP(A136,'Data Vlaue (Cr)'!C131:CY344,101,0)</f>
        <v>-275</v>
      </c>
      <c r="D136" s="139">
        <f>VLOOKUP(A136,'Data Vlaue (Cr)'!C131:CZ344,102,0)</f>
        <v>-3.3599999999999998E-2</v>
      </c>
      <c r="E136" s="91">
        <f>VLOOKUP($A136,'Data Vlaue (Cr)'!$C:$FB,75)</f>
        <v>2956</v>
      </c>
      <c r="F136" s="91">
        <f>VLOOKUP($A136,'Data Vlaue (Cr)'!$C:$FB,77)</f>
        <v>11</v>
      </c>
      <c r="G136" s="92">
        <f>VLOOKUP(A136,'Data Vlaue (Cr)'!C131:CB344,78,0)</f>
        <v>3.8999999999999998E-3</v>
      </c>
      <c r="H136" s="91">
        <f>VLOOKUP($A136,'Data Vlaue (Cr)'!$C:$FB,91)</f>
        <v>2964</v>
      </c>
      <c r="I136" s="91">
        <f>VLOOKUP($A136,'Data Vlaue (Cr)'!$C:$FB,93)</f>
        <v>-239</v>
      </c>
      <c r="J136" s="92">
        <f>VLOOKUP($A136,'Data Vlaue (Cr)'!$C:$FB,94)</f>
        <v>-7.46E-2</v>
      </c>
      <c r="K136" s="91">
        <f>VLOOKUP($A136,'Data Vlaue (Cr)'!$C:$FB,95)</f>
        <v>1987</v>
      </c>
      <c r="L136" s="91">
        <f>VLOOKUP($A136,'Data Vlaue (Cr)'!$C:$FB,97)</f>
        <v>-48</v>
      </c>
      <c r="M136" s="92">
        <f>VLOOKUP($A136,'Data Vlaue (Cr)'!$C:$FB,98)</f>
        <v>-2.3400000000000001E-2</v>
      </c>
      <c r="N136" s="91">
        <f>VLOOKUP($A136,'Data Vlaue (Cr)'!$C:$FB,79)</f>
        <v>2618</v>
      </c>
      <c r="O136" s="92">
        <f>VLOOKUP($A136,'Data Vlaue (Cr)'!$C:$FB,82)</f>
        <v>-4.0000000000000002E-4</v>
      </c>
    </row>
    <row r="137" spans="1:15" x14ac:dyDescent="0.25">
      <c r="A137" s="97" t="str">
        <f>'Data Vlaue (Cr)'!C132</f>
        <v>MFSL</v>
      </c>
      <c r="B137" s="142">
        <f>VLOOKUP(A137,'Data Vlaue (Cr)'!C132:CW345,99,0)</f>
        <v>1827</v>
      </c>
      <c r="C137" s="90">
        <f>VLOOKUP(A137,'Data Vlaue (Cr)'!C132:CY345,101,0)</f>
        <v>2</v>
      </c>
      <c r="D137" s="139">
        <f>VLOOKUP(A137,'Data Vlaue (Cr)'!C132:CZ345,102,0)</f>
        <v>8.9999999999999998E-4</v>
      </c>
      <c r="E137" s="91">
        <f>VLOOKUP($A137,'Data Vlaue (Cr)'!$C:$FB,75)</f>
        <v>1347</v>
      </c>
      <c r="F137" s="91">
        <f>VLOOKUP($A137,'Data Vlaue (Cr)'!$C:$FB,77)</f>
        <v>5</v>
      </c>
      <c r="G137" s="92">
        <f>VLOOKUP(A137,'Data Vlaue (Cr)'!C132:CB345,78,0)</f>
        <v>3.5999999999999999E-3</v>
      </c>
      <c r="H137" s="91">
        <f>VLOOKUP($A137,'Data Vlaue (Cr)'!$C:$FB,91)</f>
        <v>309</v>
      </c>
      <c r="I137" s="91">
        <f>VLOOKUP($A137,'Data Vlaue (Cr)'!$C:$FB,93)</f>
        <v>-6</v>
      </c>
      <c r="J137" s="92">
        <f>VLOOKUP($A137,'Data Vlaue (Cr)'!$C:$FB,94)</f>
        <v>-1.9099999999999999E-2</v>
      </c>
      <c r="K137" s="91">
        <f>VLOOKUP($A137,'Data Vlaue (Cr)'!$C:$FB,95)</f>
        <v>171</v>
      </c>
      <c r="L137" s="91">
        <f>VLOOKUP($A137,'Data Vlaue (Cr)'!$C:$FB,97)</f>
        <v>3</v>
      </c>
      <c r="M137" s="92">
        <f>VLOOKUP($A137,'Data Vlaue (Cr)'!$C:$FB,98)</f>
        <v>1.6899999999999998E-2</v>
      </c>
      <c r="N137" s="91">
        <f>VLOOKUP($A137,'Data Vlaue (Cr)'!$C:$FB,79)</f>
        <v>1313</v>
      </c>
      <c r="O137" s="92">
        <f>VLOOKUP($A137,'Data Vlaue (Cr)'!$C:$FB,82)</f>
        <v>-3.3E-3</v>
      </c>
    </row>
    <row r="138" spans="1:15" x14ac:dyDescent="0.25">
      <c r="A138" s="97" t="str">
        <f>'Data Vlaue (Cr)'!C133</f>
        <v>MIDCPNIFTY</v>
      </c>
      <c r="B138" s="142">
        <f>VLOOKUP(A138,'Data Vlaue (Cr)'!C133:CW346,99,0)</f>
        <v>30875</v>
      </c>
      <c r="C138" s="90">
        <f>VLOOKUP(A138,'Data Vlaue (Cr)'!C133:CY346,101,0)</f>
        <v>-31</v>
      </c>
      <c r="D138" s="139">
        <f>VLOOKUP(A138,'Data Vlaue (Cr)'!C133:CZ346,102,0)</f>
        <v>-1E-3</v>
      </c>
      <c r="E138" s="91">
        <f>VLOOKUP($A138,'Data Vlaue (Cr)'!$C:$FB,75)</f>
        <v>3459</v>
      </c>
      <c r="F138" s="91">
        <f>VLOOKUP($A138,'Data Vlaue (Cr)'!$C:$FB,77)</f>
        <v>-49</v>
      </c>
      <c r="G138" s="92">
        <f>VLOOKUP(A138,'Data Vlaue (Cr)'!C133:CB346,78,0)</f>
        <v>-1.4E-2</v>
      </c>
      <c r="H138" s="91">
        <f>VLOOKUP($A138,'Data Vlaue (Cr)'!$C:$FB,91)</f>
        <v>14226</v>
      </c>
      <c r="I138" s="91">
        <f>VLOOKUP($A138,'Data Vlaue (Cr)'!$C:$FB,93)</f>
        <v>-501</v>
      </c>
      <c r="J138" s="92">
        <f>VLOOKUP($A138,'Data Vlaue (Cr)'!$C:$FB,94)</f>
        <v>-3.4000000000000002E-2</v>
      </c>
      <c r="K138" s="91">
        <f>VLOOKUP($A138,'Data Vlaue (Cr)'!$C:$FB,95)</f>
        <v>13189</v>
      </c>
      <c r="L138" s="91">
        <f>VLOOKUP($A138,'Data Vlaue (Cr)'!$C:$FB,97)</f>
        <v>519</v>
      </c>
      <c r="M138" s="92">
        <f>VLOOKUP($A138,'Data Vlaue (Cr)'!$C:$FB,98)</f>
        <v>4.1000000000000002E-2</v>
      </c>
      <c r="N138" s="91">
        <f>VLOOKUP($A138,'Data Vlaue (Cr)'!$C:$FB,79)</f>
        <v>3250</v>
      </c>
      <c r="O138" s="92">
        <f>VLOOKUP($A138,'Data Vlaue (Cr)'!$C:$FB,82)</f>
        <v>-2.1299999999999999E-2</v>
      </c>
    </row>
    <row r="139" spans="1:15" x14ac:dyDescent="0.25">
      <c r="A139" s="97" t="str">
        <f>'Data Vlaue (Cr)'!C134</f>
        <v>MOTHERSON</v>
      </c>
      <c r="B139" s="142">
        <f>VLOOKUP(A139,'Data Vlaue (Cr)'!C134:CW347,99,0)</f>
        <v>3419</v>
      </c>
      <c r="C139" s="90">
        <f>VLOOKUP(A139,'Data Vlaue (Cr)'!C134:CY347,101,0)</f>
        <v>-93</v>
      </c>
      <c r="D139" s="139">
        <f>VLOOKUP(A139,'Data Vlaue (Cr)'!C134:CZ347,102,0)</f>
        <v>-2.6499999999999999E-2</v>
      </c>
      <c r="E139" s="91">
        <f>VLOOKUP($A139,'Data Vlaue (Cr)'!$C:$FB,75)</f>
        <v>2246</v>
      </c>
      <c r="F139" s="91">
        <f>VLOOKUP($A139,'Data Vlaue (Cr)'!$C:$FB,77)</f>
        <v>13</v>
      </c>
      <c r="G139" s="92">
        <f>VLOOKUP(A139,'Data Vlaue (Cr)'!C134:CB347,78,0)</f>
        <v>6.0000000000000001E-3</v>
      </c>
      <c r="H139" s="91">
        <f>VLOOKUP($A139,'Data Vlaue (Cr)'!$C:$FB,91)</f>
        <v>697</v>
      </c>
      <c r="I139" s="91">
        <f>VLOOKUP($A139,'Data Vlaue (Cr)'!$C:$FB,93)</f>
        <v>-20</v>
      </c>
      <c r="J139" s="92">
        <f>VLOOKUP($A139,'Data Vlaue (Cr)'!$C:$FB,94)</f>
        <v>-2.7699999999999999E-2</v>
      </c>
      <c r="K139" s="91">
        <f>VLOOKUP($A139,'Data Vlaue (Cr)'!$C:$FB,95)</f>
        <v>476</v>
      </c>
      <c r="L139" s="91">
        <f>VLOOKUP($A139,'Data Vlaue (Cr)'!$C:$FB,97)</f>
        <v>-86</v>
      </c>
      <c r="M139" s="92">
        <f>VLOOKUP($A139,'Data Vlaue (Cr)'!$C:$FB,98)</f>
        <v>-0.1537</v>
      </c>
      <c r="N139" s="91">
        <f>VLOOKUP($A139,'Data Vlaue (Cr)'!$C:$FB,79)</f>
        <v>2133</v>
      </c>
      <c r="O139" s="92">
        <f>VLOOKUP($A139,'Data Vlaue (Cr)'!$C:$FB,82)</f>
        <v>-5.7000000000000002E-3</v>
      </c>
    </row>
    <row r="140" spans="1:15" x14ac:dyDescent="0.25">
      <c r="A140" s="97" t="str">
        <f>'Data Vlaue (Cr)'!C135</f>
        <v>MPHASIS</v>
      </c>
      <c r="B140" s="142">
        <f>VLOOKUP(A140,'Data Vlaue (Cr)'!C135:CW348,99,0)</f>
        <v>2612</v>
      </c>
      <c r="C140" s="90">
        <f>VLOOKUP(A140,'Data Vlaue (Cr)'!C135:CY348,101,0)</f>
        <v>61</v>
      </c>
      <c r="D140" s="139">
        <f>VLOOKUP(A140,'Data Vlaue (Cr)'!C135:CZ348,102,0)</f>
        <v>2.3699999999999999E-2</v>
      </c>
      <c r="E140" s="91">
        <f>VLOOKUP($A140,'Data Vlaue (Cr)'!$C:$FB,75)</f>
        <v>1849</v>
      </c>
      <c r="F140" s="91">
        <f>VLOOKUP($A140,'Data Vlaue (Cr)'!$C:$FB,77)</f>
        <v>-4</v>
      </c>
      <c r="G140" s="92">
        <f>VLOOKUP(A140,'Data Vlaue (Cr)'!C135:CB348,78,0)</f>
        <v>-2.3E-3</v>
      </c>
      <c r="H140" s="91">
        <f>VLOOKUP($A140,'Data Vlaue (Cr)'!$C:$FB,91)</f>
        <v>436</v>
      </c>
      <c r="I140" s="91">
        <f>VLOOKUP($A140,'Data Vlaue (Cr)'!$C:$FB,93)</f>
        <v>40</v>
      </c>
      <c r="J140" s="92">
        <f>VLOOKUP($A140,'Data Vlaue (Cr)'!$C:$FB,94)</f>
        <v>0.1024</v>
      </c>
      <c r="K140" s="91">
        <f>VLOOKUP($A140,'Data Vlaue (Cr)'!$C:$FB,95)</f>
        <v>327</v>
      </c>
      <c r="L140" s="91">
        <f>VLOOKUP($A140,'Data Vlaue (Cr)'!$C:$FB,97)</f>
        <v>24</v>
      </c>
      <c r="M140" s="92">
        <f>VLOOKUP($A140,'Data Vlaue (Cr)'!$C:$FB,98)</f>
        <v>8.0600000000000005E-2</v>
      </c>
      <c r="N140" s="91">
        <f>VLOOKUP($A140,'Data Vlaue (Cr)'!$C:$FB,79)</f>
        <v>1796</v>
      </c>
      <c r="O140" s="92">
        <f>VLOOKUP($A140,'Data Vlaue (Cr)'!$C:$FB,82)</f>
        <v>-9.1000000000000004E-3</v>
      </c>
    </row>
    <row r="141" spans="1:15" x14ac:dyDescent="0.25">
      <c r="A141" s="97" t="str">
        <f>'Data Vlaue (Cr)'!C136</f>
        <v>MUTHOOTFIN</v>
      </c>
      <c r="B141" s="142">
        <f>VLOOKUP(A141,'Data Vlaue (Cr)'!C136:CW349,99,0)</f>
        <v>3203</v>
      </c>
      <c r="C141" s="90">
        <f>VLOOKUP(A141,'Data Vlaue (Cr)'!C136:CY349,101,0)</f>
        <v>35</v>
      </c>
      <c r="D141" s="139">
        <f>VLOOKUP(A141,'Data Vlaue (Cr)'!C136:CZ349,102,0)</f>
        <v>1.0999999999999999E-2</v>
      </c>
      <c r="E141" s="91">
        <f>VLOOKUP($A141,'Data Vlaue (Cr)'!$C:$FB,75)</f>
        <v>1268</v>
      </c>
      <c r="F141" s="91">
        <f>VLOOKUP($A141,'Data Vlaue (Cr)'!$C:$FB,77)</f>
        <v>82</v>
      </c>
      <c r="G141" s="92">
        <f>VLOOKUP(A141,'Data Vlaue (Cr)'!C136:CB349,78,0)</f>
        <v>6.9099999999999995E-2</v>
      </c>
      <c r="H141" s="91">
        <f>VLOOKUP($A141,'Data Vlaue (Cr)'!$C:$FB,91)</f>
        <v>1276</v>
      </c>
      <c r="I141" s="91">
        <f>VLOOKUP($A141,'Data Vlaue (Cr)'!$C:$FB,93)</f>
        <v>-27</v>
      </c>
      <c r="J141" s="92">
        <f>VLOOKUP($A141,'Data Vlaue (Cr)'!$C:$FB,94)</f>
        <v>-2.0899999999999998E-2</v>
      </c>
      <c r="K141" s="91">
        <f>VLOOKUP($A141,'Data Vlaue (Cr)'!$C:$FB,95)</f>
        <v>659</v>
      </c>
      <c r="L141" s="91">
        <f>VLOOKUP($A141,'Data Vlaue (Cr)'!$C:$FB,97)</f>
        <v>-20</v>
      </c>
      <c r="M141" s="92">
        <f>VLOOKUP($A141,'Data Vlaue (Cr)'!$C:$FB,98)</f>
        <v>-2.93E-2</v>
      </c>
      <c r="N141" s="91">
        <f>VLOOKUP($A141,'Data Vlaue (Cr)'!$C:$FB,79)</f>
        <v>1091</v>
      </c>
      <c r="O141" s="92">
        <f>VLOOKUP($A141,'Data Vlaue (Cr)'!$C:$FB,82)</f>
        <v>4.2900000000000001E-2</v>
      </c>
    </row>
    <row r="142" spans="1:15" x14ac:dyDescent="0.25">
      <c r="A142" s="97" t="str">
        <f>'Data Vlaue (Cr)'!C137</f>
        <v>NATIONALUM</v>
      </c>
      <c r="B142" s="142">
        <f>VLOOKUP(A142,'Data Vlaue (Cr)'!C137:CW350,99,0)</f>
        <v>3368</v>
      </c>
      <c r="C142" s="90">
        <f>VLOOKUP(A142,'Data Vlaue (Cr)'!C137:CY350,101,0)</f>
        <v>-16</v>
      </c>
      <c r="D142" s="139">
        <f>VLOOKUP(A142,'Data Vlaue (Cr)'!C137:CZ350,102,0)</f>
        <v>-4.7999999999999996E-3</v>
      </c>
      <c r="E142" s="91">
        <f>VLOOKUP($A142,'Data Vlaue (Cr)'!$C:$FB,75)</f>
        <v>1588</v>
      </c>
      <c r="F142" s="91">
        <f>VLOOKUP($A142,'Data Vlaue (Cr)'!$C:$FB,77)</f>
        <v>-76</v>
      </c>
      <c r="G142" s="92">
        <f>VLOOKUP(A142,'Data Vlaue (Cr)'!C137:CB350,78,0)</f>
        <v>-4.5900000000000003E-2</v>
      </c>
      <c r="H142" s="91">
        <f>VLOOKUP($A142,'Data Vlaue (Cr)'!$C:$FB,91)</f>
        <v>949</v>
      </c>
      <c r="I142" s="91">
        <f>VLOOKUP($A142,'Data Vlaue (Cr)'!$C:$FB,93)</f>
        <v>18</v>
      </c>
      <c r="J142" s="92">
        <f>VLOOKUP($A142,'Data Vlaue (Cr)'!$C:$FB,94)</f>
        <v>1.9800000000000002E-2</v>
      </c>
      <c r="K142" s="91">
        <f>VLOOKUP($A142,'Data Vlaue (Cr)'!$C:$FB,95)</f>
        <v>831</v>
      </c>
      <c r="L142" s="91">
        <f>VLOOKUP($A142,'Data Vlaue (Cr)'!$C:$FB,97)</f>
        <v>42</v>
      </c>
      <c r="M142" s="92">
        <f>VLOOKUP($A142,'Data Vlaue (Cr)'!$C:$FB,98)</f>
        <v>5.2900000000000003E-2</v>
      </c>
      <c r="N142" s="91">
        <f>VLOOKUP($A142,'Data Vlaue (Cr)'!$C:$FB,79)</f>
        <v>1408</v>
      </c>
      <c r="O142" s="92">
        <f>VLOOKUP($A142,'Data Vlaue (Cr)'!$C:$FB,82)</f>
        <v>-5.91E-2</v>
      </c>
    </row>
    <row r="143" spans="1:15" x14ac:dyDescent="0.25">
      <c r="A143" s="97" t="str">
        <f>'Data Vlaue (Cr)'!C138</f>
        <v>NAUKRI</v>
      </c>
      <c r="B143" s="142">
        <f>VLOOKUP(A143,'Data Vlaue (Cr)'!C138:CW351,99,0)</f>
        <v>1813</v>
      </c>
      <c r="C143" s="90">
        <f>VLOOKUP(A143,'Data Vlaue (Cr)'!C138:CY351,101,0)</f>
        <v>-5</v>
      </c>
      <c r="D143" s="139">
        <f>VLOOKUP(A143,'Data Vlaue (Cr)'!C138:CZ351,102,0)</f>
        <v>-2.5999999999999999E-3</v>
      </c>
      <c r="E143" s="91">
        <f>VLOOKUP($A143,'Data Vlaue (Cr)'!$C:$FB,75)</f>
        <v>1141</v>
      </c>
      <c r="F143" s="91">
        <f>VLOOKUP($A143,'Data Vlaue (Cr)'!$C:$FB,77)</f>
        <v>5</v>
      </c>
      <c r="G143" s="92">
        <f>VLOOKUP(A143,'Data Vlaue (Cr)'!C138:CB351,78,0)</f>
        <v>4.4999999999999997E-3</v>
      </c>
      <c r="H143" s="91">
        <f>VLOOKUP($A143,'Data Vlaue (Cr)'!$C:$FB,91)</f>
        <v>372</v>
      </c>
      <c r="I143" s="91">
        <f>VLOOKUP($A143,'Data Vlaue (Cr)'!$C:$FB,93)</f>
        <v>1</v>
      </c>
      <c r="J143" s="92">
        <f>VLOOKUP($A143,'Data Vlaue (Cr)'!$C:$FB,94)</f>
        <v>1.5E-3</v>
      </c>
      <c r="K143" s="91">
        <f>VLOOKUP($A143,'Data Vlaue (Cr)'!$C:$FB,95)</f>
        <v>300</v>
      </c>
      <c r="L143" s="91">
        <f>VLOOKUP($A143,'Data Vlaue (Cr)'!$C:$FB,97)</f>
        <v>-10</v>
      </c>
      <c r="M143" s="92">
        <f>VLOOKUP($A143,'Data Vlaue (Cr)'!$C:$FB,98)</f>
        <v>-3.3399999999999999E-2</v>
      </c>
      <c r="N143" s="91">
        <f>VLOOKUP($A143,'Data Vlaue (Cr)'!$C:$FB,79)</f>
        <v>1052</v>
      </c>
      <c r="O143" s="92">
        <f>VLOOKUP($A143,'Data Vlaue (Cr)'!$C:$FB,82)</f>
        <v>-3.0000000000000001E-3</v>
      </c>
    </row>
    <row r="144" spans="1:15" x14ac:dyDescent="0.25">
      <c r="A144" s="97" t="str">
        <f>'Data Vlaue (Cr)'!C139</f>
        <v>NBCC</v>
      </c>
      <c r="B144" s="142">
        <f>VLOOKUP(A144,'Data Vlaue (Cr)'!C139:CW352,99,0)</f>
        <v>1910</v>
      </c>
      <c r="C144" s="90">
        <f>VLOOKUP(A144,'Data Vlaue (Cr)'!C139:CY352,101,0)</f>
        <v>78</v>
      </c>
      <c r="D144" s="139">
        <f>VLOOKUP(A144,'Data Vlaue (Cr)'!C139:CZ352,102,0)</f>
        <v>4.2299999999999997E-2</v>
      </c>
      <c r="E144" s="91">
        <f>VLOOKUP($A144,'Data Vlaue (Cr)'!$C:$FB,75)</f>
        <v>972</v>
      </c>
      <c r="F144" s="91">
        <f>VLOOKUP($A144,'Data Vlaue (Cr)'!$C:$FB,77)</f>
        <v>18</v>
      </c>
      <c r="G144" s="92">
        <f>VLOOKUP(A144,'Data Vlaue (Cr)'!C139:CB352,78,0)</f>
        <v>1.9E-2</v>
      </c>
      <c r="H144" s="91">
        <f>VLOOKUP($A144,'Data Vlaue (Cr)'!$C:$FB,91)</f>
        <v>675</v>
      </c>
      <c r="I144" s="91">
        <f>VLOOKUP($A144,'Data Vlaue (Cr)'!$C:$FB,93)</f>
        <v>49</v>
      </c>
      <c r="J144" s="92">
        <f>VLOOKUP($A144,'Data Vlaue (Cr)'!$C:$FB,94)</f>
        <v>7.8E-2</v>
      </c>
      <c r="K144" s="91">
        <f>VLOOKUP($A144,'Data Vlaue (Cr)'!$C:$FB,95)</f>
        <v>263</v>
      </c>
      <c r="L144" s="91">
        <f>VLOOKUP($A144,'Data Vlaue (Cr)'!$C:$FB,97)</f>
        <v>11</v>
      </c>
      <c r="M144" s="92">
        <f>VLOOKUP($A144,'Data Vlaue (Cr)'!$C:$FB,98)</f>
        <v>4.1799999999999997E-2</v>
      </c>
      <c r="N144" s="91">
        <f>VLOOKUP($A144,'Data Vlaue (Cr)'!$C:$FB,79)</f>
        <v>897</v>
      </c>
      <c r="O144" s="92">
        <f>VLOOKUP($A144,'Data Vlaue (Cr)'!$C:$FB,82)</f>
        <v>3.5999999999999999E-3</v>
      </c>
    </row>
    <row r="145" spans="1:15" x14ac:dyDescent="0.25">
      <c r="A145" s="97" t="str">
        <f>'Data Vlaue (Cr)'!C140</f>
        <v>NCC</v>
      </c>
      <c r="B145" s="142">
        <f>VLOOKUP(A145,'Data Vlaue (Cr)'!C140:CW353,99,0)</f>
        <v>861</v>
      </c>
      <c r="C145" s="90">
        <f>VLOOKUP(A145,'Data Vlaue (Cr)'!C140:CY353,101,0)</f>
        <v>3</v>
      </c>
      <c r="D145" s="139">
        <f>VLOOKUP(A145,'Data Vlaue (Cr)'!C140:CZ353,102,0)</f>
        <v>3.5000000000000001E-3</v>
      </c>
      <c r="E145" s="91">
        <f>VLOOKUP($A145,'Data Vlaue (Cr)'!$C:$FB,75)</f>
        <v>334</v>
      </c>
      <c r="F145" s="91">
        <f>VLOOKUP($A145,'Data Vlaue (Cr)'!$C:$FB,77)</f>
        <v>-8</v>
      </c>
      <c r="G145" s="92">
        <f>VLOOKUP(A145,'Data Vlaue (Cr)'!C140:CB353,78,0)</f>
        <v>-2.4400000000000002E-2</v>
      </c>
      <c r="H145" s="91">
        <f>VLOOKUP($A145,'Data Vlaue (Cr)'!$C:$FB,91)</f>
        <v>372</v>
      </c>
      <c r="I145" s="91">
        <f>VLOOKUP($A145,'Data Vlaue (Cr)'!$C:$FB,93)</f>
        <v>9</v>
      </c>
      <c r="J145" s="92">
        <f>VLOOKUP($A145,'Data Vlaue (Cr)'!$C:$FB,94)</f>
        <v>2.53E-2</v>
      </c>
      <c r="K145" s="91">
        <f>VLOOKUP($A145,'Data Vlaue (Cr)'!$C:$FB,95)</f>
        <v>155</v>
      </c>
      <c r="L145" s="91">
        <f>VLOOKUP($A145,'Data Vlaue (Cr)'!$C:$FB,97)</f>
        <v>2</v>
      </c>
      <c r="M145" s="92">
        <f>VLOOKUP($A145,'Data Vlaue (Cr)'!$C:$FB,98)</f>
        <v>1.44E-2</v>
      </c>
      <c r="N145" s="91">
        <f>VLOOKUP($A145,'Data Vlaue (Cr)'!$C:$FB,79)</f>
        <v>334</v>
      </c>
      <c r="O145" s="92">
        <f>VLOOKUP($A145,'Data Vlaue (Cr)'!$C:$FB,82)</f>
        <v>-2.4400000000000002E-2</v>
      </c>
    </row>
    <row r="146" spans="1:15" x14ac:dyDescent="0.25">
      <c r="A146" s="97" t="str">
        <f>'Data Vlaue (Cr)'!C141</f>
        <v>NESTLEIND</v>
      </c>
      <c r="B146" s="142">
        <f>VLOOKUP(A146,'Data Vlaue (Cr)'!C141:CW354,99,0)</f>
        <v>3232</v>
      </c>
      <c r="C146" s="90">
        <f>VLOOKUP(A146,'Data Vlaue (Cr)'!C141:CY354,101,0)</f>
        <v>8</v>
      </c>
      <c r="D146" s="139">
        <f>VLOOKUP(A146,'Data Vlaue (Cr)'!C141:CZ354,102,0)</f>
        <v>2.3999999999999998E-3</v>
      </c>
      <c r="E146" s="91">
        <f>VLOOKUP($A146,'Data Vlaue (Cr)'!$C:$FB,75)</f>
        <v>2047</v>
      </c>
      <c r="F146" s="91">
        <f>VLOOKUP($A146,'Data Vlaue (Cr)'!$C:$FB,77)</f>
        <v>7</v>
      </c>
      <c r="G146" s="92">
        <f>VLOOKUP(A146,'Data Vlaue (Cr)'!C141:CB354,78,0)</f>
        <v>3.2000000000000002E-3</v>
      </c>
      <c r="H146" s="91">
        <f>VLOOKUP($A146,'Data Vlaue (Cr)'!$C:$FB,91)</f>
        <v>905</v>
      </c>
      <c r="I146" s="91">
        <f>VLOOKUP($A146,'Data Vlaue (Cr)'!$C:$FB,93)</f>
        <v>4</v>
      </c>
      <c r="J146" s="92">
        <f>VLOOKUP($A146,'Data Vlaue (Cr)'!$C:$FB,94)</f>
        <v>4.1999999999999997E-3</v>
      </c>
      <c r="K146" s="91">
        <f>VLOOKUP($A146,'Data Vlaue (Cr)'!$C:$FB,95)</f>
        <v>281</v>
      </c>
      <c r="L146" s="91">
        <f>VLOOKUP($A146,'Data Vlaue (Cr)'!$C:$FB,97)</f>
        <v>-3</v>
      </c>
      <c r="M146" s="92">
        <f>VLOOKUP($A146,'Data Vlaue (Cr)'!$C:$FB,98)</f>
        <v>-9.5999999999999992E-3</v>
      </c>
      <c r="N146" s="91">
        <f>VLOOKUP($A146,'Data Vlaue (Cr)'!$C:$FB,79)</f>
        <v>1763</v>
      </c>
      <c r="O146" s="92">
        <f>VLOOKUP($A146,'Data Vlaue (Cr)'!$C:$FB,82)</f>
        <v>-2.0400000000000001E-2</v>
      </c>
    </row>
    <row r="147" spans="1:15" x14ac:dyDescent="0.25">
      <c r="A147" s="97" t="str">
        <f>'Data Vlaue (Cr)'!C142</f>
        <v>NHPC</v>
      </c>
      <c r="B147" s="142">
        <f>VLOOKUP(A147,'Data Vlaue (Cr)'!C142:CW355,99,0)</f>
        <v>1083</v>
      </c>
      <c r="C147" s="90">
        <f>VLOOKUP(A147,'Data Vlaue (Cr)'!C142:CY355,101,0)</f>
        <v>15</v>
      </c>
      <c r="D147" s="139">
        <f>VLOOKUP(A147,'Data Vlaue (Cr)'!C142:CZ355,102,0)</f>
        <v>1.4E-2</v>
      </c>
      <c r="E147" s="91">
        <f>VLOOKUP($A147,'Data Vlaue (Cr)'!$C:$FB,75)</f>
        <v>565</v>
      </c>
      <c r="F147" s="91">
        <f>VLOOKUP($A147,'Data Vlaue (Cr)'!$C:$FB,77)</f>
        <v>7</v>
      </c>
      <c r="G147" s="92">
        <f>VLOOKUP(A147,'Data Vlaue (Cr)'!C142:CB355,78,0)</f>
        <v>1.21E-2</v>
      </c>
      <c r="H147" s="91">
        <f>VLOOKUP($A147,'Data Vlaue (Cr)'!$C:$FB,91)</f>
        <v>360</v>
      </c>
      <c r="I147" s="91">
        <f>VLOOKUP($A147,'Data Vlaue (Cr)'!$C:$FB,93)</f>
        <v>7</v>
      </c>
      <c r="J147" s="92">
        <f>VLOOKUP($A147,'Data Vlaue (Cr)'!$C:$FB,94)</f>
        <v>2.0500000000000001E-2</v>
      </c>
      <c r="K147" s="91">
        <f>VLOOKUP($A147,'Data Vlaue (Cr)'!$C:$FB,95)</f>
        <v>158</v>
      </c>
      <c r="L147" s="91">
        <f>VLOOKUP($A147,'Data Vlaue (Cr)'!$C:$FB,97)</f>
        <v>1</v>
      </c>
      <c r="M147" s="92">
        <f>VLOOKUP($A147,'Data Vlaue (Cr)'!$C:$FB,98)</f>
        <v>6.4000000000000003E-3</v>
      </c>
      <c r="N147" s="91">
        <f>VLOOKUP($A147,'Data Vlaue (Cr)'!$C:$FB,79)</f>
        <v>494</v>
      </c>
      <c r="O147" s="92">
        <f>VLOOKUP($A147,'Data Vlaue (Cr)'!$C:$FB,82)</f>
        <v>-1.32E-2</v>
      </c>
    </row>
    <row r="148" spans="1:15" x14ac:dyDescent="0.25">
      <c r="A148" s="97" t="str">
        <f>'Data Vlaue (Cr)'!C143</f>
        <v>NIFTY</v>
      </c>
      <c r="B148" s="142">
        <f>VLOOKUP(A148,'Data Vlaue (Cr)'!C143:CW356,99,0)</f>
        <v>1258077</v>
      </c>
      <c r="C148" s="90">
        <f>VLOOKUP(A148,'Data Vlaue (Cr)'!C143:CY356,101,0)</f>
        <v>85548</v>
      </c>
      <c r="D148" s="139">
        <f>VLOOKUP(A148,'Data Vlaue (Cr)'!C143:CZ356,102,0)</f>
        <v>7.2999999999999995E-2</v>
      </c>
      <c r="E148" s="91">
        <f>VLOOKUP($A148,'Data Vlaue (Cr)'!$C:$FB,75)</f>
        <v>47359</v>
      </c>
      <c r="F148" s="91">
        <f>VLOOKUP($A148,'Data Vlaue (Cr)'!$C:$FB,77)</f>
        <v>-699</v>
      </c>
      <c r="G148" s="92">
        <f>VLOOKUP(A148,'Data Vlaue (Cr)'!C143:CB356,78,0)</f>
        <v>-1.4500000000000001E-2</v>
      </c>
      <c r="H148" s="91">
        <f>VLOOKUP($A148,'Data Vlaue (Cr)'!$C:$FB,91)</f>
        <v>661101</v>
      </c>
      <c r="I148" s="91">
        <f>VLOOKUP($A148,'Data Vlaue (Cr)'!$C:$FB,93)</f>
        <v>25179</v>
      </c>
      <c r="J148" s="92">
        <f>VLOOKUP($A148,'Data Vlaue (Cr)'!$C:$FB,94)</f>
        <v>3.9600000000000003E-2</v>
      </c>
      <c r="K148" s="91">
        <f>VLOOKUP($A148,'Data Vlaue (Cr)'!$C:$FB,95)</f>
        <v>549617</v>
      </c>
      <c r="L148" s="91">
        <f>VLOOKUP($A148,'Data Vlaue (Cr)'!$C:$FB,97)</f>
        <v>61069</v>
      </c>
      <c r="M148" s="92">
        <f>VLOOKUP($A148,'Data Vlaue (Cr)'!$C:$FB,98)</f>
        <v>0.125</v>
      </c>
      <c r="N148" s="91">
        <f>VLOOKUP($A148,'Data Vlaue (Cr)'!$C:$FB,79)</f>
        <v>41520</v>
      </c>
      <c r="O148" s="92">
        <f>VLOOKUP($A148,'Data Vlaue (Cr)'!$C:$FB,82)</f>
        <v>-2.2599999999999999E-2</v>
      </c>
    </row>
    <row r="149" spans="1:15" x14ac:dyDescent="0.25">
      <c r="A149" s="97" t="str">
        <f>'Data Vlaue (Cr)'!C144</f>
        <v>NIFTYNXT50</v>
      </c>
      <c r="B149" s="142">
        <f>VLOOKUP(A149,'Data Vlaue (Cr)'!C144:CW357,99,0)</f>
        <v>440</v>
      </c>
      <c r="C149" s="90">
        <f>VLOOKUP(A149,'Data Vlaue (Cr)'!C144:CY357,101,0)</f>
        <v>28</v>
      </c>
      <c r="D149" s="139">
        <f>VLOOKUP(A149,'Data Vlaue (Cr)'!C144:CZ357,102,0)</f>
        <v>6.88E-2</v>
      </c>
      <c r="E149" s="91">
        <f>VLOOKUP($A149,'Data Vlaue (Cr)'!$C:$FB,75)</f>
        <v>213</v>
      </c>
      <c r="F149" s="91">
        <f>VLOOKUP($A149,'Data Vlaue (Cr)'!$C:$FB,77)</f>
        <v>12</v>
      </c>
      <c r="G149" s="92">
        <f>VLOOKUP(A149,'Data Vlaue (Cr)'!C144:CB357,78,0)</f>
        <v>6.1699999999999998E-2</v>
      </c>
      <c r="H149" s="91">
        <f>VLOOKUP($A149,'Data Vlaue (Cr)'!$C:$FB,91)</f>
        <v>123</v>
      </c>
      <c r="I149" s="91">
        <f>VLOOKUP($A149,'Data Vlaue (Cr)'!$C:$FB,93)</f>
        <v>14</v>
      </c>
      <c r="J149" s="92">
        <f>VLOOKUP($A149,'Data Vlaue (Cr)'!$C:$FB,94)</f>
        <v>0.12540000000000001</v>
      </c>
      <c r="K149" s="91">
        <f>VLOOKUP($A149,'Data Vlaue (Cr)'!$C:$FB,95)</f>
        <v>104</v>
      </c>
      <c r="L149" s="91">
        <f>VLOOKUP($A149,'Data Vlaue (Cr)'!$C:$FB,97)</f>
        <v>2</v>
      </c>
      <c r="M149" s="92">
        <f>VLOOKUP($A149,'Data Vlaue (Cr)'!$C:$FB,98)</f>
        <v>2.1700000000000001E-2</v>
      </c>
      <c r="N149" s="91">
        <f>VLOOKUP($A149,'Data Vlaue (Cr)'!$C:$FB,79)</f>
        <v>187</v>
      </c>
      <c r="O149" s="92">
        <f>VLOOKUP($A149,'Data Vlaue (Cr)'!$C:$FB,82)</f>
        <v>5.1400000000000001E-2</v>
      </c>
    </row>
    <row r="150" spans="1:15" x14ac:dyDescent="0.25">
      <c r="A150" s="97" t="str">
        <f>'Data Vlaue (Cr)'!C145</f>
        <v>NMDC</v>
      </c>
      <c r="B150" s="142">
        <f>VLOOKUP(A150,'Data Vlaue (Cr)'!C145:CW358,99,0)</f>
        <v>3984</v>
      </c>
      <c r="C150" s="90">
        <f>VLOOKUP(A150,'Data Vlaue (Cr)'!C145:CY358,101,0)</f>
        <v>10</v>
      </c>
      <c r="D150" s="139">
        <f>VLOOKUP(A150,'Data Vlaue (Cr)'!C145:CZ358,102,0)</f>
        <v>2.5999999999999999E-3</v>
      </c>
      <c r="E150" s="91">
        <f>VLOOKUP($A150,'Data Vlaue (Cr)'!$C:$FB,75)</f>
        <v>2610</v>
      </c>
      <c r="F150" s="91">
        <f>VLOOKUP($A150,'Data Vlaue (Cr)'!$C:$FB,77)</f>
        <v>10</v>
      </c>
      <c r="G150" s="92">
        <f>VLOOKUP(A150,'Data Vlaue (Cr)'!C145:CB358,78,0)</f>
        <v>3.8E-3</v>
      </c>
      <c r="H150" s="91">
        <f>VLOOKUP($A150,'Data Vlaue (Cr)'!$C:$FB,91)</f>
        <v>816</v>
      </c>
      <c r="I150" s="91">
        <f>VLOOKUP($A150,'Data Vlaue (Cr)'!$C:$FB,93)</f>
        <v>-2</v>
      </c>
      <c r="J150" s="92">
        <f>VLOOKUP($A150,'Data Vlaue (Cr)'!$C:$FB,94)</f>
        <v>-2E-3</v>
      </c>
      <c r="K150" s="91">
        <f>VLOOKUP($A150,'Data Vlaue (Cr)'!$C:$FB,95)</f>
        <v>557</v>
      </c>
      <c r="L150" s="91">
        <f>VLOOKUP($A150,'Data Vlaue (Cr)'!$C:$FB,97)</f>
        <v>2</v>
      </c>
      <c r="M150" s="92">
        <f>VLOOKUP($A150,'Data Vlaue (Cr)'!$C:$FB,98)</f>
        <v>3.8E-3</v>
      </c>
      <c r="N150" s="91">
        <f>VLOOKUP($A150,'Data Vlaue (Cr)'!$C:$FB,79)</f>
        <v>2468</v>
      </c>
      <c r="O150" s="92">
        <f>VLOOKUP($A150,'Data Vlaue (Cr)'!$C:$FB,82)</f>
        <v>-2.5999999999999999E-3</v>
      </c>
    </row>
    <row r="151" spans="1:15" x14ac:dyDescent="0.25">
      <c r="A151" s="97" t="str">
        <f>'Data Vlaue (Cr)'!C146</f>
        <v>NTPC</v>
      </c>
      <c r="B151" s="142">
        <f>VLOOKUP(A151,'Data Vlaue (Cr)'!C146:CW359,99,0)</f>
        <v>4816</v>
      </c>
      <c r="C151" s="90">
        <f>VLOOKUP(A151,'Data Vlaue (Cr)'!C146:CY359,101,0)</f>
        <v>78</v>
      </c>
      <c r="D151" s="139">
        <f>VLOOKUP(A151,'Data Vlaue (Cr)'!C146:CZ359,102,0)</f>
        <v>1.6400000000000001E-2</v>
      </c>
      <c r="E151" s="91">
        <f>VLOOKUP($A151,'Data Vlaue (Cr)'!$C:$FB,75)</f>
        <v>2947</v>
      </c>
      <c r="F151" s="91">
        <f>VLOOKUP($A151,'Data Vlaue (Cr)'!$C:$FB,77)</f>
        <v>27</v>
      </c>
      <c r="G151" s="92">
        <f>VLOOKUP(A151,'Data Vlaue (Cr)'!C146:CB359,78,0)</f>
        <v>9.1999999999999998E-3</v>
      </c>
      <c r="H151" s="91">
        <f>VLOOKUP($A151,'Data Vlaue (Cr)'!$C:$FB,91)</f>
        <v>1165</v>
      </c>
      <c r="I151" s="91">
        <f>VLOOKUP($A151,'Data Vlaue (Cr)'!$C:$FB,93)</f>
        <v>41</v>
      </c>
      <c r="J151" s="92">
        <f>VLOOKUP($A151,'Data Vlaue (Cr)'!$C:$FB,94)</f>
        <v>3.6499999999999998E-2</v>
      </c>
      <c r="K151" s="91">
        <f>VLOOKUP($A151,'Data Vlaue (Cr)'!$C:$FB,95)</f>
        <v>704</v>
      </c>
      <c r="L151" s="91">
        <f>VLOOKUP($A151,'Data Vlaue (Cr)'!$C:$FB,97)</f>
        <v>10</v>
      </c>
      <c r="M151" s="92">
        <f>VLOOKUP($A151,'Data Vlaue (Cr)'!$C:$FB,98)</f>
        <v>1.4200000000000001E-2</v>
      </c>
      <c r="N151" s="91">
        <f>VLOOKUP($A151,'Data Vlaue (Cr)'!$C:$FB,79)</f>
        <v>2602</v>
      </c>
      <c r="O151" s="92">
        <f>VLOOKUP($A151,'Data Vlaue (Cr)'!$C:$FB,82)</f>
        <v>-2.3199999999999998E-2</v>
      </c>
    </row>
    <row r="152" spans="1:15" x14ac:dyDescent="0.25">
      <c r="A152" s="97" t="str">
        <f>'Data Vlaue (Cr)'!C147</f>
        <v>NUVAMA</v>
      </c>
      <c r="B152" s="142">
        <f>VLOOKUP(A152,'Data Vlaue (Cr)'!C147:CW360,99,0)</f>
        <v>812</v>
      </c>
      <c r="C152" s="90">
        <f>VLOOKUP(A152,'Data Vlaue (Cr)'!C147:CY360,101,0)</f>
        <v>165</v>
      </c>
      <c r="D152" s="139">
        <f>VLOOKUP(A152,'Data Vlaue (Cr)'!C147:CZ360,102,0)</f>
        <v>0.2555</v>
      </c>
      <c r="E152" s="91">
        <f>VLOOKUP($A152,'Data Vlaue (Cr)'!$C:$FB,75)</f>
        <v>314</v>
      </c>
      <c r="F152" s="91">
        <f>VLOOKUP($A152,'Data Vlaue (Cr)'!$C:$FB,77)</f>
        <v>38</v>
      </c>
      <c r="G152" s="92">
        <f>VLOOKUP(A152,'Data Vlaue (Cr)'!C147:CB360,78,0)</f>
        <v>0.13650000000000001</v>
      </c>
      <c r="H152" s="91">
        <f>VLOOKUP($A152,'Data Vlaue (Cr)'!$C:$FB,91)</f>
        <v>329</v>
      </c>
      <c r="I152" s="91">
        <f>VLOOKUP($A152,'Data Vlaue (Cr)'!$C:$FB,93)</f>
        <v>101</v>
      </c>
      <c r="J152" s="92">
        <f>VLOOKUP($A152,'Data Vlaue (Cr)'!$C:$FB,94)</f>
        <v>0.44069999999999998</v>
      </c>
      <c r="K152" s="91">
        <f>VLOOKUP($A152,'Data Vlaue (Cr)'!$C:$FB,95)</f>
        <v>170</v>
      </c>
      <c r="L152" s="91">
        <f>VLOOKUP($A152,'Data Vlaue (Cr)'!$C:$FB,97)</f>
        <v>27</v>
      </c>
      <c r="M152" s="92">
        <f>VLOOKUP($A152,'Data Vlaue (Cr)'!$C:$FB,98)</f>
        <v>0.18970000000000001</v>
      </c>
      <c r="N152" s="91">
        <f>VLOOKUP($A152,'Data Vlaue (Cr)'!$C:$FB,79)</f>
        <v>295</v>
      </c>
      <c r="O152" s="92">
        <f>VLOOKUP($A152,'Data Vlaue (Cr)'!$C:$FB,82)</f>
        <v>0.1216</v>
      </c>
    </row>
    <row r="153" spans="1:15" x14ac:dyDescent="0.25">
      <c r="A153" s="97" t="str">
        <f>'Data Vlaue (Cr)'!C148</f>
        <v>NYKAA</v>
      </c>
      <c r="B153" s="142">
        <f>VLOOKUP(A153,'Data Vlaue (Cr)'!C148:CW361,99,0)</f>
        <v>2194</v>
      </c>
      <c r="C153" s="90">
        <f>VLOOKUP(A153,'Data Vlaue (Cr)'!C148:CY361,101,0)</f>
        <v>35</v>
      </c>
      <c r="D153" s="139">
        <f>VLOOKUP(A153,'Data Vlaue (Cr)'!C148:CZ361,102,0)</f>
        <v>1.61E-2</v>
      </c>
      <c r="E153" s="91">
        <f>VLOOKUP($A153,'Data Vlaue (Cr)'!$C:$FB,75)</f>
        <v>1400</v>
      </c>
      <c r="F153" s="91">
        <f>VLOOKUP($A153,'Data Vlaue (Cr)'!$C:$FB,77)</f>
        <v>14</v>
      </c>
      <c r="G153" s="92">
        <f>VLOOKUP(A153,'Data Vlaue (Cr)'!C148:CB361,78,0)</f>
        <v>1.0200000000000001E-2</v>
      </c>
      <c r="H153" s="91">
        <f>VLOOKUP($A153,'Data Vlaue (Cr)'!$C:$FB,91)</f>
        <v>562</v>
      </c>
      <c r="I153" s="91">
        <f>VLOOKUP($A153,'Data Vlaue (Cr)'!$C:$FB,93)</f>
        <v>15</v>
      </c>
      <c r="J153" s="92">
        <f>VLOOKUP($A153,'Data Vlaue (Cr)'!$C:$FB,94)</f>
        <v>2.7E-2</v>
      </c>
      <c r="K153" s="91">
        <f>VLOOKUP($A153,'Data Vlaue (Cr)'!$C:$FB,95)</f>
        <v>231</v>
      </c>
      <c r="L153" s="91">
        <f>VLOOKUP($A153,'Data Vlaue (Cr)'!$C:$FB,97)</f>
        <v>6</v>
      </c>
      <c r="M153" s="92">
        <f>VLOOKUP($A153,'Data Vlaue (Cr)'!$C:$FB,98)</f>
        <v>2.6200000000000001E-2</v>
      </c>
      <c r="N153" s="91">
        <f>VLOOKUP($A153,'Data Vlaue (Cr)'!$C:$FB,79)</f>
        <v>1326</v>
      </c>
      <c r="O153" s="92">
        <f>VLOOKUP($A153,'Data Vlaue (Cr)'!$C:$FB,82)</f>
        <v>3.3E-3</v>
      </c>
    </row>
    <row r="154" spans="1:15" x14ac:dyDescent="0.25">
      <c r="A154" s="97" t="str">
        <f>'Data Vlaue (Cr)'!C149</f>
        <v>OBEROIRLTY</v>
      </c>
      <c r="B154" s="142">
        <f>VLOOKUP(A154,'Data Vlaue (Cr)'!C149:CW362,99,0)</f>
        <v>1339</v>
      </c>
      <c r="C154" s="90">
        <f>VLOOKUP(A154,'Data Vlaue (Cr)'!C149:CY362,101,0)</f>
        <v>-18</v>
      </c>
      <c r="D154" s="139">
        <f>VLOOKUP(A154,'Data Vlaue (Cr)'!C149:CZ362,102,0)</f>
        <v>-1.34E-2</v>
      </c>
      <c r="E154" s="91">
        <f>VLOOKUP($A154,'Data Vlaue (Cr)'!$C:$FB,75)</f>
        <v>799</v>
      </c>
      <c r="F154" s="91">
        <f>VLOOKUP($A154,'Data Vlaue (Cr)'!$C:$FB,77)</f>
        <v>8</v>
      </c>
      <c r="G154" s="92">
        <f>VLOOKUP(A154,'Data Vlaue (Cr)'!C149:CB362,78,0)</f>
        <v>1.03E-2</v>
      </c>
      <c r="H154" s="91">
        <f>VLOOKUP($A154,'Data Vlaue (Cr)'!$C:$FB,91)</f>
        <v>315</v>
      </c>
      <c r="I154" s="91">
        <f>VLOOKUP($A154,'Data Vlaue (Cr)'!$C:$FB,93)</f>
        <v>-35</v>
      </c>
      <c r="J154" s="92">
        <f>VLOOKUP($A154,'Data Vlaue (Cr)'!$C:$FB,94)</f>
        <v>-0.1008</v>
      </c>
      <c r="K154" s="91">
        <f>VLOOKUP($A154,'Data Vlaue (Cr)'!$C:$FB,95)</f>
        <v>226</v>
      </c>
      <c r="L154" s="91">
        <f>VLOOKUP($A154,'Data Vlaue (Cr)'!$C:$FB,97)</f>
        <v>9</v>
      </c>
      <c r="M154" s="92">
        <f>VLOOKUP($A154,'Data Vlaue (Cr)'!$C:$FB,98)</f>
        <v>4.1399999999999999E-2</v>
      </c>
      <c r="N154" s="91">
        <f>VLOOKUP($A154,'Data Vlaue (Cr)'!$C:$FB,79)</f>
        <v>738</v>
      </c>
      <c r="O154" s="92">
        <f>VLOOKUP($A154,'Data Vlaue (Cr)'!$C:$FB,82)</f>
        <v>-6.8999999999999999E-3</v>
      </c>
    </row>
    <row r="155" spans="1:15" x14ac:dyDescent="0.25">
      <c r="A155" s="97" t="str">
        <f>'Data Vlaue (Cr)'!C150</f>
        <v>OFSS</v>
      </c>
      <c r="B155" s="142">
        <f>VLOOKUP(A155,'Data Vlaue (Cr)'!C150:CW363,99,0)</f>
        <v>2178</v>
      </c>
      <c r="C155" s="90">
        <f>VLOOKUP(A155,'Data Vlaue (Cr)'!C150:CY363,101,0)</f>
        <v>62</v>
      </c>
      <c r="D155" s="139">
        <f>VLOOKUP(A155,'Data Vlaue (Cr)'!C150:CZ363,102,0)</f>
        <v>2.92E-2</v>
      </c>
      <c r="E155" s="91">
        <f>VLOOKUP($A155,'Data Vlaue (Cr)'!$C:$FB,75)</f>
        <v>1142</v>
      </c>
      <c r="F155" s="91">
        <f>VLOOKUP($A155,'Data Vlaue (Cr)'!$C:$FB,77)</f>
        <v>22</v>
      </c>
      <c r="G155" s="92">
        <f>VLOOKUP(A155,'Data Vlaue (Cr)'!C150:CB363,78,0)</f>
        <v>0.02</v>
      </c>
      <c r="H155" s="91">
        <f>VLOOKUP($A155,'Data Vlaue (Cr)'!$C:$FB,91)</f>
        <v>664</v>
      </c>
      <c r="I155" s="91">
        <f>VLOOKUP($A155,'Data Vlaue (Cr)'!$C:$FB,93)</f>
        <v>57</v>
      </c>
      <c r="J155" s="92">
        <f>VLOOKUP($A155,'Data Vlaue (Cr)'!$C:$FB,94)</f>
        <v>9.3299999999999994E-2</v>
      </c>
      <c r="K155" s="91">
        <f>VLOOKUP($A155,'Data Vlaue (Cr)'!$C:$FB,95)</f>
        <v>372</v>
      </c>
      <c r="L155" s="91">
        <f>VLOOKUP($A155,'Data Vlaue (Cr)'!$C:$FB,97)</f>
        <v>-17</v>
      </c>
      <c r="M155" s="92">
        <f>VLOOKUP($A155,'Data Vlaue (Cr)'!$C:$FB,98)</f>
        <v>-4.41E-2</v>
      </c>
      <c r="N155" s="91">
        <f>VLOOKUP($A155,'Data Vlaue (Cr)'!$C:$FB,79)</f>
        <v>1059</v>
      </c>
      <c r="O155" s="92">
        <f>VLOOKUP($A155,'Data Vlaue (Cr)'!$C:$FB,82)</f>
        <v>1.1900000000000001E-2</v>
      </c>
    </row>
    <row r="156" spans="1:15" x14ac:dyDescent="0.25">
      <c r="A156" s="97" t="str">
        <f>'Data Vlaue (Cr)'!C151</f>
        <v>OIL</v>
      </c>
      <c r="B156" s="142">
        <f>VLOOKUP(A156,'Data Vlaue (Cr)'!C151:CW364,99,0)</f>
        <v>885</v>
      </c>
      <c r="C156" s="90">
        <f>VLOOKUP(A156,'Data Vlaue (Cr)'!C151:CY364,101,0)</f>
        <v>-11</v>
      </c>
      <c r="D156" s="139">
        <f>VLOOKUP(A156,'Data Vlaue (Cr)'!C151:CZ364,102,0)</f>
        <v>-1.18E-2</v>
      </c>
      <c r="E156" s="91">
        <f>VLOOKUP($A156,'Data Vlaue (Cr)'!$C:$FB,75)</f>
        <v>449</v>
      </c>
      <c r="F156" s="91">
        <f>VLOOKUP($A156,'Data Vlaue (Cr)'!$C:$FB,77)</f>
        <v>-2</v>
      </c>
      <c r="G156" s="92">
        <f>VLOOKUP(A156,'Data Vlaue (Cr)'!C151:CB364,78,0)</f>
        <v>-4.4999999999999997E-3</v>
      </c>
      <c r="H156" s="91">
        <f>VLOOKUP($A156,'Data Vlaue (Cr)'!$C:$FB,91)</f>
        <v>281</v>
      </c>
      <c r="I156" s="91">
        <f>VLOOKUP($A156,'Data Vlaue (Cr)'!$C:$FB,93)</f>
        <v>-10</v>
      </c>
      <c r="J156" s="92">
        <f>VLOOKUP($A156,'Data Vlaue (Cr)'!$C:$FB,94)</f>
        <v>-3.3599999999999998E-2</v>
      </c>
      <c r="K156" s="91">
        <f>VLOOKUP($A156,'Data Vlaue (Cr)'!$C:$FB,95)</f>
        <v>154</v>
      </c>
      <c r="L156" s="91">
        <f>VLOOKUP($A156,'Data Vlaue (Cr)'!$C:$FB,97)</f>
        <v>1</v>
      </c>
      <c r="M156" s="92">
        <f>VLOOKUP($A156,'Data Vlaue (Cr)'!$C:$FB,98)</f>
        <v>8.0999999999999996E-3</v>
      </c>
      <c r="N156" s="91">
        <f>VLOOKUP($A156,'Data Vlaue (Cr)'!$C:$FB,79)</f>
        <v>420</v>
      </c>
      <c r="O156" s="92">
        <f>VLOOKUP($A156,'Data Vlaue (Cr)'!$C:$FB,82)</f>
        <v>-9.7000000000000003E-3</v>
      </c>
    </row>
    <row r="157" spans="1:15" x14ac:dyDescent="0.25">
      <c r="A157" s="97" t="str">
        <f>'Data Vlaue (Cr)'!C152</f>
        <v>ONGC</v>
      </c>
      <c r="B157" s="142">
        <f>VLOOKUP(A157,'Data Vlaue (Cr)'!C152:CW365,99,0)</f>
        <v>4444</v>
      </c>
      <c r="C157" s="90">
        <f>VLOOKUP(A157,'Data Vlaue (Cr)'!C152:CY365,101,0)</f>
        <v>6</v>
      </c>
      <c r="D157" s="139">
        <f>VLOOKUP(A157,'Data Vlaue (Cr)'!C152:CZ365,102,0)</f>
        <v>1.1999999999999999E-3</v>
      </c>
      <c r="E157" s="91">
        <f>VLOOKUP($A157,'Data Vlaue (Cr)'!$C:$FB,75)</f>
        <v>2347</v>
      </c>
      <c r="F157" s="91">
        <f>VLOOKUP($A157,'Data Vlaue (Cr)'!$C:$FB,77)</f>
        <v>12</v>
      </c>
      <c r="G157" s="92">
        <f>VLOOKUP(A157,'Data Vlaue (Cr)'!C152:CB365,78,0)</f>
        <v>5.1000000000000004E-3</v>
      </c>
      <c r="H157" s="91">
        <f>VLOOKUP($A157,'Data Vlaue (Cr)'!$C:$FB,91)</f>
        <v>1489</v>
      </c>
      <c r="I157" s="91">
        <f>VLOOKUP($A157,'Data Vlaue (Cr)'!$C:$FB,93)</f>
        <v>2</v>
      </c>
      <c r="J157" s="92">
        <f>VLOOKUP($A157,'Data Vlaue (Cr)'!$C:$FB,94)</f>
        <v>1.4E-3</v>
      </c>
      <c r="K157" s="91">
        <f>VLOOKUP($A157,'Data Vlaue (Cr)'!$C:$FB,95)</f>
        <v>608</v>
      </c>
      <c r="L157" s="91">
        <f>VLOOKUP($A157,'Data Vlaue (Cr)'!$C:$FB,97)</f>
        <v>-8</v>
      </c>
      <c r="M157" s="92">
        <f>VLOOKUP($A157,'Data Vlaue (Cr)'!$C:$FB,98)</f>
        <v>-1.37E-2</v>
      </c>
      <c r="N157" s="91">
        <f>VLOOKUP($A157,'Data Vlaue (Cr)'!$C:$FB,79)</f>
        <v>2123</v>
      </c>
      <c r="O157" s="92">
        <f>VLOOKUP($A157,'Data Vlaue (Cr)'!$C:$FB,82)</f>
        <v>-1.4800000000000001E-2</v>
      </c>
    </row>
    <row r="158" spans="1:15" x14ac:dyDescent="0.25">
      <c r="A158" s="97" t="str">
        <f>'Data Vlaue (Cr)'!C153</f>
        <v>PAGEIND</v>
      </c>
      <c r="B158" s="142">
        <f>VLOOKUP(A158,'Data Vlaue (Cr)'!C153:CW366,99,0)</f>
        <v>1651</v>
      </c>
      <c r="C158" s="90">
        <f>VLOOKUP(A158,'Data Vlaue (Cr)'!C153:CY366,101,0)</f>
        <v>19</v>
      </c>
      <c r="D158" s="139">
        <f>VLOOKUP(A158,'Data Vlaue (Cr)'!C153:CZ366,102,0)</f>
        <v>1.17E-2</v>
      </c>
      <c r="E158" s="91">
        <f>VLOOKUP($A158,'Data Vlaue (Cr)'!$C:$FB,75)</f>
        <v>987</v>
      </c>
      <c r="F158" s="91">
        <f>VLOOKUP($A158,'Data Vlaue (Cr)'!$C:$FB,77)</f>
        <v>13</v>
      </c>
      <c r="G158" s="92">
        <f>VLOOKUP(A158,'Data Vlaue (Cr)'!C153:CB366,78,0)</f>
        <v>1.34E-2</v>
      </c>
      <c r="H158" s="91">
        <f>VLOOKUP($A158,'Data Vlaue (Cr)'!$C:$FB,91)</f>
        <v>467</v>
      </c>
      <c r="I158" s="91">
        <f>VLOOKUP($A158,'Data Vlaue (Cr)'!$C:$FB,93)</f>
        <v>0</v>
      </c>
      <c r="J158" s="92">
        <f>VLOOKUP($A158,'Data Vlaue (Cr)'!$C:$FB,94)</f>
        <v>1E-3</v>
      </c>
      <c r="K158" s="91">
        <f>VLOOKUP($A158,'Data Vlaue (Cr)'!$C:$FB,95)</f>
        <v>197</v>
      </c>
      <c r="L158" s="91">
        <f>VLOOKUP($A158,'Data Vlaue (Cr)'!$C:$FB,97)</f>
        <v>6</v>
      </c>
      <c r="M158" s="92">
        <f>VLOOKUP($A158,'Data Vlaue (Cr)'!$C:$FB,98)</f>
        <v>2.9100000000000001E-2</v>
      </c>
      <c r="N158" s="91">
        <f>VLOOKUP($A158,'Data Vlaue (Cr)'!$C:$FB,79)</f>
        <v>908</v>
      </c>
      <c r="O158" s="92">
        <f>VLOOKUP($A158,'Data Vlaue (Cr)'!$C:$FB,82)</f>
        <v>-1E-4</v>
      </c>
    </row>
    <row r="159" spans="1:15" x14ac:dyDescent="0.25">
      <c r="A159" s="97" t="str">
        <f>'Data Vlaue (Cr)'!C154</f>
        <v>PATANJALI</v>
      </c>
      <c r="B159" s="142">
        <f>VLOOKUP(A159,'Data Vlaue (Cr)'!C154:CW367,99,0)</f>
        <v>2755</v>
      </c>
      <c r="C159" s="90">
        <f>VLOOKUP(A159,'Data Vlaue (Cr)'!C154:CY367,101,0)</f>
        <v>47</v>
      </c>
      <c r="D159" s="139">
        <f>VLOOKUP(A159,'Data Vlaue (Cr)'!C154:CZ367,102,0)</f>
        <v>1.7399999999999999E-2</v>
      </c>
      <c r="E159" s="91">
        <f>VLOOKUP($A159,'Data Vlaue (Cr)'!$C:$FB,75)</f>
        <v>2088</v>
      </c>
      <c r="F159" s="91">
        <f>VLOOKUP($A159,'Data Vlaue (Cr)'!$C:$FB,77)</f>
        <v>43</v>
      </c>
      <c r="G159" s="92">
        <f>VLOOKUP(A159,'Data Vlaue (Cr)'!C154:CB367,78,0)</f>
        <v>2.1100000000000001E-2</v>
      </c>
      <c r="H159" s="91">
        <f>VLOOKUP($A159,'Data Vlaue (Cr)'!$C:$FB,91)</f>
        <v>426</v>
      </c>
      <c r="I159" s="91">
        <f>VLOOKUP($A159,'Data Vlaue (Cr)'!$C:$FB,93)</f>
        <v>-22</v>
      </c>
      <c r="J159" s="92">
        <f>VLOOKUP($A159,'Data Vlaue (Cr)'!$C:$FB,94)</f>
        <v>-4.82E-2</v>
      </c>
      <c r="K159" s="91">
        <f>VLOOKUP($A159,'Data Vlaue (Cr)'!$C:$FB,95)</f>
        <v>241</v>
      </c>
      <c r="L159" s="91">
        <f>VLOOKUP($A159,'Data Vlaue (Cr)'!$C:$FB,97)</f>
        <v>26</v>
      </c>
      <c r="M159" s="92">
        <f>VLOOKUP($A159,'Data Vlaue (Cr)'!$C:$FB,98)</f>
        <v>0.1188</v>
      </c>
      <c r="N159" s="91">
        <f>VLOOKUP($A159,'Data Vlaue (Cr)'!$C:$FB,79)</f>
        <v>2012</v>
      </c>
      <c r="O159" s="92">
        <f>VLOOKUP($A159,'Data Vlaue (Cr)'!$C:$FB,82)</f>
        <v>8.6E-3</v>
      </c>
    </row>
    <row r="160" spans="1:15" x14ac:dyDescent="0.25">
      <c r="A160" s="97" t="str">
        <f>'Data Vlaue (Cr)'!C155</f>
        <v>PAYTM</v>
      </c>
      <c r="B160" s="142">
        <f>VLOOKUP(A160,'Data Vlaue (Cr)'!C155:CW368,99,0)</f>
        <v>4615</v>
      </c>
      <c r="C160" s="90">
        <f>VLOOKUP(A160,'Data Vlaue (Cr)'!C155:CY368,101,0)</f>
        <v>24</v>
      </c>
      <c r="D160" s="139">
        <f>VLOOKUP(A160,'Data Vlaue (Cr)'!C155:CZ368,102,0)</f>
        <v>5.3E-3</v>
      </c>
      <c r="E160" s="91">
        <f>VLOOKUP($A160,'Data Vlaue (Cr)'!$C:$FB,75)</f>
        <v>2453</v>
      </c>
      <c r="F160" s="91">
        <f>VLOOKUP($A160,'Data Vlaue (Cr)'!$C:$FB,77)</f>
        <v>29</v>
      </c>
      <c r="G160" s="92">
        <f>VLOOKUP(A160,'Data Vlaue (Cr)'!C155:CB368,78,0)</f>
        <v>1.1900000000000001E-2</v>
      </c>
      <c r="H160" s="91">
        <f>VLOOKUP($A160,'Data Vlaue (Cr)'!$C:$FB,91)</f>
        <v>1377</v>
      </c>
      <c r="I160" s="91">
        <f>VLOOKUP($A160,'Data Vlaue (Cr)'!$C:$FB,93)</f>
        <v>-28</v>
      </c>
      <c r="J160" s="92">
        <f>VLOOKUP($A160,'Data Vlaue (Cr)'!$C:$FB,94)</f>
        <v>-2.0199999999999999E-2</v>
      </c>
      <c r="K160" s="91">
        <f>VLOOKUP($A160,'Data Vlaue (Cr)'!$C:$FB,95)</f>
        <v>786</v>
      </c>
      <c r="L160" s="91">
        <f>VLOOKUP($A160,'Data Vlaue (Cr)'!$C:$FB,97)</f>
        <v>24</v>
      </c>
      <c r="M160" s="92">
        <f>VLOOKUP($A160,'Data Vlaue (Cr)'!$C:$FB,98)</f>
        <v>3.1300000000000001E-2</v>
      </c>
      <c r="N160" s="91">
        <f>VLOOKUP($A160,'Data Vlaue (Cr)'!$C:$FB,79)</f>
        <v>2292</v>
      </c>
      <c r="O160" s="92">
        <f>VLOOKUP($A160,'Data Vlaue (Cr)'!$C:$FB,82)</f>
        <v>1.1000000000000001E-3</v>
      </c>
    </row>
    <row r="161" spans="1:15" x14ac:dyDescent="0.25">
      <c r="A161" s="97" t="str">
        <f>'Data Vlaue (Cr)'!C156</f>
        <v>PERSISTENT</v>
      </c>
      <c r="B161" s="142">
        <f>VLOOKUP(A161,'Data Vlaue (Cr)'!C156:CW369,99,0)</f>
        <v>2582</v>
      </c>
      <c r="C161" s="90">
        <f>VLOOKUP(A161,'Data Vlaue (Cr)'!C156:CY369,101,0)</f>
        <v>13</v>
      </c>
      <c r="D161" s="139">
        <f>VLOOKUP(A161,'Data Vlaue (Cr)'!C156:CZ369,102,0)</f>
        <v>5.0000000000000001E-3</v>
      </c>
      <c r="E161" s="91">
        <f>VLOOKUP($A161,'Data Vlaue (Cr)'!$C:$FB,75)</f>
        <v>1398</v>
      </c>
      <c r="F161" s="91">
        <f>VLOOKUP($A161,'Data Vlaue (Cr)'!$C:$FB,77)</f>
        <v>7</v>
      </c>
      <c r="G161" s="92">
        <f>VLOOKUP(A161,'Data Vlaue (Cr)'!C156:CB369,78,0)</f>
        <v>4.7000000000000002E-3</v>
      </c>
      <c r="H161" s="91">
        <f>VLOOKUP($A161,'Data Vlaue (Cr)'!$C:$FB,91)</f>
        <v>731</v>
      </c>
      <c r="I161" s="91">
        <f>VLOOKUP($A161,'Data Vlaue (Cr)'!$C:$FB,93)</f>
        <v>-16</v>
      </c>
      <c r="J161" s="92">
        <f>VLOOKUP($A161,'Data Vlaue (Cr)'!$C:$FB,94)</f>
        <v>-2.1899999999999999E-2</v>
      </c>
      <c r="K161" s="91">
        <f>VLOOKUP($A161,'Data Vlaue (Cr)'!$C:$FB,95)</f>
        <v>453</v>
      </c>
      <c r="L161" s="91">
        <f>VLOOKUP($A161,'Data Vlaue (Cr)'!$C:$FB,97)</f>
        <v>23</v>
      </c>
      <c r="M161" s="92">
        <f>VLOOKUP($A161,'Data Vlaue (Cr)'!$C:$FB,98)</f>
        <v>5.2600000000000001E-2</v>
      </c>
      <c r="N161" s="91">
        <f>VLOOKUP($A161,'Data Vlaue (Cr)'!$C:$FB,79)</f>
        <v>1309</v>
      </c>
      <c r="O161" s="92">
        <f>VLOOKUP($A161,'Data Vlaue (Cr)'!$C:$FB,82)</f>
        <v>-6.6E-3</v>
      </c>
    </row>
    <row r="162" spans="1:15" x14ac:dyDescent="0.25">
      <c r="A162" s="97" t="str">
        <f>'Data Vlaue (Cr)'!C157</f>
        <v>PETRONET</v>
      </c>
      <c r="B162" s="142">
        <f>VLOOKUP(A162,'Data Vlaue (Cr)'!C157:CW370,99,0)</f>
        <v>2215</v>
      </c>
      <c r="C162" s="90">
        <f>VLOOKUP(A162,'Data Vlaue (Cr)'!C157:CY370,101,0)</f>
        <v>6</v>
      </c>
      <c r="D162" s="139">
        <f>VLOOKUP(A162,'Data Vlaue (Cr)'!C157:CZ370,102,0)</f>
        <v>2.7000000000000001E-3</v>
      </c>
      <c r="E162" s="91">
        <f>VLOOKUP($A162,'Data Vlaue (Cr)'!$C:$FB,75)</f>
        <v>1268</v>
      </c>
      <c r="F162" s="91">
        <f>VLOOKUP($A162,'Data Vlaue (Cr)'!$C:$FB,77)</f>
        <v>-6</v>
      </c>
      <c r="G162" s="92">
        <f>VLOOKUP(A162,'Data Vlaue (Cr)'!C157:CB370,78,0)</f>
        <v>-4.3E-3</v>
      </c>
      <c r="H162" s="91">
        <f>VLOOKUP($A162,'Data Vlaue (Cr)'!$C:$FB,91)</f>
        <v>470</v>
      </c>
      <c r="I162" s="91">
        <f>VLOOKUP($A162,'Data Vlaue (Cr)'!$C:$FB,93)</f>
        <v>5</v>
      </c>
      <c r="J162" s="92">
        <f>VLOOKUP($A162,'Data Vlaue (Cr)'!$C:$FB,94)</f>
        <v>1.1599999999999999E-2</v>
      </c>
      <c r="K162" s="91">
        <f>VLOOKUP($A162,'Data Vlaue (Cr)'!$C:$FB,95)</f>
        <v>477</v>
      </c>
      <c r="L162" s="91">
        <f>VLOOKUP($A162,'Data Vlaue (Cr)'!$C:$FB,97)</f>
        <v>6</v>
      </c>
      <c r="M162" s="92">
        <f>VLOOKUP($A162,'Data Vlaue (Cr)'!$C:$FB,98)</f>
        <v>1.2800000000000001E-2</v>
      </c>
      <c r="N162" s="91">
        <f>VLOOKUP($A162,'Data Vlaue (Cr)'!$C:$FB,79)</f>
        <v>1155</v>
      </c>
      <c r="O162" s="92">
        <f>VLOOKUP($A162,'Data Vlaue (Cr)'!$C:$FB,82)</f>
        <v>-1.72E-2</v>
      </c>
    </row>
    <row r="163" spans="1:15" x14ac:dyDescent="0.25">
      <c r="A163" s="97" t="str">
        <f>'Data Vlaue (Cr)'!C158</f>
        <v>PFC</v>
      </c>
      <c r="B163" s="142">
        <f>VLOOKUP(A163,'Data Vlaue (Cr)'!C158:CW371,99,0)</f>
        <v>5660</v>
      </c>
      <c r="C163" s="90">
        <f>VLOOKUP(A163,'Data Vlaue (Cr)'!C158:CY371,101,0)</f>
        <v>82</v>
      </c>
      <c r="D163" s="139">
        <f>VLOOKUP(A163,'Data Vlaue (Cr)'!C158:CZ371,102,0)</f>
        <v>1.46E-2</v>
      </c>
      <c r="E163" s="91">
        <f>VLOOKUP($A163,'Data Vlaue (Cr)'!$C:$FB,75)</f>
        <v>2932</v>
      </c>
      <c r="F163" s="91">
        <f>VLOOKUP($A163,'Data Vlaue (Cr)'!$C:$FB,77)</f>
        <v>24</v>
      </c>
      <c r="G163" s="92">
        <f>VLOOKUP(A163,'Data Vlaue (Cr)'!C158:CB371,78,0)</f>
        <v>8.2000000000000007E-3</v>
      </c>
      <c r="H163" s="91">
        <f>VLOOKUP($A163,'Data Vlaue (Cr)'!$C:$FB,91)</f>
        <v>1700</v>
      </c>
      <c r="I163" s="91">
        <f>VLOOKUP($A163,'Data Vlaue (Cr)'!$C:$FB,93)</f>
        <v>23</v>
      </c>
      <c r="J163" s="92">
        <f>VLOOKUP($A163,'Data Vlaue (Cr)'!$C:$FB,94)</f>
        <v>1.3899999999999999E-2</v>
      </c>
      <c r="K163" s="91">
        <f>VLOOKUP($A163,'Data Vlaue (Cr)'!$C:$FB,95)</f>
        <v>1028</v>
      </c>
      <c r="L163" s="91">
        <f>VLOOKUP($A163,'Data Vlaue (Cr)'!$C:$FB,97)</f>
        <v>35</v>
      </c>
      <c r="M163" s="92">
        <f>VLOOKUP($A163,'Data Vlaue (Cr)'!$C:$FB,98)</f>
        <v>3.4700000000000002E-2</v>
      </c>
      <c r="N163" s="91">
        <f>VLOOKUP($A163,'Data Vlaue (Cr)'!$C:$FB,79)</f>
        <v>2524</v>
      </c>
      <c r="O163" s="92">
        <f>VLOOKUP($A163,'Data Vlaue (Cr)'!$C:$FB,82)</f>
        <v>-1.21E-2</v>
      </c>
    </row>
    <row r="164" spans="1:15" x14ac:dyDescent="0.25">
      <c r="A164" s="97" t="str">
        <f>'Data Vlaue (Cr)'!C159</f>
        <v>PGEL</v>
      </c>
      <c r="B164" s="142">
        <f>VLOOKUP(A164,'Data Vlaue (Cr)'!C159:CW372,99,0)</f>
        <v>1373</v>
      </c>
      <c r="C164" s="90">
        <f>VLOOKUP(A164,'Data Vlaue (Cr)'!C159:CY372,101,0)</f>
        <v>-18</v>
      </c>
      <c r="D164" s="139">
        <f>VLOOKUP(A164,'Data Vlaue (Cr)'!C159:CZ372,102,0)</f>
        <v>-1.2800000000000001E-2</v>
      </c>
      <c r="E164" s="91">
        <f>VLOOKUP($A164,'Data Vlaue (Cr)'!$C:$FB,75)</f>
        <v>578</v>
      </c>
      <c r="F164" s="91">
        <f>VLOOKUP($A164,'Data Vlaue (Cr)'!$C:$FB,77)</f>
        <v>12</v>
      </c>
      <c r="G164" s="92">
        <f>VLOOKUP(A164,'Data Vlaue (Cr)'!C159:CB372,78,0)</f>
        <v>2.07E-2</v>
      </c>
      <c r="H164" s="91">
        <f>VLOOKUP($A164,'Data Vlaue (Cr)'!$C:$FB,91)</f>
        <v>481</v>
      </c>
      <c r="I164" s="91">
        <f>VLOOKUP($A164,'Data Vlaue (Cr)'!$C:$FB,93)</f>
        <v>-26</v>
      </c>
      <c r="J164" s="92">
        <f>VLOOKUP($A164,'Data Vlaue (Cr)'!$C:$FB,94)</f>
        <v>-5.0700000000000002E-2</v>
      </c>
      <c r="K164" s="91">
        <f>VLOOKUP($A164,'Data Vlaue (Cr)'!$C:$FB,95)</f>
        <v>315</v>
      </c>
      <c r="L164" s="91">
        <f>VLOOKUP($A164,'Data Vlaue (Cr)'!$C:$FB,97)</f>
        <v>-4</v>
      </c>
      <c r="M164" s="92">
        <f>VLOOKUP($A164,'Data Vlaue (Cr)'!$C:$FB,98)</f>
        <v>-1.18E-2</v>
      </c>
      <c r="N164" s="91">
        <f>VLOOKUP($A164,'Data Vlaue (Cr)'!$C:$FB,79)</f>
        <v>537</v>
      </c>
      <c r="O164" s="92">
        <f>VLOOKUP($A164,'Data Vlaue (Cr)'!$C:$FB,82)</f>
        <v>1E-3</v>
      </c>
    </row>
    <row r="165" spans="1:15" x14ac:dyDescent="0.25">
      <c r="A165" s="97" t="str">
        <f>'Data Vlaue (Cr)'!C160</f>
        <v>PHOENIXLTD</v>
      </c>
      <c r="B165" s="142">
        <f>VLOOKUP(A165,'Data Vlaue (Cr)'!C160:CW373,99,0)</f>
        <v>964</v>
      </c>
      <c r="C165" s="90">
        <f>VLOOKUP(A165,'Data Vlaue (Cr)'!C160:CY373,101,0)</f>
        <v>-2</v>
      </c>
      <c r="D165" s="139">
        <f>VLOOKUP(A165,'Data Vlaue (Cr)'!C160:CZ373,102,0)</f>
        <v>-1.6999999999999999E-3</v>
      </c>
      <c r="E165" s="91">
        <f>VLOOKUP($A165,'Data Vlaue (Cr)'!$C:$FB,75)</f>
        <v>595</v>
      </c>
      <c r="F165" s="91">
        <f>VLOOKUP($A165,'Data Vlaue (Cr)'!$C:$FB,77)</f>
        <v>6</v>
      </c>
      <c r="G165" s="92">
        <f>VLOOKUP(A165,'Data Vlaue (Cr)'!C160:CB373,78,0)</f>
        <v>1.0800000000000001E-2</v>
      </c>
      <c r="H165" s="91">
        <f>VLOOKUP($A165,'Data Vlaue (Cr)'!$C:$FB,91)</f>
        <v>240</v>
      </c>
      <c r="I165" s="91">
        <f>VLOOKUP($A165,'Data Vlaue (Cr)'!$C:$FB,93)</f>
        <v>-10</v>
      </c>
      <c r="J165" s="92">
        <f>VLOOKUP($A165,'Data Vlaue (Cr)'!$C:$FB,94)</f>
        <v>-3.9100000000000003E-2</v>
      </c>
      <c r="K165" s="91">
        <f>VLOOKUP($A165,'Data Vlaue (Cr)'!$C:$FB,95)</f>
        <v>128</v>
      </c>
      <c r="L165" s="91">
        <f>VLOOKUP($A165,'Data Vlaue (Cr)'!$C:$FB,97)</f>
        <v>2</v>
      </c>
      <c r="M165" s="92">
        <f>VLOOKUP($A165,'Data Vlaue (Cr)'!$C:$FB,98)</f>
        <v>1.4E-2</v>
      </c>
      <c r="N165" s="91">
        <f>VLOOKUP($A165,'Data Vlaue (Cr)'!$C:$FB,79)</f>
        <v>573</v>
      </c>
      <c r="O165" s="92">
        <f>VLOOKUP($A165,'Data Vlaue (Cr)'!$C:$FB,82)</f>
        <v>3.5999999999999999E-3</v>
      </c>
    </row>
    <row r="166" spans="1:15" x14ac:dyDescent="0.25">
      <c r="A166" s="97" t="str">
        <f>'Data Vlaue (Cr)'!C161</f>
        <v>PIDILITIND</v>
      </c>
      <c r="B166" s="142">
        <f>VLOOKUP(A166,'Data Vlaue (Cr)'!C161:CW374,99,0)</f>
        <v>1437</v>
      </c>
      <c r="C166" s="90">
        <f>VLOOKUP(A166,'Data Vlaue (Cr)'!C161:CY374,101,0)</f>
        <v>28</v>
      </c>
      <c r="D166" s="139">
        <f>VLOOKUP(A166,'Data Vlaue (Cr)'!C161:CZ374,102,0)</f>
        <v>2.0199999999999999E-2</v>
      </c>
      <c r="E166" s="91">
        <f>VLOOKUP($A166,'Data Vlaue (Cr)'!$C:$FB,75)</f>
        <v>1072</v>
      </c>
      <c r="F166" s="91">
        <f>VLOOKUP($A166,'Data Vlaue (Cr)'!$C:$FB,77)</f>
        <v>19</v>
      </c>
      <c r="G166" s="92">
        <f>VLOOKUP(A166,'Data Vlaue (Cr)'!C161:CB374,78,0)</f>
        <v>1.8499999999999999E-2</v>
      </c>
      <c r="H166" s="91">
        <f>VLOOKUP($A166,'Data Vlaue (Cr)'!$C:$FB,91)</f>
        <v>212</v>
      </c>
      <c r="I166" s="91">
        <f>VLOOKUP($A166,'Data Vlaue (Cr)'!$C:$FB,93)</f>
        <v>7</v>
      </c>
      <c r="J166" s="92">
        <f>VLOOKUP($A166,'Data Vlaue (Cr)'!$C:$FB,94)</f>
        <v>3.1899999999999998E-2</v>
      </c>
      <c r="K166" s="91">
        <f>VLOOKUP($A166,'Data Vlaue (Cr)'!$C:$FB,95)</f>
        <v>154</v>
      </c>
      <c r="L166" s="91">
        <f>VLOOKUP($A166,'Data Vlaue (Cr)'!$C:$FB,97)</f>
        <v>2</v>
      </c>
      <c r="M166" s="92">
        <f>VLOOKUP($A166,'Data Vlaue (Cr)'!$C:$FB,98)</f>
        <v>1.6400000000000001E-2</v>
      </c>
      <c r="N166" s="91">
        <f>VLOOKUP($A166,'Data Vlaue (Cr)'!$C:$FB,79)</f>
        <v>924</v>
      </c>
      <c r="O166" s="92">
        <f>VLOOKUP($A166,'Data Vlaue (Cr)'!$C:$FB,82)</f>
        <v>-1.78E-2</v>
      </c>
    </row>
    <row r="167" spans="1:15" x14ac:dyDescent="0.25">
      <c r="A167" s="97" t="str">
        <f>'Data Vlaue (Cr)'!C162</f>
        <v>PIIND</v>
      </c>
      <c r="B167" s="142">
        <f>VLOOKUP(A167,'Data Vlaue (Cr)'!C162:CW375,99,0)</f>
        <v>1436</v>
      </c>
      <c r="C167" s="90">
        <f>VLOOKUP(A167,'Data Vlaue (Cr)'!C162:CY375,101,0)</f>
        <v>-10</v>
      </c>
      <c r="D167" s="139">
        <f>VLOOKUP(A167,'Data Vlaue (Cr)'!C162:CZ375,102,0)</f>
        <v>-6.8999999999999999E-3</v>
      </c>
      <c r="E167" s="91">
        <f>VLOOKUP($A167,'Data Vlaue (Cr)'!$C:$FB,75)</f>
        <v>869</v>
      </c>
      <c r="F167" s="91">
        <f>VLOOKUP($A167,'Data Vlaue (Cr)'!$C:$FB,77)</f>
        <v>-15</v>
      </c>
      <c r="G167" s="92">
        <f>VLOOKUP(A167,'Data Vlaue (Cr)'!C162:CB375,78,0)</f>
        <v>-1.7100000000000001E-2</v>
      </c>
      <c r="H167" s="91">
        <f>VLOOKUP($A167,'Data Vlaue (Cr)'!$C:$FB,91)</f>
        <v>335</v>
      </c>
      <c r="I167" s="91">
        <f>VLOOKUP($A167,'Data Vlaue (Cr)'!$C:$FB,93)</f>
        <v>-9</v>
      </c>
      <c r="J167" s="92">
        <f>VLOOKUP($A167,'Data Vlaue (Cr)'!$C:$FB,94)</f>
        <v>-2.5000000000000001E-2</v>
      </c>
      <c r="K167" s="91">
        <f>VLOOKUP($A167,'Data Vlaue (Cr)'!$C:$FB,95)</f>
        <v>231</v>
      </c>
      <c r="L167" s="91">
        <f>VLOOKUP($A167,'Data Vlaue (Cr)'!$C:$FB,97)</f>
        <v>14</v>
      </c>
      <c r="M167" s="92">
        <f>VLOOKUP($A167,'Data Vlaue (Cr)'!$C:$FB,98)</f>
        <v>6.3299999999999995E-2</v>
      </c>
      <c r="N167" s="91">
        <f>VLOOKUP($A167,'Data Vlaue (Cr)'!$C:$FB,79)</f>
        <v>772</v>
      </c>
      <c r="O167" s="92">
        <f>VLOOKUP($A167,'Data Vlaue (Cr)'!$C:$FB,82)</f>
        <v>-2.29E-2</v>
      </c>
    </row>
    <row r="168" spans="1:15" x14ac:dyDescent="0.25">
      <c r="A168" s="97" t="str">
        <f>'Data Vlaue (Cr)'!C163</f>
        <v>PNB</v>
      </c>
      <c r="B168" s="142">
        <f>VLOOKUP(A168,'Data Vlaue (Cr)'!C163:CW376,99,0)</f>
        <v>6352</v>
      </c>
      <c r="C168" s="90">
        <f>VLOOKUP(A168,'Data Vlaue (Cr)'!C163:CY376,101,0)</f>
        <v>47</v>
      </c>
      <c r="D168" s="139">
        <f>VLOOKUP(A168,'Data Vlaue (Cr)'!C163:CZ376,102,0)</f>
        <v>7.4999999999999997E-3</v>
      </c>
      <c r="E168" s="91">
        <f>VLOOKUP($A168,'Data Vlaue (Cr)'!$C:$FB,75)</f>
        <v>2926</v>
      </c>
      <c r="F168" s="91">
        <f>VLOOKUP($A168,'Data Vlaue (Cr)'!$C:$FB,77)</f>
        <v>-1</v>
      </c>
      <c r="G168" s="92">
        <f>VLOOKUP(A168,'Data Vlaue (Cr)'!C163:CB376,78,0)</f>
        <v>-4.0000000000000002E-4</v>
      </c>
      <c r="H168" s="91">
        <f>VLOOKUP($A168,'Data Vlaue (Cr)'!$C:$FB,91)</f>
        <v>2216</v>
      </c>
      <c r="I168" s="91">
        <f>VLOOKUP($A168,'Data Vlaue (Cr)'!$C:$FB,93)</f>
        <v>37</v>
      </c>
      <c r="J168" s="92">
        <f>VLOOKUP($A168,'Data Vlaue (Cr)'!$C:$FB,94)</f>
        <v>1.72E-2</v>
      </c>
      <c r="K168" s="91">
        <f>VLOOKUP($A168,'Data Vlaue (Cr)'!$C:$FB,95)</f>
        <v>1209</v>
      </c>
      <c r="L168" s="91">
        <f>VLOOKUP($A168,'Data Vlaue (Cr)'!$C:$FB,97)</f>
        <v>11</v>
      </c>
      <c r="M168" s="92">
        <f>VLOOKUP($A168,'Data Vlaue (Cr)'!$C:$FB,98)</f>
        <v>9.1999999999999998E-3</v>
      </c>
      <c r="N168" s="91">
        <f>VLOOKUP($A168,'Data Vlaue (Cr)'!$C:$FB,79)</f>
        <v>2484</v>
      </c>
      <c r="O168" s="92">
        <f>VLOOKUP($A168,'Data Vlaue (Cr)'!$C:$FB,82)</f>
        <v>-1.2800000000000001E-2</v>
      </c>
    </row>
    <row r="169" spans="1:15" x14ac:dyDescent="0.25">
      <c r="A169" s="97" t="str">
        <f>'Data Vlaue (Cr)'!C164</f>
        <v>PNBHOUSING</v>
      </c>
      <c r="B169" s="142">
        <f>VLOOKUP(A169,'Data Vlaue (Cr)'!C164:CW377,99,0)</f>
        <v>2596</v>
      </c>
      <c r="C169" s="90">
        <f>VLOOKUP(A169,'Data Vlaue (Cr)'!C164:CY377,101,0)</f>
        <v>18</v>
      </c>
      <c r="D169" s="139">
        <f>VLOOKUP(A169,'Data Vlaue (Cr)'!C164:CZ377,102,0)</f>
        <v>7.0000000000000001E-3</v>
      </c>
      <c r="E169" s="91">
        <f>VLOOKUP($A169,'Data Vlaue (Cr)'!$C:$FB,75)</f>
        <v>1465</v>
      </c>
      <c r="F169" s="91">
        <f>VLOOKUP($A169,'Data Vlaue (Cr)'!$C:$FB,77)</f>
        <v>-5</v>
      </c>
      <c r="G169" s="92">
        <f>VLOOKUP(A169,'Data Vlaue (Cr)'!C164:CB377,78,0)</f>
        <v>-3.5000000000000001E-3</v>
      </c>
      <c r="H169" s="91">
        <f>VLOOKUP($A169,'Data Vlaue (Cr)'!$C:$FB,91)</f>
        <v>716</v>
      </c>
      <c r="I169" s="91">
        <f>VLOOKUP($A169,'Data Vlaue (Cr)'!$C:$FB,93)</f>
        <v>32</v>
      </c>
      <c r="J169" s="92">
        <f>VLOOKUP($A169,'Data Vlaue (Cr)'!$C:$FB,94)</f>
        <v>4.65E-2</v>
      </c>
      <c r="K169" s="91">
        <f>VLOOKUP($A169,'Data Vlaue (Cr)'!$C:$FB,95)</f>
        <v>414</v>
      </c>
      <c r="L169" s="91">
        <f>VLOOKUP($A169,'Data Vlaue (Cr)'!$C:$FB,97)</f>
        <v>-9</v>
      </c>
      <c r="M169" s="92">
        <f>VLOOKUP($A169,'Data Vlaue (Cr)'!$C:$FB,98)</f>
        <v>-2.0400000000000001E-2</v>
      </c>
      <c r="N169" s="91">
        <f>VLOOKUP($A169,'Data Vlaue (Cr)'!$C:$FB,79)</f>
        <v>1402</v>
      </c>
      <c r="O169" s="92">
        <f>VLOOKUP($A169,'Data Vlaue (Cr)'!$C:$FB,82)</f>
        <v>-8.0999999999999996E-3</v>
      </c>
    </row>
    <row r="170" spans="1:15" x14ac:dyDescent="0.25">
      <c r="A170" s="97" t="str">
        <f>'Data Vlaue (Cr)'!C165</f>
        <v>POLICYBZR</v>
      </c>
      <c r="B170" s="142">
        <f>VLOOKUP(A170,'Data Vlaue (Cr)'!C165:CW378,99,0)</f>
        <v>2196</v>
      </c>
      <c r="C170" s="90">
        <f>VLOOKUP(A170,'Data Vlaue (Cr)'!C165:CY378,101,0)</f>
        <v>-61</v>
      </c>
      <c r="D170" s="139">
        <f>VLOOKUP(A170,'Data Vlaue (Cr)'!C165:CZ378,102,0)</f>
        <v>-2.69E-2</v>
      </c>
      <c r="E170" s="91">
        <f>VLOOKUP($A170,'Data Vlaue (Cr)'!$C:$FB,75)</f>
        <v>1215</v>
      </c>
      <c r="F170" s="91">
        <f>VLOOKUP($A170,'Data Vlaue (Cr)'!$C:$FB,77)</f>
        <v>1</v>
      </c>
      <c r="G170" s="92">
        <f>VLOOKUP(A170,'Data Vlaue (Cr)'!C165:CB378,78,0)</f>
        <v>5.9999999999999995E-4</v>
      </c>
      <c r="H170" s="91">
        <f>VLOOKUP($A170,'Data Vlaue (Cr)'!$C:$FB,91)</f>
        <v>577</v>
      </c>
      <c r="I170" s="91">
        <f>VLOOKUP($A170,'Data Vlaue (Cr)'!$C:$FB,93)</f>
        <v>-65</v>
      </c>
      <c r="J170" s="92">
        <f>VLOOKUP($A170,'Data Vlaue (Cr)'!$C:$FB,94)</f>
        <v>-0.1008</v>
      </c>
      <c r="K170" s="91">
        <f>VLOOKUP($A170,'Data Vlaue (Cr)'!$C:$FB,95)</f>
        <v>404</v>
      </c>
      <c r="L170" s="91">
        <f>VLOOKUP($A170,'Data Vlaue (Cr)'!$C:$FB,97)</f>
        <v>3</v>
      </c>
      <c r="M170" s="92">
        <f>VLOOKUP($A170,'Data Vlaue (Cr)'!$C:$FB,98)</f>
        <v>8.0000000000000002E-3</v>
      </c>
      <c r="N170" s="91">
        <f>VLOOKUP($A170,'Data Vlaue (Cr)'!$C:$FB,79)</f>
        <v>1118</v>
      </c>
      <c r="O170" s="92">
        <f>VLOOKUP($A170,'Data Vlaue (Cr)'!$C:$FB,82)</f>
        <v>-5.9999999999999995E-4</v>
      </c>
    </row>
    <row r="171" spans="1:15" x14ac:dyDescent="0.25">
      <c r="A171" s="97" t="str">
        <f>'Data Vlaue (Cr)'!C166</f>
        <v>POLYCAB</v>
      </c>
      <c r="B171" s="142">
        <f>VLOOKUP(A171,'Data Vlaue (Cr)'!C166:CW379,99,0)</f>
        <v>2748</v>
      </c>
      <c r="C171" s="90">
        <f>VLOOKUP(A171,'Data Vlaue (Cr)'!C166:CY379,101,0)</f>
        <v>-112</v>
      </c>
      <c r="D171" s="139">
        <f>VLOOKUP(A171,'Data Vlaue (Cr)'!C166:CZ379,102,0)</f>
        <v>-3.9199999999999999E-2</v>
      </c>
      <c r="E171" s="91">
        <f>VLOOKUP($A171,'Data Vlaue (Cr)'!$C:$FB,75)</f>
        <v>1616</v>
      </c>
      <c r="F171" s="91">
        <f>VLOOKUP($A171,'Data Vlaue (Cr)'!$C:$FB,77)</f>
        <v>29</v>
      </c>
      <c r="G171" s="92">
        <f>VLOOKUP(A171,'Data Vlaue (Cr)'!C166:CB379,78,0)</f>
        <v>1.8100000000000002E-2</v>
      </c>
      <c r="H171" s="91">
        <f>VLOOKUP($A171,'Data Vlaue (Cr)'!$C:$FB,91)</f>
        <v>703</v>
      </c>
      <c r="I171" s="91">
        <f>VLOOKUP($A171,'Data Vlaue (Cr)'!$C:$FB,93)</f>
        <v>-66</v>
      </c>
      <c r="J171" s="92">
        <f>VLOOKUP($A171,'Data Vlaue (Cr)'!$C:$FB,94)</f>
        <v>-8.5199999999999998E-2</v>
      </c>
      <c r="K171" s="91">
        <f>VLOOKUP($A171,'Data Vlaue (Cr)'!$C:$FB,95)</f>
        <v>429</v>
      </c>
      <c r="L171" s="91">
        <f>VLOOKUP($A171,'Data Vlaue (Cr)'!$C:$FB,97)</f>
        <v>-75</v>
      </c>
      <c r="M171" s="92">
        <f>VLOOKUP($A171,'Data Vlaue (Cr)'!$C:$FB,98)</f>
        <v>-0.14929999999999999</v>
      </c>
      <c r="N171" s="91">
        <f>VLOOKUP($A171,'Data Vlaue (Cr)'!$C:$FB,79)</f>
        <v>1471</v>
      </c>
      <c r="O171" s="92">
        <f>VLOOKUP($A171,'Data Vlaue (Cr)'!$C:$FB,82)</f>
        <v>2.0000000000000001E-4</v>
      </c>
    </row>
    <row r="172" spans="1:15" x14ac:dyDescent="0.25">
      <c r="A172" s="97" t="str">
        <f>'Data Vlaue (Cr)'!C167</f>
        <v>POWERGRID</v>
      </c>
      <c r="B172" s="142">
        <f>VLOOKUP(A172,'Data Vlaue (Cr)'!C167:CW380,99,0)</f>
        <v>3774</v>
      </c>
      <c r="C172" s="90">
        <f>VLOOKUP(A172,'Data Vlaue (Cr)'!C167:CY380,101,0)</f>
        <v>186</v>
      </c>
      <c r="D172" s="139">
        <f>VLOOKUP(A172,'Data Vlaue (Cr)'!C167:CZ380,102,0)</f>
        <v>5.1799999999999999E-2</v>
      </c>
      <c r="E172" s="91">
        <f>VLOOKUP($A172,'Data Vlaue (Cr)'!$C:$FB,75)</f>
        <v>2256</v>
      </c>
      <c r="F172" s="91">
        <f>VLOOKUP($A172,'Data Vlaue (Cr)'!$C:$FB,77)</f>
        <v>112</v>
      </c>
      <c r="G172" s="92">
        <f>VLOOKUP(A172,'Data Vlaue (Cr)'!C167:CB380,78,0)</f>
        <v>5.2200000000000003E-2</v>
      </c>
      <c r="H172" s="91">
        <f>VLOOKUP($A172,'Data Vlaue (Cr)'!$C:$FB,91)</f>
        <v>955</v>
      </c>
      <c r="I172" s="91">
        <f>VLOOKUP($A172,'Data Vlaue (Cr)'!$C:$FB,93)</f>
        <v>56</v>
      </c>
      <c r="J172" s="92">
        <f>VLOOKUP($A172,'Data Vlaue (Cr)'!$C:$FB,94)</f>
        <v>6.1899999999999997E-2</v>
      </c>
      <c r="K172" s="91">
        <f>VLOOKUP($A172,'Data Vlaue (Cr)'!$C:$FB,95)</f>
        <v>564</v>
      </c>
      <c r="L172" s="91">
        <f>VLOOKUP($A172,'Data Vlaue (Cr)'!$C:$FB,97)</f>
        <v>18</v>
      </c>
      <c r="M172" s="92">
        <f>VLOOKUP($A172,'Data Vlaue (Cr)'!$C:$FB,98)</f>
        <v>3.3500000000000002E-2</v>
      </c>
      <c r="N172" s="91">
        <f>VLOOKUP($A172,'Data Vlaue (Cr)'!$C:$FB,79)</f>
        <v>1897</v>
      </c>
      <c r="O172" s="92">
        <f>VLOOKUP($A172,'Data Vlaue (Cr)'!$C:$FB,82)</f>
        <v>-3.3E-3</v>
      </c>
    </row>
    <row r="173" spans="1:15" x14ac:dyDescent="0.25">
      <c r="A173" s="97" t="str">
        <f>'Data Vlaue (Cr)'!C168</f>
        <v>POWERINDIA</v>
      </c>
      <c r="B173" s="142">
        <f>VLOOKUP(A173,'Data Vlaue (Cr)'!C168:CW381,99,0)</f>
        <v>2107</v>
      </c>
      <c r="C173" s="90">
        <f>VLOOKUP(A173,'Data Vlaue (Cr)'!C168:CY381,101,0)</f>
        <v>306</v>
      </c>
      <c r="D173" s="139">
        <f>VLOOKUP(A173,'Data Vlaue (Cr)'!C168:CZ381,102,0)</f>
        <v>0.17019999999999999</v>
      </c>
      <c r="E173" s="91">
        <f>VLOOKUP($A173,'Data Vlaue (Cr)'!$C:$FB,75)</f>
        <v>525</v>
      </c>
      <c r="F173" s="91">
        <f>VLOOKUP($A173,'Data Vlaue (Cr)'!$C:$FB,77)</f>
        <v>37</v>
      </c>
      <c r="G173" s="92">
        <f>VLOOKUP(A173,'Data Vlaue (Cr)'!C168:CB381,78,0)</f>
        <v>7.4899999999999994E-2</v>
      </c>
      <c r="H173" s="91">
        <f>VLOOKUP($A173,'Data Vlaue (Cr)'!$C:$FB,91)</f>
        <v>1202</v>
      </c>
      <c r="I173" s="91">
        <f>VLOOKUP($A173,'Data Vlaue (Cr)'!$C:$FB,93)</f>
        <v>251</v>
      </c>
      <c r="J173" s="92">
        <f>VLOOKUP($A173,'Data Vlaue (Cr)'!$C:$FB,94)</f>
        <v>0.26390000000000002</v>
      </c>
      <c r="K173" s="91">
        <f>VLOOKUP($A173,'Data Vlaue (Cr)'!$C:$FB,95)</f>
        <v>380</v>
      </c>
      <c r="L173" s="91">
        <f>VLOOKUP($A173,'Data Vlaue (Cr)'!$C:$FB,97)</f>
        <v>19</v>
      </c>
      <c r="M173" s="92">
        <f>VLOOKUP($A173,'Data Vlaue (Cr)'!$C:$FB,98)</f>
        <v>5.2499999999999998E-2</v>
      </c>
      <c r="N173" s="91">
        <f>VLOOKUP($A173,'Data Vlaue (Cr)'!$C:$FB,79)</f>
        <v>481</v>
      </c>
      <c r="O173" s="92">
        <f>VLOOKUP($A173,'Data Vlaue (Cr)'!$C:$FB,82)</f>
        <v>3.9899999999999998E-2</v>
      </c>
    </row>
    <row r="174" spans="1:15" x14ac:dyDescent="0.25">
      <c r="A174" s="97" t="str">
        <f>'Data Vlaue (Cr)'!C169</f>
        <v>PPLPHARMA</v>
      </c>
      <c r="B174" s="142">
        <f>VLOOKUP(A174,'Data Vlaue (Cr)'!C169:CW382,99,0)</f>
        <v>912</v>
      </c>
      <c r="C174" s="90">
        <f>VLOOKUP(A174,'Data Vlaue (Cr)'!C169:CY382,101,0)</f>
        <v>6</v>
      </c>
      <c r="D174" s="139">
        <f>VLOOKUP(A174,'Data Vlaue (Cr)'!C169:CZ382,102,0)</f>
        <v>6.1000000000000004E-3</v>
      </c>
      <c r="E174" s="91">
        <f>VLOOKUP($A174,'Data Vlaue (Cr)'!$C:$FB,75)</f>
        <v>474</v>
      </c>
      <c r="F174" s="91">
        <f>VLOOKUP($A174,'Data Vlaue (Cr)'!$C:$FB,77)</f>
        <v>-1</v>
      </c>
      <c r="G174" s="92">
        <f>VLOOKUP(A174,'Data Vlaue (Cr)'!C169:CB382,78,0)</f>
        <v>-2.5999999999999999E-3</v>
      </c>
      <c r="H174" s="91">
        <f>VLOOKUP($A174,'Data Vlaue (Cr)'!$C:$FB,91)</f>
        <v>308</v>
      </c>
      <c r="I174" s="91">
        <f>VLOOKUP($A174,'Data Vlaue (Cr)'!$C:$FB,93)</f>
        <v>5</v>
      </c>
      <c r="J174" s="92">
        <f>VLOOKUP($A174,'Data Vlaue (Cr)'!$C:$FB,94)</f>
        <v>1.7899999999999999E-2</v>
      </c>
      <c r="K174" s="91">
        <f>VLOOKUP($A174,'Data Vlaue (Cr)'!$C:$FB,95)</f>
        <v>131</v>
      </c>
      <c r="L174" s="91">
        <f>VLOOKUP($A174,'Data Vlaue (Cr)'!$C:$FB,97)</f>
        <v>1</v>
      </c>
      <c r="M174" s="92">
        <f>VLOOKUP($A174,'Data Vlaue (Cr)'!$C:$FB,98)</f>
        <v>1.0200000000000001E-2</v>
      </c>
      <c r="N174" s="91">
        <f>VLOOKUP($A174,'Data Vlaue (Cr)'!$C:$FB,79)</f>
        <v>409</v>
      </c>
      <c r="O174" s="92">
        <f>VLOOKUP($A174,'Data Vlaue (Cr)'!$C:$FB,82)</f>
        <v>-1.6500000000000001E-2</v>
      </c>
    </row>
    <row r="175" spans="1:15" x14ac:dyDescent="0.25">
      <c r="A175" s="97" t="str">
        <f>'Data Vlaue (Cr)'!C170</f>
        <v>PRESTIGE</v>
      </c>
      <c r="B175" s="142">
        <f>VLOOKUP(A175,'Data Vlaue (Cr)'!C170:CW383,99,0)</f>
        <v>1202</v>
      </c>
      <c r="C175" s="90">
        <f>VLOOKUP(A175,'Data Vlaue (Cr)'!C170:CY383,101,0)</f>
        <v>5</v>
      </c>
      <c r="D175" s="139">
        <f>VLOOKUP(A175,'Data Vlaue (Cr)'!C170:CZ383,102,0)</f>
        <v>3.8999999999999998E-3</v>
      </c>
      <c r="E175" s="91">
        <f>VLOOKUP($A175,'Data Vlaue (Cr)'!$C:$FB,75)</f>
        <v>669</v>
      </c>
      <c r="F175" s="91">
        <f>VLOOKUP($A175,'Data Vlaue (Cr)'!$C:$FB,77)</f>
        <v>9</v>
      </c>
      <c r="G175" s="92">
        <f>VLOOKUP(A175,'Data Vlaue (Cr)'!C170:CB383,78,0)</f>
        <v>1.3599999999999999E-2</v>
      </c>
      <c r="H175" s="91">
        <f>VLOOKUP($A175,'Data Vlaue (Cr)'!$C:$FB,91)</f>
        <v>324</v>
      </c>
      <c r="I175" s="91">
        <f>VLOOKUP($A175,'Data Vlaue (Cr)'!$C:$FB,93)</f>
        <v>-3</v>
      </c>
      <c r="J175" s="92">
        <f>VLOOKUP($A175,'Data Vlaue (Cr)'!$C:$FB,94)</f>
        <v>-8.0000000000000002E-3</v>
      </c>
      <c r="K175" s="91">
        <f>VLOOKUP($A175,'Data Vlaue (Cr)'!$C:$FB,95)</f>
        <v>209</v>
      </c>
      <c r="L175" s="91">
        <f>VLOOKUP($A175,'Data Vlaue (Cr)'!$C:$FB,97)</f>
        <v>-2</v>
      </c>
      <c r="M175" s="92">
        <f>VLOOKUP($A175,'Data Vlaue (Cr)'!$C:$FB,98)</f>
        <v>-8.2000000000000007E-3</v>
      </c>
      <c r="N175" s="91">
        <f>VLOOKUP($A175,'Data Vlaue (Cr)'!$C:$FB,79)</f>
        <v>637</v>
      </c>
      <c r="O175" s="92">
        <f>VLOOKUP($A175,'Data Vlaue (Cr)'!$C:$FB,82)</f>
        <v>-1.0500000000000001E-2</v>
      </c>
    </row>
    <row r="176" spans="1:15" x14ac:dyDescent="0.25">
      <c r="A176" s="97" t="str">
        <f>'Data Vlaue (Cr)'!C171</f>
        <v>RBLBANK</v>
      </c>
      <c r="B176" s="142">
        <f>VLOOKUP(A176,'Data Vlaue (Cr)'!C171:CW384,99,0)</f>
        <v>3640</v>
      </c>
      <c r="C176" s="90">
        <f>VLOOKUP(A176,'Data Vlaue (Cr)'!C171:CY384,101,0)</f>
        <v>-11</v>
      </c>
      <c r="D176" s="139">
        <f>VLOOKUP(A176,'Data Vlaue (Cr)'!C171:CZ384,102,0)</f>
        <v>-3.0000000000000001E-3</v>
      </c>
      <c r="E176" s="91">
        <f>VLOOKUP($A176,'Data Vlaue (Cr)'!$C:$FB,75)</f>
        <v>2320</v>
      </c>
      <c r="F176" s="91">
        <f>VLOOKUP($A176,'Data Vlaue (Cr)'!$C:$FB,77)</f>
        <v>3</v>
      </c>
      <c r="G176" s="92">
        <f>VLOOKUP(A176,'Data Vlaue (Cr)'!C171:CB384,78,0)</f>
        <v>1.4E-3</v>
      </c>
      <c r="H176" s="91">
        <f>VLOOKUP($A176,'Data Vlaue (Cr)'!$C:$FB,91)</f>
        <v>803</v>
      </c>
      <c r="I176" s="91">
        <f>VLOOKUP($A176,'Data Vlaue (Cr)'!$C:$FB,93)</f>
        <v>-17</v>
      </c>
      <c r="J176" s="92">
        <f>VLOOKUP($A176,'Data Vlaue (Cr)'!$C:$FB,94)</f>
        <v>-2.0299999999999999E-2</v>
      </c>
      <c r="K176" s="91">
        <f>VLOOKUP($A176,'Data Vlaue (Cr)'!$C:$FB,95)</f>
        <v>517</v>
      </c>
      <c r="L176" s="91">
        <f>VLOOKUP($A176,'Data Vlaue (Cr)'!$C:$FB,97)</f>
        <v>2</v>
      </c>
      <c r="M176" s="92">
        <f>VLOOKUP($A176,'Data Vlaue (Cr)'!$C:$FB,98)</f>
        <v>4.7999999999999996E-3</v>
      </c>
      <c r="N176" s="91">
        <f>VLOOKUP($A176,'Data Vlaue (Cr)'!$C:$FB,79)</f>
        <v>2226</v>
      </c>
      <c r="O176" s="92">
        <f>VLOOKUP($A176,'Data Vlaue (Cr)'!$C:$FB,82)</f>
        <v>-2.2000000000000001E-3</v>
      </c>
    </row>
    <row r="177" spans="1:15" x14ac:dyDescent="0.25">
      <c r="A177" s="97" t="str">
        <f>'Data Vlaue (Cr)'!C172</f>
        <v>RECLTD</v>
      </c>
      <c r="B177" s="142">
        <f>VLOOKUP(A177,'Data Vlaue (Cr)'!C172:CW385,99,0)</f>
        <v>6190</v>
      </c>
      <c r="C177" s="90">
        <f>VLOOKUP(A177,'Data Vlaue (Cr)'!C172:CY385,101,0)</f>
        <v>-60</v>
      </c>
      <c r="D177" s="139">
        <f>VLOOKUP(A177,'Data Vlaue (Cr)'!C172:CZ385,102,0)</f>
        <v>-9.5999999999999992E-3</v>
      </c>
      <c r="E177" s="91">
        <f>VLOOKUP($A177,'Data Vlaue (Cr)'!$C:$FB,75)</f>
        <v>3466</v>
      </c>
      <c r="F177" s="91">
        <f>VLOOKUP($A177,'Data Vlaue (Cr)'!$C:$FB,77)</f>
        <v>-13</v>
      </c>
      <c r="G177" s="92">
        <f>VLOOKUP(A177,'Data Vlaue (Cr)'!C172:CB385,78,0)</f>
        <v>-3.7000000000000002E-3</v>
      </c>
      <c r="H177" s="91">
        <f>VLOOKUP($A177,'Data Vlaue (Cr)'!$C:$FB,91)</f>
        <v>1674</v>
      </c>
      <c r="I177" s="91">
        <f>VLOOKUP($A177,'Data Vlaue (Cr)'!$C:$FB,93)</f>
        <v>-48</v>
      </c>
      <c r="J177" s="92">
        <f>VLOOKUP($A177,'Data Vlaue (Cr)'!$C:$FB,94)</f>
        <v>-2.7799999999999998E-2</v>
      </c>
      <c r="K177" s="91">
        <f>VLOOKUP($A177,'Data Vlaue (Cr)'!$C:$FB,95)</f>
        <v>1051</v>
      </c>
      <c r="L177" s="91">
        <f>VLOOKUP($A177,'Data Vlaue (Cr)'!$C:$FB,97)</f>
        <v>1</v>
      </c>
      <c r="M177" s="92">
        <f>VLOOKUP($A177,'Data Vlaue (Cr)'!$C:$FB,98)</f>
        <v>6.9999999999999999E-4</v>
      </c>
      <c r="N177" s="91">
        <f>VLOOKUP($A177,'Data Vlaue (Cr)'!$C:$FB,79)</f>
        <v>3067</v>
      </c>
      <c r="O177" s="92">
        <f>VLOOKUP($A177,'Data Vlaue (Cr)'!$C:$FB,82)</f>
        <v>-1.2500000000000001E-2</v>
      </c>
    </row>
    <row r="178" spans="1:15" x14ac:dyDescent="0.25">
      <c r="A178" s="97" t="str">
        <f>'Data Vlaue (Cr)'!C173</f>
        <v>RELIANCE</v>
      </c>
      <c r="B178" s="142">
        <f>VLOOKUP(A178,'Data Vlaue (Cr)'!C173:CW386,99,0)</f>
        <v>27597</v>
      </c>
      <c r="C178" s="90">
        <f>VLOOKUP(A178,'Data Vlaue (Cr)'!C173:CY386,101,0)</f>
        <v>-50</v>
      </c>
      <c r="D178" s="139">
        <f>VLOOKUP(A178,'Data Vlaue (Cr)'!C173:CZ386,102,0)</f>
        <v>-1.8E-3</v>
      </c>
      <c r="E178" s="91">
        <f>VLOOKUP($A178,'Data Vlaue (Cr)'!$C:$FB,75)</f>
        <v>15453</v>
      </c>
      <c r="F178" s="91">
        <f>VLOOKUP($A178,'Data Vlaue (Cr)'!$C:$FB,77)</f>
        <v>96</v>
      </c>
      <c r="G178" s="92">
        <f>VLOOKUP(A178,'Data Vlaue (Cr)'!C173:CB386,78,0)</f>
        <v>6.1999999999999998E-3</v>
      </c>
      <c r="H178" s="91">
        <f>VLOOKUP($A178,'Data Vlaue (Cr)'!$C:$FB,91)</f>
        <v>7928</v>
      </c>
      <c r="I178" s="91">
        <f>VLOOKUP($A178,'Data Vlaue (Cr)'!$C:$FB,93)</f>
        <v>-100</v>
      </c>
      <c r="J178" s="92">
        <f>VLOOKUP($A178,'Data Vlaue (Cr)'!$C:$FB,94)</f>
        <v>-1.24E-2</v>
      </c>
      <c r="K178" s="91">
        <f>VLOOKUP($A178,'Data Vlaue (Cr)'!$C:$FB,95)</f>
        <v>4217</v>
      </c>
      <c r="L178" s="91">
        <f>VLOOKUP($A178,'Data Vlaue (Cr)'!$C:$FB,97)</f>
        <v>-47</v>
      </c>
      <c r="M178" s="92">
        <f>VLOOKUP($A178,'Data Vlaue (Cr)'!$C:$FB,98)</f>
        <v>-1.09E-2</v>
      </c>
      <c r="N178" s="91">
        <f>VLOOKUP($A178,'Data Vlaue (Cr)'!$C:$FB,79)</f>
        <v>12908</v>
      </c>
      <c r="O178" s="92">
        <f>VLOOKUP($A178,'Data Vlaue (Cr)'!$C:$FB,82)</f>
        <v>-4.8500000000000001E-2</v>
      </c>
    </row>
    <row r="179" spans="1:15" x14ac:dyDescent="0.25">
      <c r="A179" s="97" t="str">
        <f>'Data Vlaue (Cr)'!C174</f>
        <v>RVNL</v>
      </c>
      <c r="B179" s="142">
        <f>VLOOKUP(A179,'Data Vlaue (Cr)'!C174:CW387,99,0)</f>
        <v>2445</v>
      </c>
      <c r="C179" s="90">
        <f>VLOOKUP(A179,'Data Vlaue (Cr)'!C174:CY387,101,0)</f>
        <v>25</v>
      </c>
      <c r="D179" s="139">
        <f>VLOOKUP(A179,'Data Vlaue (Cr)'!C174:CZ387,102,0)</f>
        <v>1.04E-2</v>
      </c>
      <c r="E179" s="91">
        <f>VLOOKUP($A179,'Data Vlaue (Cr)'!$C:$FB,75)</f>
        <v>1488</v>
      </c>
      <c r="F179" s="91">
        <f>VLOOKUP($A179,'Data Vlaue (Cr)'!$C:$FB,77)</f>
        <v>23</v>
      </c>
      <c r="G179" s="92">
        <f>VLOOKUP(A179,'Data Vlaue (Cr)'!C174:CB387,78,0)</f>
        <v>1.6E-2</v>
      </c>
      <c r="H179" s="91">
        <f>VLOOKUP($A179,'Data Vlaue (Cr)'!$C:$FB,91)</f>
        <v>658</v>
      </c>
      <c r="I179" s="91">
        <f>VLOOKUP($A179,'Data Vlaue (Cr)'!$C:$FB,93)</f>
        <v>2</v>
      </c>
      <c r="J179" s="92">
        <f>VLOOKUP($A179,'Data Vlaue (Cr)'!$C:$FB,94)</f>
        <v>2.3999999999999998E-3</v>
      </c>
      <c r="K179" s="91">
        <f>VLOOKUP($A179,'Data Vlaue (Cr)'!$C:$FB,95)</f>
        <v>299</v>
      </c>
      <c r="L179" s="91">
        <f>VLOOKUP($A179,'Data Vlaue (Cr)'!$C:$FB,97)</f>
        <v>0</v>
      </c>
      <c r="M179" s="92">
        <f>VLOOKUP($A179,'Data Vlaue (Cr)'!$C:$FB,98)</f>
        <v>2.9999999999999997E-4</v>
      </c>
      <c r="N179" s="91">
        <f>VLOOKUP($A179,'Data Vlaue (Cr)'!$C:$FB,79)</f>
        <v>1190</v>
      </c>
      <c r="O179" s="92">
        <f>VLOOKUP($A179,'Data Vlaue (Cr)'!$C:$FB,82)</f>
        <v>5.9999999999999995E-4</v>
      </c>
    </row>
    <row r="180" spans="1:15" x14ac:dyDescent="0.25">
      <c r="A180" s="97" t="str">
        <f>'Data Vlaue (Cr)'!C175</f>
        <v>SAIL</v>
      </c>
      <c r="B180" s="142">
        <f>VLOOKUP(A180,'Data Vlaue (Cr)'!C175:CW388,99,0)</f>
        <v>3368</v>
      </c>
      <c r="C180" s="90">
        <f>VLOOKUP(A180,'Data Vlaue (Cr)'!C175:CY388,101,0)</f>
        <v>78</v>
      </c>
      <c r="D180" s="139">
        <f>VLOOKUP(A180,'Data Vlaue (Cr)'!C175:CZ388,102,0)</f>
        <v>2.3800000000000002E-2</v>
      </c>
      <c r="E180" s="91">
        <f>VLOOKUP($A180,'Data Vlaue (Cr)'!$C:$FB,75)</f>
        <v>2261</v>
      </c>
      <c r="F180" s="91">
        <f>VLOOKUP($A180,'Data Vlaue (Cr)'!$C:$FB,77)</f>
        <v>24</v>
      </c>
      <c r="G180" s="92">
        <f>VLOOKUP(A180,'Data Vlaue (Cr)'!C175:CB388,78,0)</f>
        <v>1.06E-2</v>
      </c>
      <c r="H180" s="91">
        <f>VLOOKUP($A180,'Data Vlaue (Cr)'!$C:$FB,91)</f>
        <v>714</v>
      </c>
      <c r="I180" s="91">
        <f>VLOOKUP($A180,'Data Vlaue (Cr)'!$C:$FB,93)</f>
        <v>41</v>
      </c>
      <c r="J180" s="92">
        <f>VLOOKUP($A180,'Data Vlaue (Cr)'!$C:$FB,94)</f>
        <v>6.1400000000000003E-2</v>
      </c>
      <c r="K180" s="91">
        <f>VLOOKUP($A180,'Data Vlaue (Cr)'!$C:$FB,95)</f>
        <v>392</v>
      </c>
      <c r="L180" s="91">
        <f>VLOOKUP($A180,'Data Vlaue (Cr)'!$C:$FB,97)</f>
        <v>13</v>
      </c>
      <c r="M180" s="92">
        <f>VLOOKUP($A180,'Data Vlaue (Cr)'!$C:$FB,98)</f>
        <v>3.4500000000000003E-2</v>
      </c>
      <c r="N180" s="91">
        <f>VLOOKUP($A180,'Data Vlaue (Cr)'!$C:$FB,79)</f>
        <v>1999</v>
      </c>
      <c r="O180" s="92">
        <f>VLOOKUP($A180,'Data Vlaue (Cr)'!$C:$FB,82)</f>
        <v>3.0999999999999999E-3</v>
      </c>
    </row>
    <row r="181" spans="1:15" x14ac:dyDescent="0.25">
      <c r="A181" s="97" t="str">
        <f>'Data Vlaue (Cr)'!C176</f>
        <v>SAMMAANCAP</v>
      </c>
      <c r="B181" s="142">
        <f>VLOOKUP(A181,'Data Vlaue (Cr)'!C176:CW389,99,0)</f>
        <v>3307</v>
      </c>
      <c r="C181" s="90">
        <f>VLOOKUP(A181,'Data Vlaue (Cr)'!C176:CY389,101,0)</f>
        <v>130</v>
      </c>
      <c r="D181" s="139">
        <f>VLOOKUP(A181,'Data Vlaue (Cr)'!C176:CZ389,102,0)</f>
        <v>4.0899999999999999E-2</v>
      </c>
      <c r="E181" s="91">
        <f>VLOOKUP($A181,'Data Vlaue (Cr)'!$C:$FB,75)</f>
        <v>1700</v>
      </c>
      <c r="F181" s="91">
        <f>VLOOKUP($A181,'Data Vlaue (Cr)'!$C:$FB,77)</f>
        <v>56</v>
      </c>
      <c r="G181" s="92">
        <f>VLOOKUP(A181,'Data Vlaue (Cr)'!C176:CB389,78,0)</f>
        <v>3.3799999999999997E-2</v>
      </c>
      <c r="H181" s="91">
        <f>VLOOKUP($A181,'Data Vlaue (Cr)'!$C:$FB,91)</f>
        <v>942</v>
      </c>
      <c r="I181" s="91">
        <f>VLOOKUP($A181,'Data Vlaue (Cr)'!$C:$FB,93)</f>
        <v>1</v>
      </c>
      <c r="J181" s="92">
        <f>VLOOKUP($A181,'Data Vlaue (Cr)'!$C:$FB,94)</f>
        <v>1.1000000000000001E-3</v>
      </c>
      <c r="K181" s="91">
        <f>VLOOKUP($A181,'Data Vlaue (Cr)'!$C:$FB,95)</f>
        <v>665</v>
      </c>
      <c r="L181" s="91">
        <f>VLOOKUP($A181,'Data Vlaue (Cr)'!$C:$FB,97)</f>
        <v>73</v>
      </c>
      <c r="M181" s="92">
        <f>VLOOKUP($A181,'Data Vlaue (Cr)'!$C:$FB,98)</f>
        <v>0.124</v>
      </c>
      <c r="N181" s="91">
        <f>VLOOKUP($A181,'Data Vlaue (Cr)'!$C:$FB,79)</f>
        <v>1234</v>
      </c>
      <c r="O181" s="92">
        <f>VLOOKUP($A181,'Data Vlaue (Cr)'!$C:$FB,82)</f>
        <v>4.7000000000000002E-3</v>
      </c>
    </row>
    <row r="182" spans="1:15" x14ac:dyDescent="0.25">
      <c r="A182" s="97" t="str">
        <f>'Data Vlaue (Cr)'!C177</f>
        <v>SBICARD</v>
      </c>
      <c r="B182" s="142">
        <f>VLOOKUP(A182,'Data Vlaue (Cr)'!C177:CW390,99,0)</f>
        <v>2274</v>
      </c>
      <c r="C182" s="90">
        <f>VLOOKUP(A182,'Data Vlaue (Cr)'!C177:CY390,101,0)</f>
        <v>-96</v>
      </c>
      <c r="D182" s="139">
        <f>VLOOKUP(A182,'Data Vlaue (Cr)'!C177:CZ390,102,0)</f>
        <v>-4.0500000000000001E-2</v>
      </c>
      <c r="E182" s="91">
        <f>VLOOKUP($A182,'Data Vlaue (Cr)'!$C:$FB,75)</f>
        <v>1408</v>
      </c>
      <c r="F182" s="91">
        <f>VLOOKUP($A182,'Data Vlaue (Cr)'!$C:$FB,77)</f>
        <v>-30</v>
      </c>
      <c r="G182" s="92">
        <f>VLOOKUP(A182,'Data Vlaue (Cr)'!C177:CB390,78,0)</f>
        <v>-2.1000000000000001E-2</v>
      </c>
      <c r="H182" s="91">
        <f>VLOOKUP($A182,'Data Vlaue (Cr)'!$C:$FB,91)</f>
        <v>504</v>
      </c>
      <c r="I182" s="91">
        <f>VLOOKUP($A182,'Data Vlaue (Cr)'!$C:$FB,93)</f>
        <v>-56</v>
      </c>
      <c r="J182" s="92">
        <f>VLOOKUP($A182,'Data Vlaue (Cr)'!$C:$FB,94)</f>
        <v>-0.1007</v>
      </c>
      <c r="K182" s="91">
        <f>VLOOKUP($A182,'Data Vlaue (Cr)'!$C:$FB,95)</f>
        <v>361</v>
      </c>
      <c r="L182" s="91">
        <f>VLOOKUP($A182,'Data Vlaue (Cr)'!$C:$FB,97)</f>
        <v>-9</v>
      </c>
      <c r="M182" s="92">
        <f>VLOOKUP($A182,'Data Vlaue (Cr)'!$C:$FB,98)</f>
        <v>-2.4799999999999999E-2</v>
      </c>
      <c r="N182" s="91">
        <f>VLOOKUP($A182,'Data Vlaue (Cr)'!$C:$FB,79)</f>
        <v>1286</v>
      </c>
      <c r="O182" s="92">
        <f>VLOOKUP($A182,'Data Vlaue (Cr)'!$C:$FB,82)</f>
        <v>-2.4400000000000002E-2</v>
      </c>
    </row>
    <row r="183" spans="1:15" x14ac:dyDescent="0.25">
      <c r="A183" s="97" t="str">
        <f>'Data Vlaue (Cr)'!C178</f>
        <v>SBILIFE</v>
      </c>
      <c r="B183" s="142">
        <f>VLOOKUP(A183,'Data Vlaue (Cr)'!C178:CW391,99,0)</f>
        <v>2929</v>
      </c>
      <c r="C183" s="90">
        <f>VLOOKUP(A183,'Data Vlaue (Cr)'!C178:CY391,101,0)</f>
        <v>13</v>
      </c>
      <c r="D183" s="139">
        <f>VLOOKUP(A183,'Data Vlaue (Cr)'!C178:CZ391,102,0)</f>
        <v>4.4000000000000003E-3</v>
      </c>
      <c r="E183" s="91">
        <f>VLOOKUP($A183,'Data Vlaue (Cr)'!$C:$FB,75)</f>
        <v>1589</v>
      </c>
      <c r="F183" s="91">
        <f>VLOOKUP($A183,'Data Vlaue (Cr)'!$C:$FB,77)</f>
        <v>-8</v>
      </c>
      <c r="G183" s="92">
        <f>VLOOKUP(A183,'Data Vlaue (Cr)'!C178:CB391,78,0)</f>
        <v>-4.8999999999999998E-3</v>
      </c>
      <c r="H183" s="91">
        <f>VLOOKUP($A183,'Data Vlaue (Cr)'!$C:$FB,91)</f>
        <v>902</v>
      </c>
      <c r="I183" s="91">
        <f>VLOOKUP($A183,'Data Vlaue (Cr)'!$C:$FB,93)</f>
        <v>12</v>
      </c>
      <c r="J183" s="92">
        <f>VLOOKUP($A183,'Data Vlaue (Cr)'!$C:$FB,94)</f>
        <v>1.3100000000000001E-2</v>
      </c>
      <c r="K183" s="91">
        <f>VLOOKUP($A183,'Data Vlaue (Cr)'!$C:$FB,95)</f>
        <v>438</v>
      </c>
      <c r="L183" s="91">
        <f>VLOOKUP($A183,'Data Vlaue (Cr)'!$C:$FB,97)</f>
        <v>9</v>
      </c>
      <c r="M183" s="92">
        <f>VLOOKUP($A183,'Data Vlaue (Cr)'!$C:$FB,98)</f>
        <v>2.0799999999999999E-2</v>
      </c>
      <c r="N183" s="91">
        <f>VLOOKUP($A183,'Data Vlaue (Cr)'!$C:$FB,79)</f>
        <v>1480</v>
      </c>
      <c r="O183" s="92">
        <f>VLOOKUP($A183,'Data Vlaue (Cr)'!$C:$FB,82)</f>
        <v>-1.9800000000000002E-2</v>
      </c>
    </row>
    <row r="184" spans="1:15" x14ac:dyDescent="0.25">
      <c r="A184" s="97" t="str">
        <f>'Data Vlaue (Cr)'!C179</f>
        <v>SBIN</v>
      </c>
      <c r="B184" s="142">
        <f>VLOOKUP(A184,'Data Vlaue (Cr)'!C179:CW392,99,0)</f>
        <v>15175</v>
      </c>
      <c r="C184" s="90">
        <f>VLOOKUP(A184,'Data Vlaue (Cr)'!C179:CY392,101,0)</f>
        <v>-105</v>
      </c>
      <c r="D184" s="139">
        <f>VLOOKUP(A184,'Data Vlaue (Cr)'!C179:CZ392,102,0)</f>
        <v>-6.8999999999999999E-3</v>
      </c>
      <c r="E184" s="91">
        <f>VLOOKUP($A184,'Data Vlaue (Cr)'!$C:$FB,75)</f>
        <v>7230</v>
      </c>
      <c r="F184" s="91">
        <f>VLOOKUP($A184,'Data Vlaue (Cr)'!$C:$FB,77)</f>
        <v>-3</v>
      </c>
      <c r="G184" s="92">
        <f>VLOOKUP(A184,'Data Vlaue (Cr)'!C179:CB392,78,0)</f>
        <v>-4.0000000000000002E-4</v>
      </c>
      <c r="H184" s="91">
        <f>VLOOKUP($A184,'Data Vlaue (Cr)'!$C:$FB,91)</f>
        <v>4608</v>
      </c>
      <c r="I184" s="91">
        <f>VLOOKUP($A184,'Data Vlaue (Cr)'!$C:$FB,93)</f>
        <v>-112</v>
      </c>
      <c r="J184" s="92">
        <f>VLOOKUP($A184,'Data Vlaue (Cr)'!$C:$FB,94)</f>
        <v>-2.3699999999999999E-2</v>
      </c>
      <c r="K184" s="91">
        <f>VLOOKUP($A184,'Data Vlaue (Cr)'!$C:$FB,95)</f>
        <v>3337</v>
      </c>
      <c r="L184" s="91">
        <f>VLOOKUP($A184,'Data Vlaue (Cr)'!$C:$FB,97)</f>
        <v>9</v>
      </c>
      <c r="M184" s="92">
        <f>VLOOKUP($A184,'Data Vlaue (Cr)'!$C:$FB,98)</f>
        <v>2.8E-3</v>
      </c>
      <c r="N184" s="91">
        <f>VLOOKUP($A184,'Data Vlaue (Cr)'!$C:$FB,79)</f>
        <v>5606</v>
      </c>
      <c r="O184" s="92">
        <f>VLOOKUP($A184,'Data Vlaue (Cr)'!$C:$FB,82)</f>
        <v>-4.9399999999999999E-2</v>
      </c>
    </row>
    <row r="185" spans="1:15" x14ac:dyDescent="0.25">
      <c r="A185" s="97" t="str">
        <f>'Data Vlaue (Cr)'!C180</f>
        <v>SHREECEM</v>
      </c>
      <c r="B185" s="142">
        <f>VLOOKUP(A185,'Data Vlaue (Cr)'!C180:CW393,99,0)</f>
        <v>1412</v>
      </c>
      <c r="C185" s="90">
        <f>VLOOKUP(A185,'Data Vlaue (Cr)'!C180:CY393,101,0)</f>
        <v>59</v>
      </c>
      <c r="D185" s="139">
        <f>VLOOKUP(A185,'Data Vlaue (Cr)'!C180:CZ393,102,0)</f>
        <v>4.3799999999999999E-2</v>
      </c>
      <c r="E185" s="91">
        <f>VLOOKUP($A185,'Data Vlaue (Cr)'!$C:$FB,75)</f>
        <v>866</v>
      </c>
      <c r="F185" s="91">
        <f>VLOOKUP($A185,'Data Vlaue (Cr)'!$C:$FB,77)</f>
        <v>27</v>
      </c>
      <c r="G185" s="92">
        <f>VLOOKUP(A185,'Data Vlaue (Cr)'!C180:CB393,78,0)</f>
        <v>3.2399999999999998E-2</v>
      </c>
      <c r="H185" s="91">
        <f>VLOOKUP($A185,'Data Vlaue (Cr)'!$C:$FB,91)</f>
        <v>390</v>
      </c>
      <c r="I185" s="91">
        <f>VLOOKUP($A185,'Data Vlaue (Cr)'!$C:$FB,93)</f>
        <v>33</v>
      </c>
      <c r="J185" s="92">
        <f>VLOOKUP($A185,'Data Vlaue (Cr)'!$C:$FB,94)</f>
        <v>9.1999999999999998E-2</v>
      </c>
      <c r="K185" s="91">
        <f>VLOOKUP($A185,'Data Vlaue (Cr)'!$C:$FB,95)</f>
        <v>156</v>
      </c>
      <c r="L185" s="91">
        <f>VLOOKUP($A185,'Data Vlaue (Cr)'!$C:$FB,97)</f>
        <v>-1</v>
      </c>
      <c r="M185" s="92">
        <f>VLOOKUP($A185,'Data Vlaue (Cr)'!$C:$FB,98)</f>
        <v>-4.4999999999999997E-3</v>
      </c>
      <c r="N185" s="91">
        <f>VLOOKUP($A185,'Data Vlaue (Cr)'!$C:$FB,79)</f>
        <v>766</v>
      </c>
      <c r="O185" s="92">
        <f>VLOOKUP($A185,'Data Vlaue (Cr)'!$C:$FB,82)</f>
        <v>1.9599999999999999E-2</v>
      </c>
    </row>
    <row r="186" spans="1:15" x14ac:dyDescent="0.25">
      <c r="A186" s="97" t="str">
        <f>'Data Vlaue (Cr)'!C181</f>
        <v>SHRIRAMFIN</v>
      </c>
      <c r="B186" s="142">
        <f>VLOOKUP(A186,'Data Vlaue (Cr)'!C181:CW394,99,0)</f>
        <v>8655</v>
      </c>
      <c r="C186" s="90">
        <f>VLOOKUP(A186,'Data Vlaue (Cr)'!C181:CY394,101,0)</f>
        <v>-297</v>
      </c>
      <c r="D186" s="139">
        <f>VLOOKUP(A186,'Data Vlaue (Cr)'!C181:CZ394,102,0)</f>
        <v>-3.32E-2</v>
      </c>
      <c r="E186" s="91">
        <f>VLOOKUP($A186,'Data Vlaue (Cr)'!$C:$FB,75)</f>
        <v>5573</v>
      </c>
      <c r="F186" s="91">
        <f>VLOOKUP($A186,'Data Vlaue (Cr)'!$C:$FB,77)</f>
        <v>-317</v>
      </c>
      <c r="G186" s="92">
        <f>VLOOKUP(A186,'Data Vlaue (Cr)'!C181:CB394,78,0)</f>
        <v>-5.3800000000000001E-2</v>
      </c>
      <c r="H186" s="91">
        <f>VLOOKUP($A186,'Data Vlaue (Cr)'!$C:$FB,91)</f>
        <v>1850</v>
      </c>
      <c r="I186" s="91">
        <f>VLOOKUP($A186,'Data Vlaue (Cr)'!$C:$FB,93)</f>
        <v>-99</v>
      </c>
      <c r="J186" s="92">
        <f>VLOOKUP($A186,'Data Vlaue (Cr)'!$C:$FB,94)</f>
        <v>-5.0900000000000001E-2</v>
      </c>
      <c r="K186" s="91">
        <f>VLOOKUP($A186,'Data Vlaue (Cr)'!$C:$FB,95)</f>
        <v>1232</v>
      </c>
      <c r="L186" s="91">
        <f>VLOOKUP($A186,'Data Vlaue (Cr)'!$C:$FB,97)</f>
        <v>119</v>
      </c>
      <c r="M186" s="92">
        <f>VLOOKUP($A186,'Data Vlaue (Cr)'!$C:$FB,98)</f>
        <v>0.1069</v>
      </c>
      <c r="N186" s="91">
        <f>VLOOKUP($A186,'Data Vlaue (Cr)'!$C:$FB,79)</f>
        <v>5199</v>
      </c>
      <c r="O186" s="92">
        <f>VLOOKUP($A186,'Data Vlaue (Cr)'!$C:$FB,82)</f>
        <v>-6.3399999999999998E-2</v>
      </c>
    </row>
    <row r="187" spans="1:15" x14ac:dyDescent="0.25">
      <c r="A187" s="97" t="str">
        <f>'Data Vlaue (Cr)'!C182</f>
        <v>SIEMENS</v>
      </c>
      <c r="B187" s="142">
        <f>VLOOKUP(A187,'Data Vlaue (Cr)'!C182:CW395,99,0)</f>
        <v>2087</v>
      </c>
      <c r="C187" s="90">
        <f>VLOOKUP(A187,'Data Vlaue (Cr)'!C182:CY395,101,0)</f>
        <v>65</v>
      </c>
      <c r="D187" s="139">
        <f>VLOOKUP(A187,'Data Vlaue (Cr)'!C182:CZ395,102,0)</f>
        <v>3.2099999999999997E-2</v>
      </c>
      <c r="E187" s="91">
        <f>VLOOKUP($A187,'Data Vlaue (Cr)'!$C:$FB,75)</f>
        <v>938</v>
      </c>
      <c r="F187" s="91">
        <f>VLOOKUP($A187,'Data Vlaue (Cr)'!$C:$FB,77)</f>
        <v>-5</v>
      </c>
      <c r="G187" s="92">
        <f>VLOOKUP(A187,'Data Vlaue (Cr)'!C182:CB395,78,0)</f>
        <v>-4.8999999999999998E-3</v>
      </c>
      <c r="H187" s="91">
        <f>VLOOKUP($A187,'Data Vlaue (Cr)'!$C:$FB,91)</f>
        <v>787</v>
      </c>
      <c r="I187" s="91">
        <f>VLOOKUP($A187,'Data Vlaue (Cr)'!$C:$FB,93)</f>
        <v>79</v>
      </c>
      <c r="J187" s="92">
        <f>VLOOKUP($A187,'Data Vlaue (Cr)'!$C:$FB,94)</f>
        <v>0.1119</v>
      </c>
      <c r="K187" s="91">
        <f>VLOOKUP($A187,'Data Vlaue (Cr)'!$C:$FB,95)</f>
        <v>361</v>
      </c>
      <c r="L187" s="91">
        <f>VLOOKUP($A187,'Data Vlaue (Cr)'!$C:$FB,97)</f>
        <v>-10</v>
      </c>
      <c r="M187" s="92">
        <f>VLOOKUP($A187,'Data Vlaue (Cr)'!$C:$FB,98)</f>
        <v>-2.6100000000000002E-2</v>
      </c>
      <c r="N187" s="91">
        <f>VLOOKUP($A187,'Data Vlaue (Cr)'!$C:$FB,79)</f>
        <v>828</v>
      </c>
      <c r="O187" s="92">
        <f>VLOOKUP($A187,'Data Vlaue (Cr)'!$C:$FB,82)</f>
        <v>-9.9000000000000008E-3</v>
      </c>
    </row>
    <row r="188" spans="1:15" x14ac:dyDescent="0.25">
      <c r="A188" s="97" t="str">
        <f>'Data Vlaue (Cr)'!C183</f>
        <v>SOLARINDS</v>
      </c>
      <c r="B188" s="142">
        <f>VLOOKUP(A188,'Data Vlaue (Cr)'!C183:CW396,99,0)</f>
        <v>2539</v>
      </c>
      <c r="C188" s="90">
        <f>VLOOKUP(A188,'Data Vlaue (Cr)'!C183:CY396,101,0)</f>
        <v>-19</v>
      </c>
      <c r="D188" s="139">
        <f>VLOOKUP(A188,'Data Vlaue (Cr)'!C183:CZ396,102,0)</f>
        <v>-7.4999999999999997E-3</v>
      </c>
      <c r="E188" s="91">
        <f>VLOOKUP($A188,'Data Vlaue (Cr)'!$C:$FB,75)</f>
        <v>1211</v>
      </c>
      <c r="F188" s="91">
        <f>VLOOKUP($A188,'Data Vlaue (Cr)'!$C:$FB,77)</f>
        <v>12</v>
      </c>
      <c r="G188" s="92">
        <f>VLOOKUP(A188,'Data Vlaue (Cr)'!C183:CB396,78,0)</f>
        <v>9.9000000000000008E-3</v>
      </c>
      <c r="H188" s="91">
        <f>VLOOKUP($A188,'Data Vlaue (Cr)'!$C:$FB,91)</f>
        <v>949</v>
      </c>
      <c r="I188" s="91">
        <f>VLOOKUP($A188,'Data Vlaue (Cr)'!$C:$FB,93)</f>
        <v>-35</v>
      </c>
      <c r="J188" s="92">
        <f>VLOOKUP($A188,'Data Vlaue (Cr)'!$C:$FB,94)</f>
        <v>-3.5900000000000001E-2</v>
      </c>
      <c r="K188" s="91">
        <f>VLOOKUP($A188,'Data Vlaue (Cr)'!$C:$FB,95)</f>
        <v>379</v>
      </c>
      <c r="L188" s="91">
        <f>VLOOKUP($A188,'Data Vlaue (Cr)'!$C:$FB,97)</f>
        <v>4</v>
      </c>
      <c r="M188" s="92">
        <f>VLOOKUP($A188,'Data Vlaue (Cr)'!$C:$FB,98)</f>
        <v>1.1900000000000001E-2</v>
      </c>
      <c r="N188" s="91">
        <f>VLOOKUP($A188,'Data Vlaue (Cr)'!$C:$FB,79)</f>
        <v>1092</v>
      </c>
      <c r="O188" s="92">
        <f>VLOOKUP($A188,'Data Vlaue (Cr)'!$C:$FB,82)</f>
        <v>-4.7000000000000002E-3</v>
      </c>
    </row>
    <row r="189" spans="1:15" x14ac:dyDescent="0.25">
      <c r="A189" s="97" t="str">
        <f>'Data Vlaue (Cr)'!C215</f>
        <v>ZYDUSLIFE</v>
      </c>
      <c r="B189" s="142">
        <f>VLOOKUP(A189,'Data Vlaue (Cr)'!C215:CW397,99,0)</f>
        <v>1746</v>
      </c>
      <c r="C189" s="90">
        <f>VLOOKUP(A189,'Data Vlaue (Cr)'!C215:CY397,101,0)</f>
        <v>14</v>
      </c>
      <c r="D189" s="139">
        <f>VLOOKUP(A189,'Data Vlaue (Cr)'!C215:CZ397,102,0)</f>
        <v>7.9000000000000008E-3</v>
      </c>
      <c r="E189" s="91">
        <f>VLOOKUP($A189,'Data Vlaue (Cr)'!$C:$FB,75)</f>
        <v>1030</v>
      </c>
      <c r="F189" s="91">
        <f>VLOOKUP($A189,'Data Vlaue (Cr)'!$C:$FB,77)</f>
        <v>-5</v>
      </c>
      <c r="G189" s="92">
        <f>VLOOKUP(A189,'Data Vlaue (Cr)'!C215:CB397,78,0)</f>
        <v>-4.8999999999999998E-3</v>
      </c>
      <c r="H189" s="91">
        <f>VLOOKUP($A189,'Data Vlaue (Cr)'!$C:$FB,91)</f>
        <v>412</v>
      </c>
      <c r="I189" s="91">
        <f>VLOOKUP($A189,'Data Vlaue (Cr)'!$C:$FB,93)</f>
        <v>11</v>
      </c>
      <c r="J189" s="92">
        <f>VLOOKUP($A189,'Data Vlaue (Cr)'!$C:$FB,94)</f>
        <v>2.69E-2</v>
      </c>
      <c r="K189" s="91">
        <f>VLOOKUP($A189,'Data Vlaue (Cr)'!$C:$FB,95)</f>
        <v>304</v>
      </c>
      <c r="L189" s="91">
        <f>VLOOKUP($A189,'Data Vlaue (Cr)'!$C:$FB,97)</f>
        <v>8</v>
      </c>
      <c r="M189" s="92">
        <f>VLOOKUP($A189,'Data Vlaue (Cr)'!$C:$FB,98)</f>
        <v>2.7E-2</v>
      </c>
      <c r="N189" s="91">
        <f>VLOOKUP($A189,'Data Vlaue (Cr)'!$C:$FB,79)</f>
        <v>954</v>
      </c>
      <c r="O189" s="92">
        <f>VLOOKUP($A189,'Data Vlaue (Cr)'!$C:$FB,82)</f>
        <v>-1.35E-2</v>
      </c>
    </row>
    <row r="190" spans="1:15" x14ac:dyDescent="0.25">
      <c r="A190" s="97"/>
      <c r="B190" s="142"/>
      <c r="C190" s="90"/>
      <c r="D190" s="139"/>
      <c r="E190" s="91"/>
      <c r="F190" s="91"/>
      <c r="G190" s="92"/>
      <c r="H190" s="91"/>
      <c r="I190" s="91"/>
      <c r="J190" s="92"/>
      <c r="K190" s="91"/>
      <c r="L190" s="91"/>
      <c r="M190" s="92"/>
      <c r="N190" s="91"/>
      <c r="O190" s="92"/>
    </row>
    <row r="191" spans="1:15" x14ac:dyDescent="0.25">
      <c r="A191" s="97"/>
      <c r="B191" s="142"/>
      <c r="C191" s="90"/>
      <c r="D191" s="139"/>
      <c r="E191" s="91"/>
      <c r="F191" s="91"/>
      <c r="G191" s="92"/>
      <c r="H191" s="91"/>
      <c r="I191" s="91"/>
      <c r="J191" s="92"/>
      <c r="K191" s="91"/>
      <c r="L191" s="91"/>
      <c r="M191" s="92"/>
      <c r="N191" s="91"/>
      <c r="O191" s="92"/>
    </row>
    <row r="192" spans="1:15" x14ac:dyDescent="0.25">
      <c r="A192" s="97"/>
      <c r="B192" s="142"/>
      <c r="C192" s="90"/>
      <c r="D192" s="139"/>
      <c r="E192" s="91"/>
      <c r="F192" s="91"/>
      <c r="G192" s="92"/>
      <c r="H192" s="91"/>
      <c r="I192" s="91"/>
      <c r="J192" s="92"/>
      <c r="K192" s="91"/>
      <c r="L192" s="91"/>
      <c r="M192" s="92"/>
      <c r="N192" s="91"/>
      <c r="O192" s="92"/>
    </row>
    <row r="193" spans="1:15" x14ac:dyDescent="0.25">
      <c r="A193" s="97"/>
      <c r="B193" s="142"/>
      <c r="C193" s="90"/>
      <c r="D193" s="139"/>
      <c r="E193" s="91"/>
      <c r="F193" s="91"/>
      <c r="G193" s="92"/>
      <c r="H193" s="91"/>
      <c r="I193" s="91"/>
      <c r="J193" s="92"/>
      <c r="K193" s="91"/>
      <c r="L193" s="91"/>
      <c r="M193" s="92"/>
      <c r="N193" s="91"/>
      <c r="O193" s="92"/>
    </row>
    <row r="194" spans="1:15" x14ac:dyDescent="0.25">
      <c r="A194" s="97"/>
      <c r="B194" s="142"/>
      <c r="C194" s="90"/>
      <c r="D194" s="139"/>
      <c r="E194" s="91"/>
      <c r="F194" s="91"/>
      <c r="G194" s="92"/>
      <c r="H194" s="91"/>
      <c r="I194" s="91"/>
      <c r="J194" s="92"/>
      <c r="K194" s="91"/>
      <c r="L194" s="91"/>
      <c r="M194" s="92"/>
      <c r="N194" s="91"/>
      <c r="O194" s="92"/>
    </row>
    <row r="195" spans="1:15" x14ac:dyDescent="0.25">
      <c r="A195" s="97"/>
      <c r="B195" s="142"/>
      <c r="C195" s="90"/>
      <c r="D195" s="139"/>
      <c r="E195" s="91"/>
      <c r="F195" s="91"/>
      <c r="G195" s="92"/>
      <c r="H195" s="91"/>
      <c r="I195" s="91"/>
      <c r="J195" s="92"/>
      <c r="K195" s="91"/>
      <c r="L195" s="91"/>
      <c r="M195" s="92"/>
      <c r="N195" s="91"/>
      <c r="O195" s="92"/>
    </row>
    <row r="196" spans="1:15" x14ac:dyDescent="0.25">
      <c r="A196" s="97"/>
      <c r="B196" s="142"/>
      <c r="C196" s="90"/>
      <c r="D196" s="139"/>
      <c r="E196" s="91"/>
      <c r="F196" s="91"/>
      <c r="G196" s="92"/>
      <c r="H196" s="91"/>
      <c r="I196" s="91"/>
      <c r="J196" s="92"/>
      <c r="K196" s="91"/>
      <c r="L196" s="91"/>
      <c r="M196" s="92"/>
      <c r="N196" s="91"/>
      <c r="O196" s="92"/>
    </row>
    <row r="197" spans="1:15" x14ac:dyDescent="0.25">
      <c r="A197" s="97"/>
      <c r="B197" s="142"/>
      <c r="C197" s="90"/>
      <c r="D197" s="139"/>
      <c r="E197" s="91"/>
      <c r="F197" s="91"/>
      <c r="G197" s="92"/>
      <c r="H197" s="91"/>
      <c r="I197" s="91"/>
      <c r="J197" s="92"/>
      <c r="K197" s="91"/>
      <c r="L197" s="91"/>
      <c r="M197" s="92"/>
      <c r="N197" s="91"/>
      <c r="O197" s="92"/>
    </row>
    <row r="198" spans="1:15" x14ac:dyDescent="0.25">
      <c r="A198" s="97"/>
      <c r="B198" s="142"/>
      <c r="C198" s="90"/>
      <c r="D198" s="139"/>
      <c r="E198" s="91"/>
      <c r="F198" s="91"/>
      <c r="G198" s="92"/>
      <c r="H198" s="91"/>
      <c r="I198" s="91"/>
      <c r="J198" s="92"/>
      <c r="K198" s="91"/>
      <c r="L198" s="91"/>
      <c r="M198" s="92"/>
      <c r="N198" s="91"/>
      <c r="O198" s="92"/>
    </row>
    <row r="199" spans="1:15" x14ac:dyDescent="0.25">
      <c r="A199" s="97"/>
      <c r="B199" s="142"/>
      <c r="C199" s="90"/>
      <c r="D199" s="139"/>
      <c r="E199" s="91"/>
      <c r="F199" s="91"/>
      <c r="G199" s="92"/>
      <c r="H199" s="91"/>
      <c r="I199" s="91"/>
      <c r="J199" s="92"/>
      <c r="K199" s="91"/>
      <c r="L199" s="91"/>
      <c r="M199" s="92"/>
      <c r="N199" s="91"/>
      <c r="O199" s="92"/>
    </row>
    <row r="200" spans="1:15" x14ac:dyDescent="0.25">
      <c r="A200" s="97"/>
      <c r="B200" s="142"/>
      <c r="C200" s="90"/>
      <c r="D200" s="139"/>
      <c r="E200" s="91"/>
      <c r="F200" s="91"/>
      <c r="G200" s="92"/>
      <c r="H200" s="91"/>
      <c r="I200" s="91"/>
      <c r="J200" s="92"/>
      <c r="K200" s="91"/>
      <c r="L200" s="91"/>
      <c r="M200" s="92"/>
      <c r="N200" s="91"/>
      <c r="O200" s="92"/>
    </row>
    <row r="201" spans="1:15" x14ac:dyDescent="0.25">
      <c r="A201" s="97"/>
      <c r="B201" s="142"/>
      <c r="C201" s="90"/>
      <c r="D201" s="139"/>
      <c r="E201" s="91"/>
      <c r="F201" s="91"/>
      <c r="G201" s="92"/>
      <c r="H201" s="91"/>
      <c r="I201" s="91"/>
      <c r="J201" s="92"/>
      <c r="K201" s="91"/>
      <c r="L201" s="91"/>
      <c r="M201" s="92"/>
      <c r="N201" s="91"/>
      <c r="O201" s="92"/>
    </row>
    <row r="202" spans="1:15" x14ac:dyDescent="0.25">
      <c r="A202" s="97"/>
      <c r="B202" s="142"/>
      <c r="C202" s="90"/>
      <c r="D202" s="139"/>
      <c r="E202" s="91"/>
      <c r="F202" s="91"/>
      <c r="G202" s="92"/>
      <c r="H202" s="91"/>
      <c r="I202" s="91"/>
      <c r="J202" s="92"/>
      <c r="K202" s="91"/>
      <c r="L202" s="91"/>
      <c r="M202" s="92"/>
      <c r="N202" s="91"/>
      <c r="O202" s="92"/>
    </row>
    <row r="203" spans="1:15" x14ac:dyDescent="0.25">
      <c r="A203" s="97"/>
      <c r="B203" s="142"/>
      <c r="C203" s="90"/>
      <c r="D203" s="139"/>
      <c r="E203" s="91"/>
      <c r="F203" s="91"/>
      <c r="G203" s="92"/>
      <c r="H203" s="91"/>
      <c r="I203" s="91"/>
      <c r="J203" s="92"/>
      <c r="K203" s="91"/>
      <c r="L203" s="91"/>
      <c r="M203" s="92"/>
      <c r="N203" s="91"/>
      <c r="O203" s="92"/>
    </row>
    <row r="204" spans="1:15" x14ac:dyDescent="0.25">
      <c r="A204" s="97"/>
      <c r="B204" s="142"/>
      <c r="C204" s="90"/>
      <c r="D204" s="139"/>
      <c r="E204" s="91"/>
      <c r="F204" s="91"/>
      <c r="G204" s="92"/>
      <c r="H204" s="91"/>
      <c r="I204" s="91"/>
      <c r="J204" s="92"/>
      <c r="K204" s="91"/>
      <c r="L204" s="91"/>
      <c r="M204" s="92"/>
      <c r="N204" s="91"/>
      <c r="O204" s="92"/>
    </row>
    <row r="205" spans="1:15" x14ac:dyDescent="0.25">
      <c r="A205" s="97"/>
      <c r="B205" s="142"/>
      <c r="C205" s="90"/>
      <c r="D205" s="139"/>
      <c r="E205" s="91"/>
      <c r="F205" s="91"/>
      <c r="G205" s="92"/>
      <c r="H205" s="91"/>
      <c r="I205" s="91"/>
      <c r="J205" s="92"/>
      <c r="K205" s="91"/>
      <c r="L205" s="91"/>
      <c r="M205" s="92"/>
      <c r="N205" s="91"/>
      <c r="O205" s="92"/>
    </row>
    <row r="206" spans="1:15" x14ac:dyDescent="0.25">
      <c r="A206" s="97"/>
      <c r="B206" s="142"/>
      <c r="C206" s="90"/>
      <c r="D206" s="139"/>
      <c r="E206" s="91"/>
      <c r="F206" s="91"/>
      <c r="G206" s="92"/>
      <c r="H206" s="91"/>
      <c r="I206" s="91"/>
      <c r="J206" s="92"/>
      <c r="K206" s="91"/>
      <c r="L206" s="91"/>
      <c r="M206" s="92"/>
      <c r="N206" s="91"/>
      <c r="O206" s="92"/>
    </row>
    <row r="207" spans="1:15" x14ac:dyDescent="0.25">
      <c r="A207" s="97"/>
      <c r="B207" s="142"/>
      <c r="C207" s="90"/>
      <c r="D207" s="139"/>
      <c r="E207" s="91"/>
      <c r="F207" s="91"/>
      <c r="G207" s="92"/>
      <c r="H207" s="91"/>
      <c r="I207" s="91"/>
      <c r="J207" s="92"/>
      <c r="K207" s="91"/>
      <c r="L207" s="91"/>
      <c r="M207" s="92"/>
      <c r="N207" s="91"/>
      <c r="O207" s="92"/>
    </row>
    <row r="208" spans="1:15" x14ac:dyDescent="0.25">
      <c r="A208" s="97"/>
      <c r="B208" s="142"/>
      <c r="C208" s="90"/>
      <c r="D208" s="139"/>
      <c r="E208" s="91"/>
      <c r="F208" s="91"/>
      <c r="G208" s="92"/>
      <c r="H208" s="91"/>
      <c r="I208" s="91"/>
      <c r="J208" s="92"/>
      <c r="K208" s="91"/>
      <c r="L208" s="91"/>
      <c r="M208" s="92"/>
      <c r="N208" s="91"/>
      <c r="O208" s="92"/>
    </row>
    <row r="209" spans="1:15" x14ac:dyDescent="0.25">
      <c r="A209" s="102"/>
      <c r="B209" s="142"/>
      <c r="C209" s="90"/>
      <c r="D209" s="139"/>
      <c r="E209" s="91"/>
      <c r="F209" s="91"/>
      <c r="G209" s="92"/>
      <c r="H209" s="91"/>
      <c r="I209" s="91"/>
      <c r="J209" s="92"/>
      <c r="K209" s="91"/>
      <c r="L209" s="91"/>
      <c r="M209" s="92"/>
      <c r="N209" s="91"/>
      <c r="O209" s="92"/>
    </row>
    <row r="210" spans="1:15" s="88" customFormat="1" ht="15.75" customHeight="1" x14ac:dyDescent="0.25">
      <c r="A210" s="122" t="s">
        <v>391</v>
      </c>
      <c r="B210" s="123">
        <f>SUM(B7:B209)</f>
        <v>2344911</v>
      </c>
      <c r="C210" s="123">
        <f>SUM(C7:C209)</f>
        <v>96781</v>
      </c>
      <c r="D210" s="124">
        <f>'Snapshot (Value)'!K225</f>
        <v>4.3046772971030225E-2</v>
      </c>
      <c r="E210" s="123">
        <f>SUM(E7:E209)</f>
        <v>510766</v>
      </c>
      <c r="F210" s="123">
        <f>SUM(F7:F209)</f>
        <v>1568</v>
      </c>
      <c r="G210" s="149">
        <f>F210*100/(E210-F210)</f>
        <v>0.30793522362617293</v>
      </c>
      <c r="H210" s="123">
        <f>SUM(H7:H209)</f>
        <v>1035673</v>
      </c>
      <c r="I210" s="123">
        <f>SUM(I7:I209)</f>
        <v>28477</v>
      </c>
      <c r="J210" s="149">
        <f>I210/(H210-I210)</f>
        <v>2.8273543580395473E-2</v>
      </c>
      <c r="K210" s="123">
        <f>SUM(K7:K209)</f>
        <v>798462</v>
      </c>
      <c r="L210" s="123">
        <f>SUM(L7:L209)</f>
        <v>66745</v>
      </c>
      <c r="M210" s="149">
        <f>L210/(K210-L210)</f>
        <v>9.121695956223512E-2</v>
      </c>
      <c r="N210" s="123">
        <f>SUM(N7:N209)</f>
        <v>447299</v>
      </c>
      <c r="O210" s="149">
        <f>(N210-FII!V2)/N210</f>
        <v>-0.16544637926755928</v>
      </c>
    </row>
    <row r="215" spans="1:15" x14ac:dyDescent="0.25">
      <c r="A215" s="273" t="s">
        <v>408</v>
      </c>
      <c r="B215" s="273"/>
      <c r="C215" s="273"/>
      <c r="D215" s="273"/>
    </row>
    <row r="216" spans="1:15" x14ac:dyDescent="0.25">
      <c r="A216" s="35" t="s">
        <v>401</v>
      </c>
      <c r="B216" s="35" t="s">
        <v>402</v>
      </c>
      <c r="C216" s="35" t="s">
        <v>369</v>
      </c>
      <c r="D216" s="35" t="s">
        <v>407</v>
      </c>
    </row>
    <row r="217" spans="1:15" x14ac:dyDescent="0.25">
      <c r="A217" s="36" t="s">
        <v>403</v>
      </c>
      <c r="B217" s="37">
        <f>E210</f>
        <v>510766</v>
      </c>
      <c r="C217" s="37">
        <f>F210</f>
        <v>1568</v>
      </c>
      <c r="D217" s="39">
        <f>C217/B217</f>
        <v>3.0698989361077284E-3</v>
      </c>
    </row>
    <row r="218" spans="1:15" x14ac:dyDescent="0.25">
      <c r="A218" s="36" t="s">
        <v>404</v>
      </c>
      <c r="B218" s="37">
        <f>H210</f>
        <v>1035673</v>
      </c>
      <c r="C218" s="37">
        <f>I210</f>
        <v>28477</v>
      </c>
      <c r="D218" s="150">
        <f>C218/B218</f>
        <v>2.7496130535410307E-2</v>
      </c>
    </row>
    <row r="219" spans="1:15" x14ac:dyDescent="0.25">
      <c r="A219" s="36" t="s">
        <v>405</v>
      </c>
      <c r="B219" s="37">
        <f>K210</f>
        <v>798462</v>
      </c>
      <c r="C219" s="37">
        <f>L210</f>
        <v>66745</v>
      </c>
      <c r="D219" s="150">
        <f>C219/B219</f>
        <v>8.3591955534515108E-2</v>
      </c>
    </row>
    <row r="220" spans="1:15" x14ac:dyDescent="0.25">
      <c r="A220" s="36" t="s">
        <v>406</v>
      </c>
      <c r="B220" s="37">
        <f>B217+B218+B219</f>
        <v>2344901</v>
      </c>
      <c r="C220" s="37">
        <f>C217+C218+C219</f>
        <v>96790</v>
      </c>
      <c r="D220" s="150">
        <f>C220/B220</f>
        <v>4.1276795907375194E-2</v>
      </c>
    </row>
  </sheetData>
  <autoFilter ref="A6:O6">
    <sortState ref="A7:O154">
      <sortCondition ref="A6"/>
    </sortState>
  </autoFilter>
  <mergeCells count="9">
    <mergeCell ref="A215:D21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7" activePane="bottomLeft" state="frozen"/>
      <selection pane="bottomLeft" activeCell="S54" sqref="S54"/>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46009</v>
      </c>
      <c r="C6" s="3">
        <f>B6</f>
        <v>46009</v>
      </c>
      <c r="D6" s="94" t="s">
        <v>328</v>
      </c>
      <c r="E6" s="3">
        <f>B6</f>
        <v>46009</v>
      </c>
      <c r="F6" s="94" t="s">
        <v>322</v>
      </c>
      <c r="G6" s="94" t="s">
        <v>328</v>
      </c>
      <c r="H6" s="3">
        <f>E6</f>
        <v>46009</v>
      </c>
      <c r="I6" s="94" t="s">
        <v>322</v>
      </c>
      <c r="J6" s="94" t="s">
        <v>328</v>
      </c>
    </row>
    <row r="7" spans="1:10" x14ac:dyDescent="0.25">
      <c r="A7" s="101" t="e">
        <f>'NIFTY GRP'!#REF!</f>
        <v>#REF!</v>
      </c>
      <c r="B7" s="140" t="e">
        <f>VLOOKUP($A7,'Data shares'!$C:$FA,7)</f>
        <v>#REF!</v>
      </c>
      <c r="C7" s="140" t="e">
        <f>VLOOKUP($A7,'Data shares'!$C:$FA,3)</f>
        <v>#REF!</v>
      </c>
      <c r="D7" s="50" t="e">
        <f>VLOOKUP($A7,'Data shares'!$C:$FA,6)*100</f>
        <v>#REF!</v>
      </c>
      <c r="E7" s="51" t="e">
        <f>VLOOKUP($A7,'Data shares'!$C:$FA,98)</f>
        <v>#REF!</v>
      </c>
      <c r="F7" s="51" t="e">
        <f>VLOOKUP($A7,'Data shares'!$C:$FA,99)</f>
        <v>#REF!</v>
      </c>
      <c r="G7" s="50" t="e">
        <f>VLOOKUP($A7,'Data shares'!$C:$FA,101)*100</f>
        <v>#REF!</v>
      </c>
      <c r="H7" s="49" t="e">
        <f>VLOOKUP($A7,'Data Vlaue (Cr)'!$C:$FB,99)</f>
        <v>#REF!</v>
      </c>
      <c r="I7" s="49" t="e">
        <f>VLOOKUP($A7,'Data Vlaue (Cr)'!$C:$FB,100)</f>
        <v>#REF!</v>
      </c>
      <c r="J7" s="49" t="e">
        <f>VLOOKUP($A7,'Data Vlaue (Cr)'!$C:$FB,102)*100</f>
        <v>#REF!</v>
      </c>
    </row>
    <row r="8" spans="1:10" x14ac:dyDescent="0.25">
      <c r="A8" s="101" t="e">
        <f>'NIFTY GRP'!#REF!</f>
        <v>#REF!</v>
      </c>
      <c r="B8" s="140" t="e">
        <f>VLOOKUP($A8,'Data shares'!$C:$FA,7)</f>
        <v>#REF!</v>
      </c>
      <c r="C8" s="140" t="e">
        <f>VLOOKUP($A8,'Data shares'!$C:$FA,3)</f>
        <v>#REF!</v>
      </c>
      <c r="D8" s="50" t="e">
        <f>VLOOKUP($A8,'Data shares'!$C:$FA,6)*100</f>
        <v>#REF!</v>
      </c>
      <c r="E8" s="51" t="e">
        <f>VLOOKUP($A8,'Data shares'!$C:$FA,98)</f>
        <v>#REF!</v>
      </c>
      <c r="F8" s="51" t="e">
        <f>VLOOKUP($A8,'Data shares'!$C:$FA,99)</f>
        <v>#REF!</v>
      </c>
      <c r="G8" s="50" t="e">
        <f>VLOOKUP($A8,'Data shares'!$C:$FA,101)*100</f>
        <v>#REF!</v>
      </c>
      <c r="H8" s="49" t="e">
        <f>VLOOKUP($A8,'Data Vlaue (Cr)'!$C:$FB,99)</f>
        <v>#REF!</v>
      </c>
      <c r="I8" s="49" t="e">
        <f>VLOOKUP($A8,'Data Vlaue (Cr)'!$C:$FB,100)</f>
        <v>#REF!</v>
      </c>
      <c r="J8" s="49" t="e">
        <f>VLOOKUP($A8,'Data Vlaue (Cr)'!$C:$FB,102)*100</f>
        <v>#REF!</v>
      </c>
    </row>
    <row r="9" spans="1:10" x14ac:dyDescent="0.25">
      <c r="A9" s="101" t="e">
        <f>'NIFTY GRP'!#REF!</f>
        <v>#REF!</v>
      </c>
      <c r="B9" s="140" t="e">
        <f>VLOOKUP($A9,'Data shares'!$C:$FA,7)</f>
        <v>#REF!</v>
      </c>
      <c r="C9" s="140" t="e">
        <f>VLOOKUP($A9,'Data shares'!$C:$FA,3)</f>
        <v>#REF!</v>
      </c>
      <c r="D9" s="50" t="e">
        <f>VLOOKUP($A9,'Data shares'!$C:$FA,6)*100</f>
        <v>#REF!</v>
      </c>
      <c r="E9" s="51" t="e">
        <f>VLOOKUP($A9,'Data shares'!$C:$FA,98)</f>
        <v>#REF!</v>
      </c>
      <c r="F9" s="51" t="e">
        <f>VLOOKUP($A9,'Data shares'!$C:$FA,99)</f>
        <v>#REF!</v>
      </c>
      <c r="G9" s="50" t="e">
        <f>VLOOKUP($A9,'Data shares'!$C:$FA,101)*100</f>
        <v>#REF!</v>
      </c>
      <c r="H9" s="49" t="e">
        <f>VLOOKUP($A9,'Data Vlaue (Cr)'!$C:$FB,99)</f>
        <v>#REF!</v>
      </c>
      <c r="I9" s="49" t="e">
        <f>VLOOKUP($A9,'Data Vlaue (Cr)'!$C:$FB,100)</f>
        <v>#REF!</v>
      </c>
      <c r="J9" s="49" t="e">
        <f>VLOOKUP($A9,'Data Vlaue (Cr)'!$C:$FB,102)*100</f>
        <v>#REF!</v>
      </c>
    </row>
    <row r="10" spans="1:10" x14ac:dyDescent="0.25">
      <c r="A10" s="101" t="e">
        <f>'NIFTY GRP'!#REF!</f>
        <v>#REF!</v>
      </c>
      <c r="B10" s="140" t="e">
        <f>VLOOKUP($A10,'Data shares'!$C:$FA,7)</f>
        <v>#REF!</v>
      </c>
      <c r="C10" s="140" t="e">
        <f>VLOOKUP($A10,'Data shares'!$C:$FA,3)</f>
        <v>#REF!</v>
      </c>
      <c r="D10" s="50" t="e">
        <f>VLOOKUP($A10,'Data shares'!$C:$FA,6)*100</f>
        <v>#REF!</v>
      </c>
      <c r="E10" s="51" t="e">
        <f>VLOOKUP($A10,'Data shares'!$C:$FA,98)</f>
        <v>#REF!</v>
      </c>
      <c r="F10" s="51" t="e">
        <f>VLOOKUP($A10,'Data shares'!$C:$FA,99)</f>
        <v>#REF!</v>
      </c>
      <c r="G10" s="50" t="e">
        <f>VLOOKUP($A10,'Data shares'!$C:$FA,101)*100</f>
        <v>#REF!</v>
      </c>
      <c r="H10" s="49" t="e">
        <f>VLOOKUP($A10,'Data Vlaue (Cr)'!$C:$FB,99)</f>
        <v>#REF!</v>
      </c>
      <c r="I10" s="49" t="e">
        <f>VLOOKUP($A10,'Data Vlaue (Cr)'!$C:$FB,100)</f>
        <v>#REF!</v>
      </c>
      <c r="J10" s="49" t="e">
        <f>VLOOKUP($A10,'Data Vlaue (Cr)'!$C:$FB,102)*100</f>
        <v>#REF!</v>
      </c>
    </row>
    <row r="11" spans="1:10" x14ac:dyDescent="0.25">
      <c r="A11" s="101" t="e">
        <f>'NIFTY GRP'!#REF!</f>
        <v>#REF!</v>
      </c>
      <c r="B11" s="140" t="e">
        <f>VLOOKUP($A11,'Data shares'!$C:$FA,7)</f>
        <v>#REF!</v>
      </c>
      <c r="C11" s="140" t="e">
        <f>VLOOKUP($A11,'Data shares'!$C:$FA,3)</f>
        <v>#REF!</v>
      </c>
      <c r="D11" s="50" t="e">
        <f>VLOOKUP($A11,'Data shares'!$C:$FA,6)*100</f>
        <v>#REF!</v>
      </c>
      <c r="E11" s="51" t="e">
        <f>VLOOKUP($A11,'Data shares'!$C:$FA,98)</f>
        <v>#REF!</v>
      </c>
      <c r="F11" s="51" t="e">
        <f>VLOOKUP($A11,'Data shares'!$C:$FA,99)</f>
        <v>#REF!</v>
      </c>
      <c r="G11" s="50" t="e">
        <f>VLOOKUP($A11,'Data shares'!$C:$FA,101)*100</f>
        <v>#REF!</v>
      </c>
      <c r="H11" s="49" t="e">
        <f>VLOOKUP($A11,'Data Vlaue (Cr)'!$C:$FB,99)</f>
        <v>#REF!</v>
      </c>
      <c r="I11" s="49" t="e">
        <f>VLOOKUP($A11,'Data Vlaue (Cr)'!$C:$FB,100)</f>
        <v>#REF!</v>
      </c>
      <c r="J11" s="49" t="e">
        <f>VLOOKUP($A11,'Data Vlaue (Cr)'!$C:$FB,102)*100</f>
        <v>#REF!</v>
      </c>
    </row>
    <row r="12" spans="1:10" x14ac:dyDescent="0.25">
      <c r="A12" s="101" t="e">
        <f>'NIFTY GRP'!#REF!</f>
        <v>#REF!</v>
      </c>
      <c r="B12" s="140" t="e">
        <f>VLOOKUP($A12,'Data shares'!$C:$FA,7)</f>
        <v>#REF!</v>
      </c>
      <c r="C12" s="140" t="e">
        <f>VLOOKUP($A12,'Data shares'!$C:$FA,3)</f>
        <v>#REF!</v>
      </c>
      <c r="D12" s="50" t="e">
        <f>VLOOKUP($A12,'Data shares'!$C:$FA,6)*100</f>
        <v>#REF!</v>
      </c>
      <c r="E12" s="51" t="e">
        <f>VLOOKUP($A12,'Data shares'!$C:$FA,98)</f>
        <v>#REF!</v>
      </c>
      <c r="F12" s="51" t="e">
        <f>VLOOKUP($A12,'Data shares'!$C:$FA,99)</f>
        <v>#REF!</v>
      </c>
      <c r="G12" s="50" t="e">
        <f>VLOOKUP($A12,'Data shares'!$C:$FA,101)*100</f>
        <v>#REF!</v>
      </c>
      <c r="H12" s="49" t="e">
        <f>VLOOKUP($A12,'Data Vlaue (Cr)'!$C:$FB,99)</f>
        <v>#REF!</v>
      </c>
      <c r="I12" s="49" t="e">
        <f>VLOOKUP($A12,'Data Vlaue (Cr)'!$C:$FB,100)</f>
        <v>#REF!</v>
      </c>
      <c r="J12" s="49" t="e">
        <f>VLOOKUP($A12,'Data Vlaue (Cr)'!$C:$FB,102)*100</f>
        <v>#REF!</v>
      </c>
    </row>
    <row r="13" spans="1:10" x14ac:dyDescent="0.25">
      <c r="A13" s="101" t="e">
        <f>'NIFTY GRP'!#REF!</f>
        <v>#REF!</v>
      </c>
      <c r="B13" s="140" t="e">
        <f>VLOOKUP($A13,'Data shares'!$C:$FA,7)</f>
        <v>#REF!</v>
      </c>
      <c r="C13" s="140" t="e">
        <f>VLOOKUP($A13,'Data shares'!$C:$FA,3)</f>
        <v>#REF!</v>
      </c>
      <c r="D13" s="50" t="e">
        <f>VLOOKUP($A13,'Data shares'!$C:$FA,6)*100</f>
        <v>#REF!</v>
      </c>
      <c r="E13" s="51" t="e">
        <f>VLOOKUP($A13,'Data shares'!$C:$FA,98)</f>
        <v>#REF!</v>
      </c>
      <c r="F13" s="51" t="e">
        <f>VLOOKUP($A13,'Data shares'!$C:$FA,99)</f>
        <v>#REF!</v>
      </c>
      <c r="G13" s="50" t="e">
        <f>VLOOKUP($A13,'Data shares'!$C:$FA,101)*100</f>
        <v>#REF!</v>
      </c>
      <c r="H13" s="49" t="e">
        <f>VLOOKUP($A13,'Data Vlaue (Cr)'!$C:$FB,99)</f>
        <v>#REF!</v>
      </c>
      <c r="I13" s="49" t="e">
        <f>VLOOKUP($A13,'Data Vlaue (Cr)'!$C:$FB,100)</f>
        <v>#REF!</v>
      </c>
      <c r="J13" s="49" t="e">
        <f>VLOOKUP($A13,'Data Vlaue (Cr)'!$C:$FB,102)*100</f>
        <v>#REF!</v>
      </c>
    </row>
    <row r="14" spans="1:10" x14ac:dyDescent="0.25">
      <c r="A14" s="101" t="e">
        <f>'NIFTY GRP'!#REF!</f>
        <v>#REF!</v>
      </c>
      <c r="B14" s="140" t="e">
        <f>VLOOKUP($A14,'Data shares'!$C:$FA,7)</f>
        <v>#REF!</v>
      </c>
      <c r="C14" s="140" t="e">
        <f>VLOOKUP($A14,'Data shares'!$C:$FA,3)</f>
        <v>#REF!</v>
      </c>
      <c r="D14" s="50" t="e">
        <f>VLOOKUP($A14,'Data shares'!$C:$FA,6)*100</f>
        <v>#REF!</v>
      </c>
      <c r="E14" s="51" t="e">
        <f>VLOOKUP($A14,'Data shares'!$C:$FA,98)</f>
        <v>#REF!</v>
      </c>
      <c r="F14" s="51" t="e">
        <f>VLOOKUP($A14,'Data shares'!$C:$FA,99)</f>
        <v>#REF!</v>
      </c>
      <c r="G14" s="50" t="e">
        <f>VLOOKUP($A14,'Data shares'!$C:$FA,101)*100</f>
        <v>#REF!</v>
      </c>
      <c r="H14" s="49" t="e">
        <f>VLOOKUP($A14,'Data Vlaue (Cr)'!$C:$FB,99)</f>
        <v>#REF!</v>
      </c>
      <c r="I14" s="49" t="e">
        <f>VLOOKUP($A14,'Data Vlaue (Cr)'!$C:$FB,100)</f>
        <v>#REF!</v>
      </c>
      <c r="J14" s="49" t="e">
        <f>VLOOKUP($A14,'Data Vlaue (Cr)'!$C:$FB,102)*100</f>
        <v>#REF!</v>
      </c>
    </row>
    <row r="15" spans="1:10" x14ac:dyDescent="0.25">
      <c r="A15" s="101" t="e">
        <f>'NIFTY GRP'!#REF!</f>
        <v>#REF!</v>
      </c>
      <c r="B15" s="140" t="e">
        <f>VLOOKUP($A15,'Data shares'!$C:$FA,7)</f>
        <v>#REF!</v>
      </c>
      <c r="C15" s="140" t="e">
        <f>VLOOKUP($A15,'Data shares'!$C:$FA,3)</f>
        <v>#REF!</v>
      </c>
      <c r="D15" s="50" t="e">
        <f>VLOOKUP($A15,'Data shares'!$C:$FA,6)*100</f>
        <v>#REF!</v>
      </c>
      <c r="E15" s="51" t="e">
        <f>VLOOKUP($A15,'Data shares'!$C:$FA,98)</f>
        <v>#REF!</v>
      </c>
      <c r="F15" s="51" t="e">
        <f>VLOOKUP($A15,'Data shares'!$C:$FA,99)</f>
        <v>#REF!</v>
      </c>
      <c r="G15" s="50" t="e">
        <f>VLOOKUP($A15,'Data shares'!$C:$FA,101)*100</f>
        <v>#REF!</v>
      </c>
      <c r="H15" s="49" t="e">
        <f>VLOOKUP($A15,'Data Vlaue (Cr)'!$C:$FB,99)</f>
        <v>#REF!</v>
      </c>
      <c r="I15" s="49" t="e">
        <f>VLOOKUP($A15,'Data Vlaue (Cr)'!$C:$FB,100)</f>
        <v>#REF!</v>
      </c>
      <c r="J15" s="49" t="e">
        <f>VLOOKUP($A15,'Data Vlaue (Cr)'!$C:$FB,102)*100</f>
        <v>#REF!</v>
      </c>
    </row>
    <row r="16" spans="1:10" x14ac:dyDescent="0.25">
      <c r="A16" s="101" t="e">
        <f>'NIFTY GRP'!#REF!</f>
        <v>#REF!</v>
      </c>
      <c r="B16" s="140" t="e">
        <f>VLOOKUP($A16,'Data shares'!$C:$FA,7)</f>
        <v>#REF!</v>
      </c>
      <c r="C16" s="140" t="e">
        <f>VLOOKUP($A16,'Data shares'!$C:$FA,3)</f>
        <v>#REF!</v>
      </c>
      <c r="D16" s="50" t="e">
        <f>VLOOKUP($A16,'Data shares'!$C:$FA,6)*100</f>
        <v>#REF!</v>
      </c>
      <c r="E16" s="51" t="e">
        <f>VLOOKUP($A16,'Data shares'!$C:$FA,98)</f>
        <v>#REF!</v>
      </c>
      <c r="F16" s="51" t="e">
        <f>VLOOKUP($A16,'Data shares'!$C:$FA,99)</f>
        <v>#REF!</v>
      </c>
      <c r="G16" s="50" t="e">
        <f>VLOOKUP($A16,'Data shares'!$C:$FA,101)*100</f>
        <v>#REF!</v>
      </c>
      <c r="H16" s="49" t="e">
        <f>VLOOKUP($A16,'Data Vlaue (Cr)'!$C:$FB,99)</f>
        <v>#REF!</v>
      </c>
      <c r="I16" s="49" t="e">
        <f>VLOOKUP($A16,'Data Vlaue (Cr)'!$C:$FB,100)</f>
        <v>#REF!</v>
      </c>
      <c r="J16" s="49" t="e">
        <f>VLOOKUP($A16,'Data Vlaue (Cr)'!$C:$FB,102)*100</f>
        <v>#REF!</v>
      </c>
    </row>
    <row r="17" spans="1:10" x14ac:dyDescent="0.25">
      <c r="A17" s="101" t="e">
        <f>'NIFTY GRP'!#REF!</f>
        <v>#REF!</v>
      </c>
      <c r="B17" s="140" t="e">
        <f>VLOOKUP($A17,'Data shares'!$C:$FA,7)</f>
        <v>#REF!</v>
      </c>
      <c r="C17" s="140" t="e">
        <f>VLOOKUP($A17,'Data shares'!$C:$FA,3)</f>
        <v>#REF!</v>
      </c>
      <c r="D17" s="50" t="e">
        <f>VLOOKUP($A17,'Data shares'!$C:$FA,6)*100</f>
        <v>#REF!</v>
      </c>
      <c r="E17" s="51" t="e">
        <f>VLOOKUP($A17,'Data shares'!$C:$FA,98)</f>
        <v>#REF!</v>
      </c>
      <c r="F17" s="51" t="e">
        <f>VLOOKUP($A17,'Data shares'!$C:$FA,99)</f>
        <v>#REF!</v>
      </c>
      <c r="G17" s="50" t="e">
        <f>VLOOKUP($A17,'Data shares'!$C:$FA,101)*100</f>
        <v>#REF!</v>
      </c>
      <c r="H17" s="49" t="e">
        <f>VLOOKUP($A17,'Data Vlaue (Cr)'!$C:$FB,99)</f>
        <v>#REF!</v>
      </c>
      <c r="I17" s="49" t="e">
        <f>VLOOKUP($A17,'Data Vlaue (Cr)'!$C:$FB,100)</f>
        <v>#REF!</v>
      </c>
      <c r="J17" s="49" t="e">
        <f>VLOOKUP($A17,'Data Vlaue (Cr)'!$C:$FB,102)*100</f>
        <v>#REF!</v>
      </c>
    </row>
    <row r="18" spans="1:10" x14ac:dyDescent="0.25">
      <c r="A18" s="101" t="e">
        <f>'NIFTY GRP'!#REF!</f>
        <v>#REF!</v>
      </c>
      <c r="B18" s="140" t="e">
        <f>VLOOKUP($A18,'Data shares'!$C:$FA,7)</f>
        <v>#REF!</v>
      </c>
      <c r="C18" s="140" t="e">
        <f>VLOOKUP($A18,'Data shares'!$C:$FA,3)</f>
        <v>#REF!</v>
      </c>
      <c r="D18" s="50" t="e">
        <f>VLOOKUP($A18,'Data shares'!$C:$FA,6)*100</f>
        <v>#REF!</v>
      </c>
      <c r="E18" s="51" t="e">
        <f>VLOOKUP($A18,'Data shares'!$C:$FA,98)</f>
        <v>#REF!</v>
      </c>
      <c r="F18" s="51" t="e">
        <f>VLOOKUP($A18,'Data shares'!$C:$FA,99)</f>
        <v>#REF!</v>
      </c>
      <c r="G18" s="50" t="e">
        <f>VLOOKUP($A18,'Data shares'!$C:$FA,101)*100</f>
        <v>#REF!</v>
      </c>
      <c r="H18" s="49" t="e">
        <f>VLOOKUP($A18,'Data Vlaue (Cr)'!$C:$FB,99)</f>
        <v>#REF!</v>
      </c>
      <c r="I18" s="49" t="e">
        <f>VLOOKUP($A18,'Data Vlaue (Cr)'!$C:$FB,100)</f>
        <v>#REF!</v>
      </c>
      <c r="J18" s="49" t="e">
        <f>VLOOKUP($A18,'Data Vlaue (Cr)'!$C:$FB,102)*100</f>
        <v>#REF!</v>
      </c>
    </row>
    <row r="19" spans="1:10" x14ac:dyDescent="0.25">
      <c r="A19" s="101" t="e">
        <f>'NIFTY GRP'!#REF!</f>
        <v>#REF!</v>
      </c>
      <c r="B19" s="140" t="e">
        <f>VLOOKUP($A19,'Data shares'!$C:$FA,7)</f>
        <v>#REF!</v>
      </c>
      <c r="C19" s="140" t="e">
        <f>VLOOKUP($A19,'Data shares'!$C:$FA,3)</f>
        <v>#REF!</v>
      </c>
      <c r="D19" s="50" t="e">
        <f>VLOOKUP($A19,'Data shares'!$C:$FA,6)*100</f>
        <v>#REF!</v>
      </c>
      <c r="E19" s="51" t="e">
        <f>VLOOKUP($A19,'Data shares'!$C:$FA,98)</f>
        <v>#REF!</v>
      </c>
      <c r="F19" s="51" t="e">
        <f>VLOOKUP($A19,'Data shares'!$C:$FA,99)</f>
        <v>#REF!</v>
      </c>
      <c r="G19" s="50" t="e">
        <f>VLOOKUP($A19,'Data shares'!$C:$FA,101)*100</f>
        <v>#REF!</v>
      </c>
      <c r="H19" s="49" t="e">
        <f>VLOOKUP($A19,'Data Vlaue (Cr)'!$C:$FB,99)</f>
        <v>#REF!</v>
      </c>
      <c r="I19" s="49" t="e">
        <f>VLOOKUP($A19,'Data Vlaue (Cr)'!$C:$FB,100)</f>
        <v>#REF!</v>
      </c>
      <c r="J19" s="49" t="e">
        <f>VLOOKUP($A19,'Data Vlaue (Cr)'!$C:$FB,102)*100</f>
        <v>#REF!</v>
      </c>
    </row>
    <row r="20" spans="1:10" x14ac:dyDescent="0.25">
      <c r="A20" s="101" t="e">
        <f>'NIFTY GRP'!#REF!</f>
        <v>#REF!</v>
      </c>
      <c r="B20" s="140" t="e">
        <f>VLOOKUP($A20,'Data shares'!$C:$FA,7)</f>
        <v>#REF!</v>
      </c>
      <c r="C20" s="140" t="e">
        <f>VLOOKUP($A20,'Data shares'!$C:$FA,3)</f>
        <v>#REF!</v>
      </c>
      <c r="D20" s="50" t="e">
        <f>VLOOKUP($A20,'Data shares'!$C:$FA,6)*100</f>
        <v>#REF!</v>
      </c>
      <c r="E20" s="51" t="e">
        <f>VLOOKUP($A20,'Data shares'!$C:$FA,98)</f>
        <v>#REF!</v>
      </c>
      <c r="F20" s="51" t="e">
        <f>VLOOKUP($A20,'Data shares'!$C:$FA,99)</f>
        <v>#REF!</v>
      </c>
      <c r="G20" s="50" t="e">
        <f>VLOOKUP($A20,'Data shares'!$C:$FA,101)*100</f>
        <v>#REF!</v>
      </c>
      <c r="H20" s="49" t="e">
        <f>VLOOKUP($A20,'Data Vlaue (Cr)'!$C:$FB,99)</f>
        <v>#REF!</v>
      </c>
      <c r="I20" s="49" t="e">
        <f>VLOOKUP($A20,'Data Vlaue (Cr)'!$C:$FB,100)</f>
        <v>#REF!</v>
      </c>
      <c r="J20" s="49" t="e">
        <f>VLOOKUP($A20,'Data Vlaue (Cr)'!$C:$FB,102)*100</f>
        <v>#REF!</v>
      </c>
    </row>
    <row r="21" spans="1:10" x14ac:dyDescent="0.25">
      <c r="A21" s="101" t="e">
        <f>'NIFTY GRP'!#REF!</f>
        <v>#REF!</v>
      </c>
      <c r="B21" s="140" t="e">
        <f>VLOOKUP($A21,'Data shares'!$C:$FA,7)</f>
        <v>#REF!</v>
      </c>
      <c r="C21" s="140" t="e">
        <f>VLOOKUP($A21,'Data shares'!$C:$FA,3)</f>
        <v>#REF!</v>
      </c>
      <c r="D21" s="50" t="e">
        <f>VLOOKUP($A21,'Data shares'!$C:$FA,6)*100</f>
        <v>#REF!</v>
      </c>
      <c r="E21" s="51" t="e">
        <f>VLOOKUP($A21,'Data shares'!$C:$FA,98)</f>
        <v>#REF!</v>
      </c>
      <c r="F21" s="51" t="e">
        <f>VLOOKUP($A21,'Data shares'!$C:$FA,99)</f>
        <v>#REF!</v>
      </c>
      <c r="G21" s="50" t="e">
        <f>VLOOKUP($A21,'Data shares'!$C:$FA,101)*100</f>
        <v>#REF!</v>
      </c>
      <c r="H21" s="49" t="e">
        <f>VLOOKUP($A21,'Data Vlaue (Cr)'!$C:$FB,99)</f>
        <v>#REF!</v>
      </c>
      <c r="I21" s="49" t="e">
        <f>VLOOKUP($A21,'Data Vlaue (Cr)'!$C:$FB,100)</f>
        <v>#REF!</v>
      </c>
      <c r="J21" s="49" t="e">
        <f>VLOOKUP($A21,'Data Vlaue (Cr)'!$C:$FB,102)*100</f>
        <v>#REF!</v>
      </c>
    </row>
    <row r="22" spans="1:10" x14ac:dyDescent="0.25">
      <c r="A22" s="101" t="e">
        <f>'NIFTY GRP'!#REF!</f>
        <v>#REF!</v>
      </c>
      <c r="B22" s="140" t="e">
        <f>VLOOKUP($A22,'Data shares'!$C:$FA,7)</f>
        <v>#REF!</v>
      </c>
      <c r="C22" s="140" t="e">
        <f>VLOOKUP($A22,'Data shares'!$C:$FA,3)</f>
        <v>#REF!</v>
      </c>
      <c r="D22" s="50" t="e">
        <f>VLOOKUP($A22,'Data shares'!$C:$FA,6)*100</f>
        <v>#REF!</v>
      </c>
      <c r="E22" s="51" t="e">
        <f>VLOOKUP($A22,'Data shares'!$C:$FA,98)</f>
        <v>#REF!</v>
      </c>
      <c r="F22" s="51" t="e">
        <f>VLOOKUP($A22,'Data shares'!$C:$FA,99)</f>
        <v>#REF!</v>
      </c>
      <c r="G22" s="50" t="e">
        <f>VLOOKUP($A22,'Data shares'!$C:$FA,101)*100</f>
        <v>#REF!</v>
      </c>
      <c r="H22" s="49" t="e">
        <f>VLOOKUP($A22,'Data Vlaue (Cr)'!$C:$FB,99)</f>
        <v>#REF!</v>
      </c>
      <c r="I22" s="49" t="e">
        <f>VLOOKUP($A22,'Data Vlaue (Cr)'!$C:$FB,100)</f>
        <v>#REF!</v>
      </c>
      <c r="J22" s="49" t="e">
        <f>VLOOKUP($A22,'Data Vlaue (Cr)'!$C:$FB,102)*100</f>
        <v>#REF!</v>
      </c>
    </row>
    <row r="23" spans="1:10" x14ac:dyDescent="0.25">
      <c r="A23" s="101" t="e">
        <f>'NIFTY GRP'!#REF!</f>
        <v>#REF!</v>
      </c>
      <c r="B23" s="140" t="e">
        <f>VLOOKUP($A23,'Data shares'!$C:$FA,7)</f>
        <v>#REF!</v>
      </c>
      <c r="C23" s="140" t="e">
        <f>VLOOKUP($A23,'Data shares'!$C:$FA,3)</f>
        <v>#REF!</v>
      </c>
      <c r="D23" s="50" t="e">
        <f>VLOOKUP($A23,'Data shares'!$C:$FA,6)*100</f>
        <v>#REF!</v>
      </c>
      <c r="E23" s="51" t="e">
        <f>VLOOKUP($A23,'Data shares'!$C:$FA,98)</f>
        <v>#REF!</v>
      </c>
      <c r="F23" s="51" t="e">
        <f>VLOOKUP($A23,'Data shares'!$C:$FA,99)</f>
        <v>#REF!</v>
      </c>
      <c r="G23" s="50" t="e">
        <f>VLOOKUP($A23,'Data shares'!$C:$FA,101)*100</f>
        <v>#REF!</v>
      </c>
      <c r="H23" s="49" t="e">
        <f>VLOOKUP($A23,'Data Vlaue (Cr)'!$C:$FB,99)</f>
        <v>#REF!</v>
      </c>
      <c r="I23" s="49" t="e">
        <f>VLOOKUP($A23,'Data Vlaue (Cr)'!$C:$FB,100)</f>
        <v>#REF!</v>
      </c>
      <c r="J23" s="49" t="e">
        <f>VLOOKUP($A23,'Data Vlaue (Cr)'!$C:$FB,102)*100</f>
        <v>#REF!</v>
      </c>
    </row>
    <row r="24" spans="1:10" x14ac:dyDescent="0.25">
      <c r="A24" s="101" t="e">
        <f>'NIFTY GRP'!#REF!</f>
        <v>#REF!</v>
      </c>
      <c r="B24" s="140" t="e">
        <f>VLOOKUP($A24,'Data shares'!$C:$FA,7)</f>
        <v>#REF!</v>
      </c>
      <c r="C24" s="140" t="e">
        <f>VLOOKUP($A24,'Data shares'!$C:$FA,3)</f>
        <v>#REF!</v>
      </c>
      <c r="D24" s="50" t="e">
        <f>VLOOKUP($A24,'Data shares'!$C:$FA,6)*100</f>
        <v>#REF!</v>
      </c>
      <c r="E24" s="51" t="e">
        <f>VLOOKUP($A24,'Data shares'!$C:$FA,98)</f>
        <v>#REF!</v>
      </c>
      <c r="F24" s="51" t="e">
        <f>VLOOKUP($A24,'Data shares'!$C:$FA,99)</f>
        <v>#REF!</v>
      </c>
      <c r="G24" s="50" t="e">
        <f>VLOOKUP($A24,'Data shares'!$C:$FA,101)*100</f>
        <v>#REF!</v>
      </c>
      <c r="H24" s="49" t="e">
        <f>VLOOKUP($A24,'Data Vlaue (Cr)'!$C:$FB,99)</f>
        <v>#REF!</v>
      </c>
      <c r="I24" s="49" t="e">
        <f>VLOOKUP($A24,'Data Vlaue (Cr)'!$C:$FB,100)</f>
        <v>#REF!</v>
      </c>
      <c r="J24" s="49" t="e">
        <f>VLOOKUP($A24,'Data Vlaue (Cr)'!$C:$FB,102)*100</f>
        <v>#REF!</v>
      </c>
    </row>
    <row r="25" spans="1:10" x14ac:dyDescent="0.25">
      <c r="A25" s="101" t="e">
        <f>'NIFTY GRP'!#REF!</f>
        <v>#REF!</v>
      </c>
      <c r="B25" s="140" t="e">
        <f>VLOOKUP($A25,'Data shares'!$C:$FA,7)</f>
        <v>#REF!</v>
      </c>
      <c r="C25" s="140" t="e">
        <f>VLOOKUP($A25,'Data shares'!$C:$FA,3)</f>
        <v>#REF!</v>
      </c>
      <c r="D25" s="50" t="e">
        <f>VLOOKUP($A25,'Data shares'!$C:$FA,6)*100</f>
        <v>#REF!</v>
      </c>
      <c r="E25" s="51" t="e">
        <f>VLOOKUP($A25,'Data shares'!$C:$FA,98)</f>
        <v>#REF!</v>
      </c>
      <c r="F25" s="51" t="e">
        <f>VLOOKUP($A25,'Data shares'!$C:$FA,99)</f>
        <v>#REF!</v>
      </c>
      <c r="G25" s="50" t="e">
        <f>VLOOKUP($A25,'Data shares'!$C:$FA,101)*100</f>
        <v>#REF!</v>
      </c>
      <c r="H25" s="49" t="e">
        <f>VLOOKUP($A25,'Data Vlaue (Cr)'!$C:$FB,99)</f>
        <v>#REF!</v>
      </c>
      <c r="I25" s="49" t="e">
        <f>VLOOKUP($A25,'Data Vlaue (Cr)'!$C:$FB,100)</f>
        <v>#REF!</v>
      </c>
      <c r="J25" s="49" t="e">
        <f>VLOOKUP($A25,'Data Vlaue (Cr)'!$C:$FB,102)*100</f>
        <v>#REF!</v>
      </c>
    </row>
    <row r="26" spans="1:10" x14ac:dyDescent="0.25">
      <c r="A26" s="101" t="e">
        <f>'NIFTY GRP'!#REF!</f>
        <v>#REF!</v>
      </c>
      <c r="B26" s="140" t="e">
        <f>VLOOKUP($A26,'Data shares'!$C:$FA,7)</f>
        <v>#REF!</v>
      </c>
      <c r="C26" s="140" t="e">
        <f>VLOOKUP($A26,'Data shares'!$C:$FA,3)</f>
        <v>#REF!</v>
      </c>
      <c r="D26" s="50" t="e">
        <f>VLOOKUP($A26,'Data shares'!$C:$FA,6)*100</f>
        <v>#REF!</v>
      </c>
      <c r="E26" s="51" t="e">
        <f>VLOOKUP($A26,'Data shares'!$C:$FA,98)</f>
        <v>#REF!</v>
      </c>
      <c r="F26" s="51" t="e">
        <f>VLOOKUP($A26,'Data shares'!$C:$FA,99)</f>
        <v>#REF!</v>
      </c>
      <c r="G26" s="50" t="e">
        <f>VLOOKUP($A26,'Data shares'!$C:$FA,101)*100</f>
        <v>#REF!</v>
      </c>
      <c r="H26" s="49" t="e">
        <f>VLOOKUP($A26,'Data Vlaue (Cr)'!$C:$FB,99)</f>
        <v>#REF!</v>
      </c>
      <c r="I26" s="49" t="e">
        <f>VLOOKUP($A26,'Data Vlaue (Cr)'!$C:$FB,100)</f>
        <v>#REF!</v>
      </c>
      <c r="J26" s="49" t="e">
        <f>VLOOKUP($A26,'Data Vlaue (Cr)'!$C:$FB,102)*100</f>
        <v>#REF!</v>
      </c>
    </row>
    <row r="27" spans="1:10" x14ac:dyDescent="0.25">
      <c r="A27" s="101" t="e">
        <f>'NIFTY GRP'!#REF!</f>
        <v>#REF!</v>
      </c>
      <c r="B27" s="140" t="e">
        <f>VLOOKUP($A27,'Data shares'!$C:$FA,7)</f>
        <v>#REF!</v>
      </c>
      <c r="C27" s="140" t="e">
        <f>VLOOKUP($A27,'Data shares'!$C:$FA,3)</f>
        <v>#REF!</v>
      </c>
      <c r="D27" s="50" t="e">
        <f>VLOOKUP($A27,'Data shares'!$C:$FA,6)*100</f>
        <v>#REF!</v>
      </c>
      <c r="E27" s="51" t="e">
        <f>VLOOKUP($A27,'Data shares'!$C:$FA,98)</f>
        <v>#REF!</v>
      </c>
      <c r="F27" s="51" t="e">
        <f>VLOOKUP($A27,'Data shares'!$C:$FA,99)</f>
        <v>#REF!</v>
      </c>
      <c r="G27" s="50" t="e">
        <f>VLOOKUP($A27,'Data shares'!$C:$FA,101)*100</f>
        <v>#REF!</v>
      </c>
      <c r="H27" s="49" t="e">
        <f>VLOOKUP($A27,'Data Vlaue (Cr)'!$C:$FB,99)</f>
        <v>#REF!</v>
      </c>
      <c r="I27" s="49" t="e">
        <f>VLOOKUP($A27,'Data Vlaue (Cr)'!$C:$FB,100)</f>
        <v>#REF!</v>
      </c>
      <c r="J27" s="49" t="e">
        <f>VLOOKUP($A27,'Data Vlaue (Cr)'!$C:$FB,102)*100</f>
        <v>#REF!</v>
      </c>
    </row>
    <row r="28" spans="1:10" x14ac:dyDescent="0.25">
      <c r="A28" s="101" t="e">
        <f>'NIFTY GRP'!#REF!</f>
        <v>#REF!</v>
      </c>
      <c r="B28" s="140" t="e">
        <f>VLOOKUP($A28,'Data shares'!$C:$FA,7)</f>
        <v>#REF!</v>
      </c>
      <c r="C28" s="140" t="e">
        <f>VLOOKUP($A28,'Data shares'!$C:$FA,3)</f>
        <v>#REF!</v>
      </c>
      <c r="D28" s="50" t="e">
        <f>VLOOKUP($A28,'Data shares'!$C:$FA,6)*100</f>
        <v>#REF!</v>
      </c>
      <c r="E28" s="51" t="e">
        <f>VLOOKUP($A28,'Data shares'!$C:$FA,98)</f>
        <v>#REF!</v>
      </c>
      <c r="F28" s="51" t="e">
        <f>VLOOKUP($A28,'Data shares'!$C:$FA,99)</f>
        <v>#REF!</v>
      </c>
      <c r="G28" s="50" t="e">
        <f>VLOOKUP($A28,'Data shares'!$C:$FA,101)*100</f>
        <v>#REF!</v>
      </c>
      <c r="H28" s="49" t="e">
        <f>VLOOKUP($A28,'Data Vlaue (Cr)'!$C:$FB,99)</f>
        <v>#REF!</v>
      </c>
      <c r="I28" s="49" t="e">
        <f>VLOOKUP($A28,'Data Vlaue (Cr)'!$C:$FB,100)</f>
        <v>#REF!</v>
      </c>
      <c r="J28" s="49" t="e">
        <f>VLOOKUP($A28,'Data Vlaue (Cr)'!$C:$FB,102)*100</f>
        <v>#REF!</v>
      </c>
    </row>
    <row r="29" spans="1:10" x14ac:dyDescent="0.25">
      <c r="A29" s="101" t="e">
        <f>'NIFTY GRP'!#REF!</f>
        <v>#REF!</v>
      </c>
      <c r="B29" s="140" t="e">
        <f>VLOOKUP($A29,'Data shares'!$C:$FA,7)</f>
        <v>#REF!</v>
      </c>
      <c r="C29" s="140" t="e">
        <f>VLOOKUP($A29,'Data shares'!$C:$FA,3)</f>
        <v>#REF!</v>
      </c>
      <c r="D29" s="50" t="e">
        <f>VLOOKUP($A29,'Data shares'!$C:$FA,6)*100</f>
        <v>#REF!</v>
      </c>
      <c r="E29" s="51" t="e">
        <f>VLOOKUP($A29,'Data shares'!$C:$FA,98)</f>
        <v>#REF!</v>
      </c>
      <c r="F29" s="51" t="e">
        <f>VLOOKUP($A29,'Data shares'!$C:$FA,99)</f>
        <v>#REF!</v>
      </c>
      <c r="G29" s="50" t="e">
        <f>VLOOKUP($A29,'Data shares'!$C:$FA,101)*100</f>
        <v>#REF!</v>
      </c>
      <c r="H29" s="49" t="e">
        <f>VLOOKUP($A29,'Data Vlaue (Cr)'!$C:$FB,99)</f>
        <v>#REF!</v>
      </c>
      <c r="I29" s="49" t="e">
        <f>VLOOKUP($A29,'Data Vlaue (Cr)'!$C:$FB,100)</f>
        <v>#REF!</v>
      </c>
      <c r="J29" s="49" t="e">
        <f>VLOOKUP($A29,'Data Vlaue (Cr)'!$C:$FB,102)*100</f>
        <v>#REF!</v>
      </c>
    </row>
    <row r="30" spans="1:10" x14ac:dyDescent="0.25">
      <c r="A30" s="101" t="e">
        <f>'NIFTY GRP'!#REF!</f>
        <v>#REF!</v>
      </c>
      <c r="B30" s="140" t="e">
        <f>VLOOKUP($A30,'Data shares'!$C:$FA,7)</f>
        <v>#REF!</v>
      </c>
      <c r="C30" s="140" t="e">
        <f>VLOOKUP($A30,'Data shares'!$C:$FA,3)</f>
        <v>#REF!</v>
      </c>
      <c r="D30" s="50" t="e">
        <f>VLOOKUP($A30,'Data shares'!$C:$FA,6)*100</f>
        <v>#REF!</v>
      </c>
      <c r="E30" s="51" t="e">
        <f>VLOOKUP($A30,'Data shares'!$C:$FA,98)</f>
        <v>#REF!</v>
      </c>
      <c r="F30" s="51" t="e">
        <f>VLOOKUP($A30,'Data shares'!$C:$FA,99)</f>
        <v>#REF!</v>
      </c>
      <c r="G30" s="50" t="e">
        <f>VLOOKUP($A30,'Data shares'!$C:$FA,101)*100</f>
        <v>#REF!</v>
      </c>
      <c r="H30" s="49" t="e">
        <f>VLOOKUP($A30,'Data Vlaue (Cr)'!$C:$FB,99)</f>
        <v>#REF!</v>
      </c>
      <c r="I30" s="49" t="e">
        <f>VLOOKUP($A30,'Data Vlaue (Cr)'!$C:$FB,100)</f>
        <v>#REF!</v>
      </c>
      <c r="J30" s="49" t="e">
        <f>VLOOKUP($A30,'Data Vlaue (Cr)'!$C:$FB,102)*100</f>
        <v>#REF!</v>
      </c>
    </row>
    <row r="31" spans="1:10" x14ac:dyDescent="0.25">
      <c r="A31" s="101" t="e">
        <f>'NIFTY GRP'!#REF!</f>
        <v>#REF!</v>
      </c>
      <c r="B31" s="140" t="e">
        <f>VLOOKUP($A31,'Data shares'!$C:$FA,7)</f>
        <v>#REF!</v>
      </c>
      <c r="C31" s="140" t="e">
        <f>VLOOKUP($A31,'Data shares'!$C:$FA,3)</f>
        <v>#REF!</v>
      </c>
      <c r="D31" s="50" t="e">
        <f>VLOOKUP($A31,'Data shares'!$C:$FA,6)*100</f>
        <v>#REF!</v>
      </c>
      <c r="E31" s="51" t="e">
        <f>VLOOKUP($A31,'Data shares'!$C:$FA,98)</f>
        <v>#REF!</v>
      </c>
      <c r="F31" s="51" t="e">
        <f>VLOOKUP($A31,'Data shares'!$C:$FA,99)</f>
        <v>#REF!</v>
      </c>
      <c r="G31" s="50" t="e">
        <f>VLOOKUP($A31,'Data shares'!$C:$FA,101)*100</f>
        <v>#REF!</v>
      </c>
      <c r="H31" s="49" t="e">
        <f>VLOOKUP($A31,'Data Vlaue (Cr)'!$C:$FB,99)</f>
        <v>#REF!</v>
      </c>
      <c r="I31" s="49" t="e">
        <f>VLOOKUP($A31,'Data Vlaue (Cr)'!$C:$FB,100)</f>
        <v>#REF!</v>
      </c>
      <c r="J31" s="49" t="e">
        <f>VLOOKUP($A31,'Data Vlaue (Cr)'!$C:$FB,102)*100</f>
        <v>#REF!</v>
      </c>
    </row>
    <row r="32" spans="1:10" x14ac:dyDescent="0.25">
      <c r="A32" s="101" t="e">
        <f>'NIFTY GRP'!#REF!</f>
        <v>#REF!</v>
      </c>
      <c r="B32" s="140" t="e">
        <f>VLOOKUP($A32,'Data shares'!$C:$FA,7)</f>
        <v>#REF!</v>
      </c>
      <c r="C32" s="140" t="e">
        <f>VLOOKUP($A32,'Data shares'!$C:$FA,3)</f>
        <v>#REF!</v>
      </c>
      <c r="D32" s="50" t="e">
        <f>VLOOKUP($A32,'Data shares'!$C:$FA,6)*100</f>
        <v>#REF!</v>
      </c>
      <c r="E32" s="51" t="e">
        <f>VLOOKUP($A32,'Data shares'!$C:$FA,98)</f>
        <v>#REF!</v>
      </c>
      <c r="F32" s="51" t="e">
        <f>VLOOKUP($A32,'Data shares'!$C:$FA,99)</f>
        <v>#REF!</v>
      </c>
      <c r="G32" s="50" t="e">
        <f>VLOOKUP($A32,'Data shares'!$C:$FA,101)*100</f>
        <v>#REF!</v>
      </c>
      <c r="H32" s="49" t="e">
        <f>VLOOKUP($A32,'Data Vlaue (Cr)'!$C:$FB,99)</f>
        <v>#REF!</v>
      </c>
      <c r="I32" s="49" t="e">
        <f>VLOOKUP($A32,'Data Vlaue (Cr)'!$C:$FB,100)</f>
        <v>#REF!</v>
      </c>
      <c r="J32" s="49" t="e">
        <f>VLOOKUP($A32,'Data Vlaue (Cr)'!$C:$FB,102)*100</f>
        <v>#REF!</v>
      </c>
    </row>
    <row r="33" spans="1:10" x14ac:dyDescent="0.25">
      <c r="A33" s="101" t="e">
        <f>'NIFTY GRP'!#REF!</f>
        <v>#REF!</v>
      </c>
      <c r="B33" s="140" t="e">
        <f>VLOOKUP($A33,'Data shares'!$C:$FA,7)</f>
        <v>#REF!</v>
      </c>
      <c r="C33" s="140" t="e">
        <f>VLOOKUP($A33,'Data shares'!$C:$FA,3)</f>
        <v>#REF!</v>
      </c>
      <c r="D33" s="50" t="e">
        <f>VLOOKUP($A33,'Data shares'!$C:$FA,6)*100</f>
        <v>#REF!</v>
      </c>
      <c r="E33" s="51" t="e">
        <f>VLOOKUP($A33,'Data shares'!$C:$FA,98)</f>
        <v>#REF!</v>
      </c>
      <c r="F33" s="51" t="e">
        <f>VLOOKUP($A33,'Data shares'!$C:$FA,99)</f>
        <v>#REF!</v>
      </c>
      <c r="G33" s="50" t="e">
        <f>VLOOKUP($A33,'Data shares'!$C:$FA,101)*100</f>
        <v>#REF!</v>
      </c>
      <c r="H33" s="49" t="e">
        <f>VLOOKUP($A33,'Data Vlaue (Cr)'!$C:$FB,99)</f>
        <v>#REF!</v>
      </c>
      <c r="I33" s="49" t="e">
        <f>VLOOKUP($A33,'Data Vlaue (Cr)'!$C:$FB,100)</f>
        <v>#REF!</v>
      </c>
      <c r="J33" s="49" t="e">
        <f>VLOOKUP($A33,'Data Vlaue (Cr)'!$C:$FB,102)*100</f>
        <v>#REF!</v>
      </c>
    </row>
    <row r="34" spans="1:10" x14ac:dyDescent="0.25">
      <c r="A34" s="101" t="e">
        <f>'NIFTY GRP'!#REF!</f>
        <v>#REF!</v>
      </c>
      <c r="B34" s="140" t="e">
        <f>VLOOKUP($A34,'Data shares'!$C:$FA,7)</f>
        <v>#REF!</v>
      </c>
      <c r="C34" s="140" t="e">
        <f>VLOOKUP($A34,'Data shares'!$C:$FA,3)</f>
        <v>#REF!</v>
      </c>
      <c r="D34" s="50" t="e">
        <f>VLOOKUP($A34,'Data shares'!$C:$FA,6)*100</f>
        <v>#REF!</v>
      </c>
      <c r="E34" s="51" t="e">
        <f>VLOOKUP($A34,'Data shares'!$C:$FA,98)</f>
        <v>#REF!</v>
      </c>
      <c r="F34" s="51" t="e">
        <f>VLOOKUP($A34,'Data shares'!$C:$FA,99)</f>
        <v>#REF!</v>
      </c>
      <c r="G34" s="50" t="e">
        <f>VLOOKUP($A34,'Data shares'!$C:$FA,101)*100</f>
        <v>#REF!</v>
      </c>
      <c r="H34" s="49" t="e">
        <f>VLOOKUP($A34,'Data Vlaue (Cr)'!$C:$FB,99)</f>
        <v>#REF!</v>
      </c>
      <c r="I34" s="49" t="e">
        <f>VLOOKUP($A34,'Data Vlaue (Cr)'!$C:$FB,100)</f>
        <v>#REF!</v>
      </c>
      <c r="J34" s="49" t="e">
        <f>VLOOKUP($A34,'Data Vlaue (Cr)'!$C:$FB,102)*100</f>
        <v>#REF!</v>
      </c>
    </row>
    <row r="35" spans="1:10" x14ac:dyDescent="0.25">
      <c r="A35" s="101" t="e">
        <f>'NIFTY GRP'!#REF!</f>
        <v>#REF!</v>
      </c>
      <c r="B35" s="140" t="e">
        <f>VLOOKUP($A35,'Data shares'!$C:$FA,7)</f>
        <v>#REF!</v>
      </c>
      <c r="C35" s="140" t="e">
        <f>VLOOKUP($A35,'Data shares'!$C:$FA,3)</f>
        <v>#REF!</v>
      </c>
      <c r="D35" s="50" t="e">
        <f>VLOOKUP($A35,'Data shares'!$C:$FA,6)*100</f>
        <v>#REF!</v>
      </c>
      <c r="E35" s="51" t="e">
        <f>VLOOKUP($A35,'Data shares'!$C:$FA,98)</f>
        <v>#REF!</v>
      </c>
      <c r="F35" s="51" t="e">
        <f>VLOOKUP($A35,'Data shares'!$C:$FA,99)</f>
        <v>#REF!</v>
      </c>
      <c r="G35" s="50" t="e">
        <f>VLOOKUP($A35,'Data shares'!$C:$FA,101)*100</f>
        <v>#REF!</v>
      </c>
      <c r="H35" s="49" t="e">
        <f>VLOOKUP($A35,'Data Vlaue (Cr)'!$C:$FB,99)</f>
        <v>#REF!</v>
      </c>
      <c r="I35" s="49" t="e">
        <f>VLOOKUP($A35,'Data Vlaue (Cr)'!$C:$FB,100)</f>
        <v>#REF!</v>
      </c>
      <c r="J35" s="49" t="e">
        <f>VLOOKUP($A35,'Data Vlaue (Cr)'!$C:$FB,102)*100</f>
        <v>#REF!</v>
      </c>
    </row>
    <row r="36" spans="1:10" x14ac:dyDescent="0.25">
      <c r="A36" s="101" t="e">
        <f>'NIFTY GRP'!#REF!</f>
        <v>#REF!</v>
      </c>
      <c r="B36" s="140" t="e">
        <f>VLOOKUP($A36,'Data shares'!$C:$FA,7)</f>
        <v>#REF!</v>
      </c>
      <c r="C36" s="140" t="e">
        <f>VLOOKUP($A36,'Data shares'!$C:$FA,3)</f>
        <v>#REF!</v>
      </c>
      <c r="D36" s="50" t="e">
        <f>VLOOKUP($A36,'Data shares'!$C:$FA,6)*100</f>
        <v>#REF!</v>
      </c>
      <c r="E36" s="51" t="e">
        <f>VLOOKUP($A36,'Data shares'!$C:$FA,98)</f>
        <v>#REF!</v>
      </c>
      <c r="F36" s="51" t="e">
        <f>VLOOKUP($A36,'Data shares'!$C:$FA,99)</f>
        <v>#REF!</v>
      </c>
      <c r="G36" s="50" t="e">
        <f>VLOOKUP($A36,'Data shares'!$C:$FA,101)*100</f>
        <v>#REF!</v>
      </c>
      <c r="H36" s="49" t="e">
        <f>VLOOKUP($A36,'Data Vlaue (Cr)'!$C:$FB,99)</f>
        <v>#REF!</v>
      </c>
      <c r="I36" s="49" t="e">
        <f>VLOOKUP($A36,'Data Vlaue (Cr)'!$C:$FB,100)</f>
        <v>#REF!</v>
      </c>
      <c r="J36" s="49" t="e">
        <f>VLOOKUP($A36,'Data Vlaue (Cr)'!$C:$FB,102)*100</f>
        <v>#REF!</v>
      </c>
    </row>
    <row r="37" spans="1:10" x14ac:dyDescent="0.25">
      <c r="A37" s="101" t="e">
        <f>'NIFTY GRP'!#REF!</f>
        <v>#REF!</v>
      </c>
      <c r="B37" s="140" t="e">
        <f>VLOOKUP($A37,'Data shares'!$C:$FA,7)</f>
        <v>#REF!</v>
      </c>
      <c r="C37" s="140" t="e">
        <f>VLOOKUP($A37,'Data shares'!$C:$FA,3)</f>
        <v>#REF!</v>
      </c>
      <c r="D37" s="50" t="e">
        <f>VLOOKUP($A37,'Data shares'!$C:$FA,6)*100</f>
        <v>#REF!</v>
      </c>
      <c r="E37" s="51" t="e">
        <f>VLOOKUP($A37,'Data shares'!$C:$FA,98)</f>
        <v>#REF!</v>
      </c>
      <c r="F37" s="51" t="e">
        <f>VLOOKUP($A37,'Data shares'!$C:$FA,99)</f>
        <v>#REF!</v>
      </c>
      <c r="G37" s="50" t="e">
        <f>VLOOKUP($A37,'Data shares'!$C:$FA,101)*100</f>
        <v>#REF!</v>
      </c>
      <c r="H37" s="49" t="e">
        <f>VLOOKUP($A37,'Data Vlaue (Cr)'!$C:$FB,99)</f>
        <v>#REF!</v>
      </c>
      <c r="I37" s="49" t="e">
        <f>VLOOKUP($A37,'Data Vlaue (Cr)'!$C:$FB,100)</f>
        <v>#REF!</v>
      </c>
      <c r="J37" s="49" t="e">
        <f>VLOOKUP($A37,'Data Vlaue (Cr)'!$C:$FB,102)*100</f>
        <v>#REF!</v>
      </c>
    </row>
    <row r="38" spans="1:10" x14ac:dyDescent="0.25">
      <c r="A38" s="101" t="e">
        <f>'NIFTY GRP'!#REF!</f>
        <v>#REF!</v>
      </c>
      <c r="B38" s="140" t="e">
        <f>VLOOKUP($A38,'Data shares'!$C:$FA,7)</f>
        <v>#REF!</v>
      </c>
      <c r="C38" s="140" t="e">
        <f>VLOOKUP($A38,'Data shares'!$C:$FA,3)</f>
        <v>#REF!</v>
      </c>
      <c r="D38" s="50" t="e">
        <f>VLOOKUP($A38,'Data shares'!$C:$FA,6)*100</f>
        <v>#REF!</v>
      </c>
      <c r="E38" s="51" t="e">
        <f>VLOOKUP($A38,'Data shares'!$C:$FA,98)</f>
        <v>#REF!</v>
      </c>
      <c r="F38" s="51" t="e">
        <f>VLOOKUP($A38,'Data shares'!$C:$FA,99)</f>
        <v>#REF!</v>
      </c>
      <c r="G38" s="50" t="e">
        <f>VLOOKUP($A38,'Data shares'!$C:$FA,101)*100</f>
        <v>#REF!</v>
      </c>
      <c r="H38" s="49" t="e">
        <f>VLOOKUP($A38,'Data Vlaue (Cr)'!$C:$FB,99)</f>
        <v>#REF!</v>
      </c>
      <c r="I38" s="49" t="e">
        <f>VLOOKUP($A38,'Data Vlaue (Cr)'!$C:$FB,100)</f>
        <v>#REF!</v>
      </c>
      <c r="J38" s="49" t="e">
        <f>VLOOKUP($A38,'Data Vlaue (Cr)'!$C:$FB,102)*100</f>
        <v>#REF!</v>
      </c>
    </row>
    <row r="39" spans="1:10" x14ac:dyDescent="0.25">
      <c r="A39" s="101" t="e">
        <f>'NIFTY GRP'!#REF!</f>
        <v>#REF!</v>
      </c>
      <c r="B39" s="140" t="e">
        <f>VLOOKUP($A39,'Data shares'!$C:$FA,7)</f>
        <v>#REF!</v>
      </c>
      <c r="C39" s="140" t="e">
        <f>VLOOKUP($A39,'Data shares'!$C:$FA,3)</f>
        <v>#REF!</v>
      </c>
      <c r="D39" s="50" t="e">
        <f>VLOOKUP($A39,'Data shares'!$C:$FA,6)*100</f>
        <v>#REF!</v>
      </c>
      <c r="E39" s="51" t="e">
        <f>VLOOKUP($A39,'Data shares'!$C:$FA,98)</f>
        <v>#REF!</v>
      </c>
      <c r="F39" s="51" t="e">
        <f>VLOOKUP($A39,'Data shares'!$C:$FA,99)</f>
        <v>#REF!</v>
      </c>
      <c r="G39" s="50" t="e">
        <f>VLOOKUP($A39,'Data shares'!$C:$FA,101)*100</f>
        <v>#REF!</v>
      </c>
      <c r="H39" s="49" t="e">
        <f>VLOOKUP($A39,'Data Vlaue (Cr)'!$C:$FB,99)</f>
        <v>#REF!</v>
      </c>
      <c r="I39" s="49" t="e">
        <f>VLOOKUP($A39,'Data Vlaue (Cr)'!$C:$FB,100)</f>
        <v>#REF!</v>
      </c>
      <c r="J39" s="49" t="e">
        <f>VLOOKUP($A39,'Data Vlaue (Cr)'!$C:$FB,102)*100</f>
        <v>#REF!</v>
      </c>
    </row>
    <row r="40" spans="1:10" x14ac:dyDescent="0.25">
      <c r="A40" s="101" t="e">
        <f>'NIFTY GRP'!#REF!</f>
        <v>#REF!</v>
      </c>
      <c r="B40" s="140" t="e">
        <f>VLOOKUP($A40,'Data shares'!$C:$FA,7)</f>
        <v>#REF!</v>
      </c>
      <c r="C40" s="140" t="e">
        <f>VLOOKUP($A40,'Data shares'!$C:$FA,3)</f>
        <v>#REF!</v>
      </c>
      <c r="D40" s="50" t="e">
        <f>VLOOKUP($A40,'Data shares'!$C:$FA,6)*100</f>
        <v>#REF!</v>
      </c>
      <c r="E40" s="51" t="e">
        <f>VLOOKUP($A40,'Data shares'!$C:$FA,98)</f>
        <v>#REF!</v>
      </c>
      <c r="F40" s="51" t="e">
        <f>VLOOKUP($A40,'Data shares'!$C:$FA,99)</f>
        <v>#REF!</v>
      </c>
      <c r="G40" s="50" t="e">
        <f>VLOOKUP($A40,'Data shares'!$C:$FA,101)*100</f>
        <v>#REF!</v>
      </c>
      <c r="H40" s="49" t="e">
        <f>VLOOKUP($A40,'Data Vlaue (Cr)'!$C:$FB,99)</f>
        <v>#REF!</v>
      </c>
      <c r="I40" s="49" t="e">
        <f>VLOOKUP($A40,'Data Vlaue (Cr)'!$C:$FB,100)</f>
        <v>#REF!</v>
      </c>
      <c r="J40" s="49" t="e">
        <f>VLOOKUP($A40,'Data Vlaue (Cr)'!$C:$FB,102)*100</f>
        <v>#REF!</v>
      </c>
    </row>
    <row r="41" spans="1:10" x14ac:dyDescent="0.25">
      <c r="A41" s="101" t="e">
        <f>'NIFTY GRP'!#REF!</f>
        <v>#REF!</v>
      </c>
      <c r="B41" s="140" t="e">
        <f>VLOOKUP($A41,'Data shares'!$C:$FA,7)</f>
        <v>#REF!</v>
      </c>
      <c r="C41" s="140" t="e">
        <f>VLOOKUP($A41,'Data shares'!$C:$FA,3)</f>
        <v>#REF!</v>
      </c>
      <c r="D41" s="50" t="e">
        <f>VLOOKUP($A41,'Data shares'!$C:$FA,6)*100</f>
        <v>#REF!</v>
      </c>
      <c r="E41" s="51" t="e">
        <f>VLOOKUP($A41,'Data shares'!$C:$FA,98)</f>
        <v>#REF!</v>
      </c>
      <c r="F41" s="51" t="e">
        <f>VLOOKUP($A41,'Data shares'!$C:$FA,99)</f>
        <v>#REF!</v>
      </c>
      <c r="G41" s="50" t="e">
        <f>VLOOKUP($A41,'Data shares'!$C:$FA,101)*100</f>
        <v>#REF!</v>
      </c>
      <c r="H41" s="49" t="e">
        <f>VLOOKUP($A41,'Data Vlaue (Cr)'!$C:$FB,99)</f>
        <v>#REF!</v>
      </c>
      <c r="I41" s="49" t="e">
        <f>VLOOKUP($A41,'Data Vlaue (Cr)'!$C:$FB,100)</f>
        <v>#REF!</v>
      </c>
      <c r="J41" s="49" t="e">
        <f>VLOOKUP($A41,'Data Vlaue (Cr)'!$C:$FB,102)*100</f>
        <v>#REF!</v>
      </c>
    </row>
    <row r="42" spans="1:10" x14ac:dyDescent="0.25">
      <c r="A42" s="101" t="e">
        <f>'NIFTY GRP'!#REF!</f>
        <v>#REF!</v>
      </c>
      <c r="B42" s="140" t="e">
        <f>VLOOKUP($A42,'Data shares'!$C:$FA,7)</f>
        <v>#REF!</v>
      </c>
      <c r="C42" s="140" t="e">
        <f>VLOOKUP($A42,'Data shares'!$C:$FA,3)</f>
        <v>#REF!</v>
      </c>
      <c r="D42" s="50" t="e">
        <f>VLOOKUP($A42,'Data shares'!$C:$FA,6)*100</f>
        <v>#REF!</v>
      </c>
      <c r="E42" s="51" t="e">
        <f>VLOOKUP($A42,'Data shares'!$C:$FA,98)</f>
        <v>#REF!</v>
      </c>
      <c r="F42" s="51" t="e">
        <f>VLOOKUP($A42,'Data shares'!$C:$FA,99)</f>
        <v>#REF!</v>
      </c>
      <c r="G42" s="50" t="e">
        <f>VLOOKUP($A42,'Data shares'!$C:$FA,101)*100</f>
        <v>#REF!</v>
      </c>
      <c r="H42" s="49" t="e">
        <f>VLOOKUP($A42,'Data Vlaue (Cr)'!$C:$FB,99)</f>
        <v>#REF!</v>
      </c>
      <c r="I42" s="49" t="e">
        <f>VLOOKUP($A42,'Data Vlaue (Cr)'!$C:$FB,100)</f>
        <v>#REF!</v>
      </c>
      <c r="J42" s="49" t="e">
        <f>VLOOKUP($A42,'Data Vlaue (Cr)'!$C:$FB,102)*100</f>
        <v>#REF!</v>
      </c>
    </row>
    <row r="43" spans="1:10" x14ac:dyDescent="0.25">
      <c r="A43" s="101" t="e">
        <f>'NIFTY GRP'!#REF!</f>
        <v>#REF!</v>
      </c>
      <c r="B43" s="140" t="e">
        <f>VLOOKUP($A43,'Data shares'!$C:$FA,7)</f>
        <v>#REF!</v>
      </c>
      <c r="C43" s="140" t="e">
        <f>VLOOKUP($A43,'Data shares'!$C:$FA,3)</f>
        <v>#REF!</v>
      </c>
      <c r="D43" s="50" t="e">
        <f>VLOOKUP($A43,'Data shares'!$C:$FA,6)*100</f>
        <v>#REF!</v>
      </c>
      <c r="E43" s="51" t="e">
        <f>VLOOKUP($A43,'Data shares'!$C:$FA,98)</f>
        <v>#REF!</v>
      </c>
      <c r="F43" s="51" t="e">
        <f>VLOOKUP($A43,'Data shares'!$C:$FA,99)</f>
        <v>#REF!</v>
      </c>
      <c r="G43" s="50" t="e">
        <f>VLOOKUP($A43,'Data shares'!$C:$FA,101)*100</f>
        <v>#REF!</v>
      </c>
      <c r="H43" s="49" t="e">
        <f>VLOOKUP($A43,'Data Vlaue (Cr)'!$C:$FB,99)</f>
        <v>#REF!</v>
      </c>
      <c r="I43" s="49" t="e">
        <f>VLOOKUP($A43,'Data Vlaue (Cr)'!$C:$FB,100)</f>
        <v>#REF!</v>
      </c>
      <c r="J43" s="49" t="e">
        <f>VLOOKUP($A43,'Data Vlaue (Cr)'!$C:$FB,102)*100</f>
        <v>#REF!</v>
      </c>
    </row>
    <row r="44" spans="1:10" x14ac:dyDescent="0.25">
      <c r="A44" s="101" t="e">
        <f>'NIFTY GRP'!#REF!</f>
        <v>#REF!</v>
      </c>
      <c r="B44" s="140" t="e">
        <f>VLOOKUP($A44,'Data shares'!$C:$FA,7)</f>
        <v>#REF!</v>
      </c>
      <c r="C44" s="140" t="e">
        <f>VLOOKUP($A44,'Data shares'!$C:$FA,3)</f>
        <v>#REF!</v>
      </c>
      <c r="D44" s="50" t="e">
        <f>VLOOKUP($A44,'Data shares'!$C:$FA,6)*100</f>
        <v>#REF!</v>
      </c>
      <c r="E44" s="51" t="e">
        <f>VLOOKUP($A44,'Data shares'!$C:$FA,98)</f>
        <v>#REF!</v>
      </c>
      <c r="F44" s="51" t="e">
        <f>VLOOKUP($A44,'Data shares'!$C:$FA,99)</f>
        <v>#REF!</v>
      </c>
      <c r="G44" s="50" t="e">
        <f>VLOOKUP($A44,'Data shares'!$C:$FA,101)*100</f>
        <v>#REF!</v>
      </c>
      <c r="H44" s="49" t="e">
        <f>VLOOKUP($A44,'Data Vlaue (Cr)'!$C:$FB,99)</f>
        <v>#REF!</v>
      </c>
      <c r="I44" s="49" t="e">
        <f>VLOOKUP($A44,'Data Vlaue (Cr)'!$C:$FB,100)</f>
        <v>#REF!</v>
      </c>
      <c r="J44" s="49" t="e">
        <f>VLOOKUP($A44,'Data Vlaue (Cr)'!$C:$FB,102)*100</f>
        <v>#REF!</v>
      </c>
    </row>
    <row r="45" spans="1:10" x14ac:dyDescent="0.25">
      <c r="A45" s="101" t="e">
        <f>'NIFTY GRP'!#REF!</f>
        <v>#REF!</v>
      </c>
      <c r="B45" s="140" t="e">
        <f>VLOOKUP($A45,'Data shares'!$C:$FA,7)</f>
        <v>#REF!</v>
      </c>
      <c r="C45" s="140" t="e">
        <f>VLOOKUP($A45,'Data shares'!$C:$FA,3)</f>
        <v>#REF!</v>
      </c>
      <c r="D45" s="50" t="e">
        <f>VLOOKUP($A45,'Data shares'!$C:$FA,6)*100</f>
        <v>#REF!</v>
      </c>
      <c r="E45" s="51" t="e">
        <f>VLOOKUP($A45,'Data shares'!$C:$FA,98)</f>
        <v>#REF!</v>
      </c>
      <c r="F45" s="51" t="e">
        <f>VLOOKUP($A45,'Data shares'!$C:$FA,99)</f>
        <v>#REF!</v>
      </c>
      <c r="G45" s="50" t="e">
        <f>VLOOKUP($A45,'Data shares'!$C:$FA,101)*100</f>
        <v>#REF!</v>
      </c>
      <c r="H45" s="49" t="e">
        <f>VLOOKUP($A45,'Data Vlaue (Cr)'!$C:$FB,99)</f>
        <v>#REF!</v>
      </c>
      <c r="I45" s="49" t="e">
        <f>VLOOKUP($A45,'Data Vlaue (Cr)'!$C:$FB,100)</f>
        <v>#REF!</v>
      </c>
      <c r="J45" s="49" t="e">
        <f>VLOOKUP($A45,'Data Vlaue (Cr)'!$C:$FB,102)*100</f>
        <v>#REF!</v>
      </c>
    </row>
    <row r="46" spans="1:10" x14ac:dyDescent="0.25">
      <c r="A46" s="101" t="e">
        <f>'NIFTY GRP'!#REF!</f>
        <v>#REF!</v>
      </c>
      <c r="B46" s="140" t="e">
        <f>VLOOKUP($A46,'Data shares'!$C:$FA,7)</f>
        <v>#REF!</v>
      </c>
      <c r="C46" s="140" t="e">
        <f>VLOOKUP($A46,'Data shares'!$C:$FA,3)</f>
        <v>#REF!</v>
      </c>
      <c r="D46" s="50" t="e">
        <f>VLOOKUP($A46,'Data shares'!$C:$FA,6)*100</f>
        <v>#REF!</v>
      </c>
      <c r="E46" s="51" t="e">
        <f>VLOOKUP($A46,'Data shares'!$C:$FA,98)</f>
        <v>#REF!</v>
      </c>
      <c r="F46" s="51" t="e">
        <f>VLOOKUP($A46,'Data shares'!$C:$FA,99)</f>
        <v>#REF!</v>
      </c>
      <c r="G46" s="50" t="e">
        <f>VLOOKUP($A46,'Data shares'!$C:$FA,101)*100</f>
        <v>#REF!</v>
      </c>
      <c r="H46" s="49" t="e">
        <f>VLOOKUP($A46,'Data Vlaue (Cr)'!$C:$FB,99)</f>
        <v>#REF!</v>
      </c>
      <c r="I46" s="49" t="e">
        <f>VLOOKUP($A46,'Data Vlaue (Cr)'!$C:$FB,100)</f>
        <v>#REF!</v>
      </c>
      <c r="J46" s="49" t="e">
        <f>VLOOKUP($A46,'Data Vlaue (Cr)'!$C:$FB,102)*100</f>
        <v>#REF!</v>
      </c>
    </row>
    <row r="47" spans="1:10" x14ac:dyDescent="0.25">
      <c r="A47" s="101" t="e">
        <f>'NIFTY GRP'!#REF!</f>
        <v>#REF!</v>
      </c>
      <c r="B47" s="140" t="e">
        <f>VLOOKUP($A47,'Data shares'!$C:$FA,7)</f>
        <v>#REF!</v>
      </c>
      <c r="C47" s="140" t="e">
        <f>VLOOKUP($A47,'Data shares'!$C:$FA,3)</f>
        <v>#REF!</v>
      </c>
      <c r="D47" s="50" t="e">
        <f>VLOOKUP($A47,'Data shares'!$C:$FA,6)*100</f>
        <v>#REF!</v>
      </c>
      <c r="E47" s="51" t="e">
        <f>VLOOKUP($A47,'Data shares'!$C:$FA,98)</f>
        <v>#REF!</v>
      </c>
      <c r="F47" s="51" t="e">
        <f>VLOOKUP($A47,'Data shares'!$C:$FA,99)</f>
        <v>#REF!</v>
      </c>
      <c r="G47" s="50" t="e">
        <f>VLOOKUP($A47,'Data shares'!$C:$FA,101)*100</f>
        <v>#REF!</v>
      </c>
      <c r="H47" s="49" t="e">
        <f>VLOOKUP($A47,'Data Vlaue (Cr)'!$C:$FB,99)</f>
        <v>#REF!</v>
      </c>
      <c r="I47" s="49" t="e">
        <f>VLOOKUP($A47,'Data Vlaue (Cr)'!$C:$FB,100)</f>
        <v>#REF!</v>
      </c>
      <c r="J47" s="49" t="e">
        <f>VLOOKUP($A47,'Data Vlaue (Cr)'!$C:$FB,102)*100</f>
        <v>#REF!</v>
      </c>
    </row>
    <row r="48" spans="1:10" x14ac:dyDescent="0.25">
      <c r="A48" s="101" t="e">
        <f>'NIFTY GRP'!#REF!</f>
        <v>#REF!</v>
      </c>
      <c r="B48" s="140" t="e">
        <f>VLOOKUP($A48,'Data shares'!$C:$FA,7)</f>
        <v>#REF!</v>
      </c>
      <c r="C48" s="140" t="e">
        <f>VLOOKUP($A48,'Data shares'!$C:$FA,3)</f>
        <v>#REF!</v>
      </c>
      <c r="D48" s="50" t="e">
        <f>VLOOKUP($A48,'Data shares'!$C:$FA,6)*100</f>
        <v>#REF!</v>
      </c>
      <c r="E48" s="51" t="e">
        <f>VLOOKUP($A48,'Data shares'!$C:$FA,98)</f>
        <v>#REF!</v>
      </c>
      <c r="F48" s="51" t="e">
        <f>VLOOKUP($A48,'Data shares'!$C:$FA,99)</f>
        <v>#REF!</v>
      </c>
      <c r="G48" s="50" t="e">
        <f>VLOOKUP($A48,'Data shares'!$C:$FA,101)*100</f>
        <v>#REF!</v>
      </c>
      <c r="H48" s="49" t="e">
        <f>VLOOKUP($A48,'Data Vlaue (Cr)'!$C:$FB,99)</f>
        <v>#REF!</v>
      </c>
      <c r="I48" s="49" t="e">
        <f>VLOOKUP($A48,'Data Vlaue (Cr)'!$C:$FB,100)</f>
        <v>#REF!</v>
      </c>
      <c r="J48" s="49" t="e">
        <f>VLOOKUP($A48,'Data Vlaue (Cr)'!$C:$FB,102)*100</f>
        <v>#REF!</v>
      </c>
    </row>
    <row r="49" spans="1:10" x14ac:dyDescent="0.25">
      <c r="A49" s="101" t="e">
        <f>'NIFTY GRP'!#REF!</f>
        <v>#REF!</v>
      </c>
      <c r="B49" s="140" t="e">
        <f>VLOOKUP($A49,'Data shares'!$C:$FA,7)</f>
        <v>#REF!</v>
      </c>
      <c r="C49" s="140" t="e">
        <f>VLOOKUP($A49,'Data shares'!$C:$FA,3)</f>
        <v>#REF!</v>
      </c>
      <c r="D49" s="50" t="e">
        <f>VLOOKUP($A49,'Data shares'!$C:$FA,6)*100</f>
        <v>#REF!</v>
      </c>
      <c r="E49" s="51" t="e">
        <f>VLOOKUP($A49,'Data shares'!$C:$FA,98)</f>
        <v>#REF!</v>
      </c>
      <c r="F49" s="51" t="e">
        <f>VLOOKUP($A49,'Data shares'!$C:$FA,99)</f>
        <v>#REF!</v>
      </c>
      <c r="G49" s="50" t="e">
        <f>VLOOKUP($A49,'Data shares'!$C:$FA,101)*100</f>
        <v>#REF!</v>
      </c>
      <c r="H49" s="49" t="e">
        <f>VLOOKUP($A49,'Data Vlaue (Cr)'!$C:$FB,99)</f>
        <v>#REF!</v>
      </c>
      <c r="I49" s="49" t="e">
        <f>VLOOKUP($A49,'Data Vlaue (Cr)'!$C:$FB,100)</f>
        <v>#REF!</v>
      </c>
      <c r="J49" s="49" t="e">
        <f>VLOOKUP($A49,'Data Vlaue (Cr)'!$C:$FB,102)*100</f>
        <v>#REF!</v>
      </c>
    </row>
    <row r="50" spans="1:10" x14ac:dyDescent="0.25">
      <c r="A50" s="101" t="e">
        <f>'NIFTY GRP'!#REF!</f>
        <v>#REF!</v>
      </c>
      <c r="B50" s="140" t="e">
        <f>VLOOKUP($A50,'Data shares'!$C:$FA,7)</f>
        <v>#REF!</v>
      </c>
      <c r="C50" s="140" t="e">
        <f>VLOOKUP($A50,'Data shares'!$C:$FA,3)</f>
        <v>#REF!</v>
      </c>
      <c r="D50" s="50" t="e">
        <f>VLOOKUP($A50,'Data shares'!$C:$FA,6)*100</f>
        <v>#REF!</v>
      </c>
      <c r="E50" s="51" t="e">
        <f>VLOOKUP($A50,'Data shares'!$C:$FA,98)</f>
        <v>#REF!</v>
      </c>
      <c r="F50" s="51" t="e">
        <f>VLOOKUP($A50,'Data shares'!$C:$FA,99)</f>
        <v>#REF!</v>
      </c>
      <c r="G50" s="50" t="e">
        <f>VLOOKUP($A50,'Data shares'!$C:$FA,101)*100</f>
        <v>#REF!</v>
      </c>
      <c r="H50" s="49" t="e">
        <f>VLOOKUP($A50,'Data Vlaue (Cr)'!$C:$FB,99)</f>
        <v>#REF!</v>
      </c>
      <c r="I50" s="49" t="e">
        <f>VLOOKUP($A50,'Data Vlaue (Cr)'!$C:$FB,100)</f>
        <v>#REF!</v>
      </c>
      <c r="J50" s="49" t="e">
        <f>VLOOKUP($A50,'Data Vlaue (Cr)'!$C:$FB,102)*100</f>
        <v>#REF!</v>
      </c>
    </row>
    <row r="51" spans="1:10" x14ac:dyDescent="0.25">
      <c r="A51" s="101" t="e">
        <f>'NIFTY GRP'!#REF!</f>
        <v>#REF!</v>
      </c>
      <c r="B51" s="140" t="e">
        <f>VLOOKUP($A51,'Data shares'!$C:$FA,7)</f>
        <v>#REF!</v>
      </c>
      <c r="C51" s="140" t="e">
        <f>VLOOKUP($A51,'Data shares'!$C:$FA,3)</f>
        <v>#REF!</v>
      </c>
      <c r="D51" s="50" t="e">
        <f>VLOOKUP($A51,'Data shares'!$C:$FA,6)*100</f>
        <v>#REF!</v>
      </c>
      <c r="E51" s="51" t="e">
        <f>VLOOKUP($A51,'Data shares'!$C:$FA,98)</f>
        <v>#REF!</v>
      </c>
      <c r="F51" s="51" t="e">
        <f>VLOOKUP($A51,'Data shares'!$C:$FA,99)</f>
        <v>#REF!</v>
      </c>
      <c r="G51" s="50" t="e">
        <f>VLOOKUP($A51,'Data shares'!$C:$FA,101)*100</f>
        <v>#REF!</v>
      </c>
      <c r="H51" s="49" t="e">
        <f>VLOOKUP($A51,'Data Vlaue (Cr)'!$C:$FB,99)</f>
        <v>#REF!</v>
      </c>
      <c r="I51" s="49" t="e">
        <f>VLOOKUP($A51,'Data Vlaue (Cr)'!$C:$FB,100)</f>
        <v>#REF!</v>
      </c>
      <c r="J51" s="49" t="e">
        <f>VLOOKUP($A51,'Data Vlaue (Cr)'!$C:$FB,102)*100</f>
        <v>#REF!</v>
      </c>
    </row>
    <row r="52" spans="1:10" x14ac:dyDescent="0.25">
      <c r="A52" s="101" t="e">
        <f>'NIFTY GRP'!#REF!</f>
        <v>#REF!</v>
      </c>
      <c r="B52" s="140" t="e">
        <f>VLOOKUP($A52,'Data shares'!$C:$FA,7)</f>
        <v>#REF!</v>
      </c>
      <c r="C52" s="140" t="e">
        <f>VLOOKUP($A52,'Data shares'!$C:$FA,3)</f>
        <v>#REF!</v>
      </c>
      <c r="D52" s="50" t="e">
        <f>VLOOKUP($A52,'Data shares'!$C:$FA,6)*100</f>
        <v>#REF!</v>
      </c>
      <c r="E52" s="51" t="e">
        <f>VLOOKUP($A52,'Data shares'!$C:$FA,98)</f>
        <v>#REF!</v>
      </c>
      <c r="F52" s="51" t="e">
        <f>VLOOKUP($A52,'Data shares'!$C:$FA,99)</f>
        <v>#REF!</v>
      </c>
      <c r="G52" s="50" t="e">
        <f>VLOOKUP($A52,'Data shares'!$C:$FA,101)*100</f>
        <v>#REF!</v>
      </c>
      <c r="H52" s="49" t="e">
        <f>VLOOKUP($A52,'Data Vlaue (Cr)'!$C:$FB,99)</f>
        <v>#REF!</v>
      </c>
      <c r="I52" s="49" t="e">
        <f>VLOOKUP($A52,'Data Vlaue (Cr)'!$C:$FB,100)</f>
        <v>#REF!</v>
      </c>
      <c r="J52" s="49" t="e">
        <f>VLOOKUP($A52,'Data Vlaue (Cr)'!$C:$FB,102)*100</f>
        <v>#REF!</v>
      </c>
    </row>
    <row r="53" spans="1:10" x14ac:dyDescent="0.25">
      <c r="A53" s="101" t="e">
        <f>'NIFTY GRP'!#REF!</f>
        <v>#REF!</v>
      </c>
      <c r="B53" s="140" t="e">
        <f>VLOOKUP($A53,'Data shares'!$C:$FA,7)</f>
        <v>#REF!</v>
      </c>
      <c r="C53" s="140" t="e">
        <f>VLOOKUP($A53,'Data shares'!$C:$FA,3)</f>
        <v>#REF!</v>
      </c>
      <c r="D53" s="50" t="e">
        <f>VLOOKUP($A53,'Data shares'!$C:$FA,6)*100</f>
        <v>#REF!</v>
      </c>
      <c r="E53" s="51" t="e">
        <f>VLOOKUP($A53,'Data shares'!$C:$FA,98)</f>
        <v>#REF!</v>
      </c>
      <c r="F53" s="51" t="e">
        <f>VLOOKUP($A53,'Data shares'!$C:$FA,99)</f>
        <v>#REF!</v>
      </c>
      <c r="G53" s="50" t="e">
        <f>VLOOKUP($A53,'Data shares'!$C:$FA,101)*100</f>
        <v>#REF!</v>
      </c>
      <c r="H53" s="49" t="e">
        <f>VLOOKUP($A53,'Data Vlaue (Cr)'!$C:$FB,99)</f>
        <v>#REF!</v>
      </c>
      <c r="I53" s="49" t="e">
        <f>VLOOKUP($A53,'Data Vlaue (Cr)'!$C:$FB,100)</f>
        <v>#REF!</v>
      </c>
      <c r="J53" s="49" t="e">
        <f>VLOOKUP($A53,'Data Vlaue (Cr)'!$C:$FB,102)*100</f>
        <v>#REF!</v>
      </c>
    </row>
    <row r="54" spans="1:10" x14ac:dyDescent="0.25">
      <c r="A54" s="101" t="e">
        <f>'NIFTY GRP'!#REF!</f>
        <v>#REF!</v>
      </c>
      <c r="B54" s="140" t="e">
        <f>VLOOKUP($A54,'Data shares'!$C:$FA,7)</f>
        <v>#REF!</v>
      </c>
      <c r="C54" s="140" t="e">
        <f>VLOOKUP($A54,'Data shares'!$C:$FA,3)</f>
        <v>#REF!</v>
      </c>
      <c r="D54" s="50" t="e">
        <f>VLOOKUP($A54,'Data shares'!$C:$FA,6)*100</f>
        <v>#REF!</v>
      </c>
      <c r="E54" s="51" t="e">
        <f>VLOOKUP($A54,'Data shares'!$C:$FA,98)</f>
        <v>#REF!</v>
      </c>
      <c r="F54" s="51" t="e">
        <f>VLOOKUP($A54,'Data shares'!$C:$FA,99)</f>
        <v>#REF!</v>
      </c>
      <c r="G54" s="50" t="e">
        <f>VLOOKUP($A54,'Data shares'!$C:$FA,101)*100</f>
        <v>#REF!</v>
      </c>
      <c r="H54" s="49" t="e">
        <f>VLOOKUP($A54,'Data Vlaue (Cr)'!$C:$FB,99)</f>
        <v>#REF!</v>
      </c>
      <c r="I54" s="49" t="e">
        <f>VLOOKUP($A54,'Data Vlaue (Cr)'!$C:$FB,100)</f>
        <v>#REF!</v>
      </c>
      <c r="J54" s="49" t="e">
        <f>VLOOKUP($A54,'Data Vlaue (Cr)'!$C:$FB,102)*100</f>
        <v>#REF!</v>
      </c>
    </row>
    <row r="55" spans="1:10" x14ac:dyDescent="0.25">
      <c r="A55" s="101" t="e">
        <f>'NIFTY GRP'!#REF!</f>
        <v>#REF!</v>
      </c>
      <c r="B55" s="140" t="e">
        <f>VLOOKUP($A55,'Data shares'!$C:$FA,7)</f>
        <v>#REF!</v>
      </c>
      <c r="C55" s="140" t="e">
        <f>VLOOKUP($A55,'Data shares'!$C:$FA,3)</f>
        <v>#REF!</v>
      </c>
      <c r="D55" s="50" t="e">
        <f>VLOOKUP($A55,'Data shares'!$C:$FA,6)*100</f>
        <v>#REF!</v>
      </c>
      <c r="E55" s="51" t="e">
        <f>VLOOKUP($A55,'Data shares'!$C:$FA,98)</f>
        <v>#REF!</v>
      </c>
      <c r="F55" s="51" t="e">
        <f>VLOOKUP($A55,'Data shares'!$C:$FA,99)</f>
        <v>#REF!</v>
      </c>
      <c r="G55" s="50" t="e">
        <f>VLOOKUP($A55,'Data shares'!$C:$FA,101)*100</f>
        <v>#REF!</v>
      </c>
      <c r="H55" s="49" t="e">
        <f>VLOOKUP($A55,'Data Vlaue (Cr)'!$C:$FB,99)</f>
        <v>#REF!</v>
      </c>
      <c r="I55" s="49" t="e">
        <f>VLOOKUP($A55,'Data Vlaue (Cr)'!$C:$FB,100)</f>
        <v>#REF!</v>
      </c>
      <c r="J55" s="49" t="e">
        <f>VLOOKUP($A55,'Data Vlaue (Cr)'!$C:$FB,102)*100</f>
        <v>#REF!</v>
      </c>
    </row>
    <row r="56" spans="1:10" x14ac:dyDescent="0.25">
      <c r="A56" s="101">
        <f>'NIFTY GRP'!C2</f>
        <v>0</v>
      </c>
      <c r="B56" s="140" t="e">
        <f>VLOOKUP($A56,'Data shares'!$C:$FA,7)</f>
        <v>#N/A</v>
      </c>
      <c r="C56" s="140" t="e">
        <f>VLOOKUP($A56,'Data shares'!$C:$FA,3)</f>
        <v>#N/A</v>
      </c>
      <c r="D56" s="50" t="e">
        <f>VLOOKUP($A56,'Data shares'!$C:$FA,6)*100</f>
        <v>#N/A</v>
      </c>
      <c r="E56" s="51" t="e">
        <f>VLOOKUP($A56,'Data shares'!$C:$FA,98)</f>
        <v>#N/A</v>
      </c>
      <c r="F56" s="51" t="e">
        <f>VLOOKUP($A56,'Data shares'!$C:$FA,99)</f>
        <v>#N/A</v>
      </c>
      <c r="G56" s="50" t="e">
        <f>VLOOKUP($A56,'Data shares'!$C:$FA,101)*100</f>
        <v>#N/A</v>
      </c>
      <c r="H56" s="49" t="e">
        <f>VLOOKUP($A56,'Data Vlaue (Cr)'!$C:$FB,99)</f>
        <v>#N/A</v>
      </c>
      <c r="I56" s="49" t="e">
        <f>VLOOKUP($A56,'Data Vlaue (Cr)'!$C:$FB,100)</f>
        <v>#N/A</v>
      </c>
      <c r="J56" s="49" t="e">
        <f>VLOOKUP($A56,'Data Vlaue (Cr)'!$C:$FB,102)*100</f>
        <v>#N/A</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1"/>
      <c r="B62" s="140"/>
      <c r="C62" s="140"/>
      <c r="D62" s="50"/>
      <c r="E62" s="51"/>
      <c r="F62" s="51"/>
      <c r="G62" s="50"/>
      <c r="H62" s="49"/>
      <c r="I62" s="49"/>
      <c r="J62" s="49"/>
    </row>
    <row r="63" spans="1:10" x14ac:dyDescent="0.25">
      <c r="A63" s="101"/>
      <c r="B63" s="140"/>
      <c r="C63" s="140"/>
      <c r="D63" s="50"/>
      <c r="E63" s="51"/>
      <c r="F63" s="51"/>
      <c r="G63" s="50"/>
      <c r="H63" s="49"/>
      <c r="I63" s="49"/>
      <c r="J63" s="49"/>
    </row>
    <row r="64" spans="1:10" x14ac:dyDescent="0.25">
      <c r="A64" s="101"/>
      <c r="B64" s="140"/>
      <c r="C64" s="140"/>
      <c r="D64" s="50"/>
      <c r="E64" s="51"/>
      <c r="F64" s="51"/>
      <c r="G64" s="50"/>
      <c r="H64" s="49"/>
      <c r="I64" s="49"/>
      <c r="J64" s="49"/>
    </row>
    <row r="65" spans="1:10" x14ac:dyDescent="0.25">
      <c r="A65" s="101"/>
      <c r="B65" s="140"/>
      <c r="C65" s="140"/>
      <c r="D65" s="50"/>
      <c r="E65" s="51"/>
      <c r="F65" s="51"/>
      <c r="G65" s="50"/>
      <c r="H65" s="49"/>
      <c r="I65" s="49"/>
      <c r="J65" s="49"/>
    </row>
    <row r="66" spans="1:10" x14ac:dyDescent="0.25">
      <c r="A66" s="101"/>
      <c r="B66" s="140"/>
      <c r="C66" s="140"/>
      <c r="D66" s="50"/>
      <c r="E66" s="51"/>
      <c r="F66" s="51"/>
      <c r="G66" s="50"/>
      <c r="H66" s="49"/>
      <c r="I66" s="49"/>
      <c r="J66" s="49"/>
    </row>
    <row r="67" spans="1:10" x14ac:dyDescent="0.25">
      <c r="A67" s="101"/>
      <c r="B67" s="140"/>
      <c r="C67" s="140"/>
      <c r="D67" s="50"/>
      <c r="E67" s="51"/>
      <c r="F67" s="51"/>
      <c r="G67" s="50"/>
      <c r="H67" s="49"/>
      <c r="I67" s="49"/>
      <c r="J67" s="49"/>
    </row>
    <row r="68" spans="1:10" x14ac:dyDescent="0.25">
      <c r="A68" s="101"/>
      <c r="B68" s="140"/>
      <c r="C68" s="140"/>
      <c r="D68" s="50"/>
      <c r="E68" s="51"/>
      <c r="F68" s="51"/>
      <c r="G68" s="50"/>
      <c r="H68" s="49"/>
      <c r="I68" s="49"/>
      <c r="J68" s="49"/>
    </row>
    <row r="69" spans="1:10" x14ac:dyDescent="0.25">
      <c r="A69" s="101"/>
      <c r="B69" s="140"/>
      <c r="C69" s="140"/>
      <c r="D69" s="50"/>
      <c r="E69" s="51"/>
      <c r="F69" s="51"/>
      <c r="G69" s="50"/>
      <c r="H69" s="49"/>
      <c r="I69" s="49"/>
      <c r="J69" s="49"/>
    </row>
    <row r="70" spans="1:10" x14ac:dyDescent="0.25">
      <c r="A70" s="101"/>
      <c r="B70" s="140"/>
      <c r="C70" s="140"/>
      <c r="D70" s="50"/>
      <c r="E70" s="51"/>
      <c r="F70" s="51"/>
      <c r="G70" s="50"/>
      <c r="H70" s="49"/>
      <c r="I70" s="49"/>
      <c r="J70" s="49"/>
    </row>
    <row r="71" spans="1:10" x14ac:dyDescent="0.25">
      <c r="A71" s="101"/>
      <c r="B71" s="140"/>
      <c r="C71" s="140"/>
      <c r="D71" s="50"/>
      <c r="E71" s="51"/>
      <c r="F71" s="51"/>
      <c r="G71" s="50"/>
      <c r="H71" s="49"/>
      <c r="I71" s="49"/>
      <c r="J71" s="49"/>
    </row>
    <row r="72" spans="1:10" x14ac:dyDescent="0.25">
      <c r="A72" s="101"/>
      <c r="B72" s="140"/>
      <c r="C72" s="140"/>
      <c r="D72" s="50"/>
      <c r="E72" s="51"/>
      <c r="F72" s="51"/>
      <c r="G72" s="50"/>
      <c r="H72" s="49"/>
      <c r="I72" s="49"/>
      <c r="J72" s="49"/>
    </row>
    <row r="73" spans="1:10" x14ac:dyDescent="0.25">
      <c r="A73" s="101"/>
      <c r="B73" s="140"/>
      <c r="C73" s="140"/>
      <c r="D73" s="50"/>
      <c r="E73" s="51"/>
      <c r="F73" s="51"/>
      <c r="G73" s="50"/>
      <c r="H73" s="49"/>
      <c r="I73" s="49"/>
      <c r="J73" s="49"/>
    </row>
    <row r="74" spans="1:10" x14ac:dyDescent="0.25">
      <c r="A74" s="101"/>
      <c r="B74" s="140"/>
      <c r="C74" s="140"/>
      <c r="D74" s="50"/>
      <c r="E74" s="51"/>
      <c r="F74" s="51"/>
      <c r="G74" s="50"/>
      <c r="H74" s="49"/>
      <c r="I74" s="49"/>
      <c r="J74" s="49"/>
    </row>
    <row r="75" spans="1:10" x14ac:dyDescent="0.25">
      <c r="A75" s="101"/>
      <c r="B75" s="140"/>
      <c r="C75" s="140"/>
      <c r="D75" s="50"/>
      <c r="E75" s="51"/>
      <c r="F75" s="51"/>
      <c r="G75" s="50"/>
      <c r="H75" s="49"/>
      <c r="I75" s="49"/>
      <c r="J75" s="49"/>
    </row>
    <row r="76" spans="1:10" x14ac:dyDescent="0.25">
      <c r="A76" s="101"/>
      <c r="B76" s="140"/>
      <c r="C76" s="140"/>
      <c r="D76" s="50"/>
      <c r="E76" s="51"/>
      <c r="F76" s="51"/>
      <c r="G76" s="50"/>
      <c r="H76" s="49"/>
      <c r="I76" s="49"/>
      <c r="J76" s="49"/>
    </row>
    <row r="77" spans="1:10" x14ac:dyDescent="0.25">
      <c r="A77" s="101"/>
      <c r="B77" s="140"/>
      <c r="C77" s="140"/>
      <c r="D77" s="50"/>
      <c r="E77" s="51"/>
      <c r="F77" s="51"/>
      <c r="G77" s="50"/>
      <c r="H77" s="49"/>
      <c r="I77" s="49"/>
      <c r="J77" s="49"/>
    </row>
    <row r="78" spans="1:10" x14ac:dyDescent="0.25">
      <c r="A78" s="101"/>
      <c r="B78" s="140"/>
      <c r="C78" s="140"/>
      <c r="D78" s="50"/>
      <c r="E78" s="51"/>
      <c r="F78" s="51"/>
      <c r="G78" s="50"/>
      <c r="H78" s="49"/>
      <c r="I78" s="49"/>
      <c r="J78" s="49"/>
    </row>
    <row r="79" spans="1:10" x14ac:dyDescent="0.25">
      <c r="A79" s="101"/>
      <c r="B79" s="140"/>
      <c r="C79" s="140"/>
      <c r="D79" s="50"/>
      <c r="E79" s="51"/>
      <c r="F79" s="51"/>
      <c r="G79" s="50"/>
      <c r="H79" s="49"/>
      <c r="I79" s="49"/>
      <c r="J79" s="49"/>
    </row>
    <row r="80" spans="1:10" x14ac:dyDescent="0.25">
      <c r="A80" s="101"/>
      <c r="B80" s="140"/>
      <c r="C80" s="140"/>
      <c r="D80" s="50"/>
      <c r="E80" s="51"/>
      <c r="F80" s="51"/>
      <c r="G80" s="50"/>
      <c r="H80" s="49"/>
      <c r="I80" s="49"/>
      <c r="J80" s="49"/>
    </row>
    <row r="81" spans="1:10" x14ac:dyDescent="0.25">
      <c r="A81" s="101"/>
      <c r="B81" s="140"/>
      <c r="C81" s="140"/>
      <c r="D81" s="50"/>
      <c r="E81" s="51"/>
      <c r="F81" s="51"/>
      <c r="G81" s="50"/>
      <c r="H81" s="49"/>
      <c r="I81" s="49"/>
      <c r="J81" s="49"/>
    </row>
    <row r="82" spans="1:10" x14ac:dyDescent="0.25">
      <c r="A82" s="101"/>
      <c r="B82" s="140"/>
      <c r="C82" s="140"/>
      <c r="D82" s="50"/>
      <c r="E82" s="51"/>
      <c r="F82" s="51"/>
      <c r="G82" s="50"/>
      <c r="H82" s="49"/>
      <c r="I82" s="49"/>
      <c r="J82" s="49"/>
    </row>
    <row r="83" spans="1:10" x14ac:dyDescent="0.25">
      <c r="A83" s="101"/>
      <c r="B83" s="140"/>
      <c r="C83" s="140"/>
      <c r="D83" s="50"/>
      <c r="E83" s="51"/>
      <c r="F83" s="51"/>
      <c r="G83" s="50"/>
      <c r="H83" s="49"/>
      <c r="I83" s="49"/>
      <c r="J83" s="49"/>
    </row>
    <row r="84" spans="1:10" x14ac:dyDescent="0.25">
      <c r="A84" s="101"/>
      <c r="B84" s="140"/>
      <c r="C84" s="140"/>
      <c r="D84" s="50"/>
      <c r="E84" s="51"/>
      <c r="F84" s="51"/>
      <c r="G84" s="50"/>
      <c r="H84" s="49"/>
      <c r="I84" s="49"/>
      <c r="J84" s="49"/>
    </row>
    <row r="85" spans="1:10" x14ac:dyDescent="0.25">
      <c r="A85" s="101"/>
      <c r="B85" s="140"/>
      <c r="C85" s="140"/>
      <c r="D85" s="50"/>
      <c r="E85" s="51"/>
      <c r="F85" s="51"/>
      <c r="G85" s="50"/>
      <c r="H85" s="49"/>
      <c r="I85" s="49"/>
      <c r="J85" s="49"/>
    </row>
    <row r="86" spans="1:10" x14ac:dyDescent="0.25">
      <c r="A86" s="101"/>
      <c r="B86" s="140"/>
      <c r="C86" s="140"/>
      <c r="D86" s="50"/>
      <c r="E86" s="51"/>
      <c r="F86" s="51"/>
      <c r="G86" s="50"/>
      <c r="H86" s="49"/>
      <c r="I86" s="49"/>
      <c r="J86" s="49"/>
    </row>
    <row r="87" spans="1:10" x14ac:dyDescent="0.25">
      <c r="A87" s="101"/>
      <c r="B87" s="140"/>
      <c r="C87" s="140"/>
      <c r="D87" s="50"/>
      <c r="E87" s="51"/>
      <c r="F87" s="51"/>
      <c r="G87" s="50"/>
      <c r="H87" s="49"/>
      <c r="I87" s="49"/>
      <c r="J87" s="49"/>
    </row>
    <row r="88" spans="1:10" x14ac:dyDescent="0.25">
      <c r="A88" s="101"/>
      <c r="B88" s="140"/>
      <c r="C88" s="140"/>
      <c r="D88" s="50"/>
      <c r="E88" s="51"/>
      <c r="F88" s="51"/>
      <c r="G88" s="50"/>
      <c r="H88" s="49"/>
      <c r="I88" s="49"/>
      <c r="J88" s="49"/>
    </row>
    <row r="89" spans="1:10" x14ac:dyDescent="0.25">
      <c r="A89" s="101"/>
      <c r="B89" s="140"/>
      <c r="C89" s="140"/>
      <c r="D89" s="50"/>
      <c r="E89" s="51"/>
      <c r="F89" s="51"/>
      <c r="G89" s="50"/>
      <c r="H89" s="49"/>
      <c r="I89" s="49"/>
      <c r="J89" s="49"/>
    </row>
    <row r="90" spans="1:10" x14ac:dyDescent="0.25">
      <c r="A90" s="102"/>
      <c r="B90" s="17"/>
      <c r="C90" s="17"/>
      <c r="D90" s="17"/>
      <c r="E90" s="17"/>
      <c r="F90" s="17"/>
      <c r="G90" s="17"/>
      <c r="H90" s="17"/>
      <c r="I90" s="17"/>
      <c r="J90" s="17"/>
    </row>
    <row r="91" spans="1:10" x14ac:dyDescent="0.25">
      <c r="A91" s="102"/>
      <c r="B91" s="17"/>
      <c r="C91" s="17"/>
      <c r="D91" s="17"/>
      <c r="E91" s="17"/>
      <c r="F91" s="17"/>
      <c r="G91" s="17"/>
      <c r="H91" s="17"/>
      <c r="I91" s="17"/>
      <c r="J91" s="17"/>
    </row>
    <row r="92" spans="1:10" x14ac:dyDescent="0.25">
      <c r="A92" s="102"/>
      <c r="B92" s="17"/>
      <c r="C92" s="17"/>
      <c r="D92" s="17"/>
      <c r="E92" s="17"/>
      <c r="F92" s="17"/>
      <c r="G92" s="17"/>
      <c r="H92" s="17"/>
      <c r="I92" s="17"/>
      <c r="J92" s="17"/>
    </row>
    <row r="93" spans="1:10" x14ac:dyDescent="0.25">
      <c r="A93" s="102"/>
      <c r="B93" s="17"/>
      <c r="C93" s="17"/>
      <c r="D93" s="17"/>
      <c r="E93" s="17"/>
      <c r="F93" s="17"/>
      <c r="G93" s="17"/>
      <c r="H93" s="17"/>
      <c r="I93" s="17"/>
      <c r="J93" s="17"/>
    </row>
    <row r="94" spans="1:10" s="88" customFormat="1" ht="13.5" customHeight="1" x14ac:dyDescent="0.25">
      <c r="A94" s="126" t="s">
        <v>391</v>
      </c>
      <c r="B94" s="122"/>
      <c r="C94" s="122"/>
      <c r="D94" s="122"/>
      <c r="E94" s="127" t="e">
        <f>SUM(E7:E93)</f>
        <v>#REF!</v>
      </c>
      <c r="F94" s="127" t="e">
        <f>SUM(F7:F93)</f>
        <v>#REF!</v>
      </c>
      <c r="G94" s="128" t="e">
        <f>(E94-F94)/F94</f>
        <v>#REF!</v>
      </c>
      <c r="H94" s="127" t="e">
        <f>SUM(H7:H93)</f>
        <v>#REF!</v>
      </c>
      <c r="I94" s="127" t="e">
        <f>SUM(I7:I93)</f>
        <v>#REF!</v>
      </c>
      <c r="J94" s="128" t="e">
        <f>(H94-I94)/I94</f>
        <v>#REF!</v>
      </c>
    </row>
    <row r="95" spans="1:10" s="88" customFormat="1" ht="13.5" customHeight="1" x14ac:dyDescent="0.25">
      <c r="A95" s="126" t="s">
        <v>398</v>
      </c>
      <c r="B95" s="122"/>
      <c r="C95" s="122"/>
      <c r="D95" s="122"/>
      <c r="E95" s="125" t="e">
        <f>E94/10000000</f>
        <v>#REF!</v>
      </c>
      <c r="F95" s="125" t="e">
        <f>F94/10000000</f>
        <v>#REF!</v>
      </c>
      <c r="G95" s="128" t="e">
        <f>(E95-F95)/F95</f>
        <v>#REF!</v>
      </c>
      <c r="H95" s="129" t="e">
        <f>H94/10000000</f>
        <v>#REF!</v>
      </c>
      <c r="I95" s="129" t="e">
        <f>I94/10000000</f>
        <v>#REF!</v>
      </c>
      <c r="J95" s="128" t="e">
        <f>(H95-I95)/I95</f>
        <v>#REF!</v>
      </c>
    </row>
    <row r="100" spans="1:3" x14ac:dyDescent="0.25">
      <c r="A100" s="43"/>
      <c r="B100" s="43"/>
      <c r="C100" s="44"/>
    </row>
    <row r="101" spans="1:3" ht="34.5" x14ac:dyDescent="0.25">
      <c r="A101" s="95" t="s">
        <v>411</v>
      </c>
      <c r="B101" s="45"/>
      <c r="C101" s="45" t="s">
        <v>385</v>
      </c>
    </row>
    <row r="102" spans="1:3" x14ac:dyDescent="0.25">
      <c r="A102" s="22" t="s">
        <v>412</v>
      </c>
      <c r="B102" s="22" t="s">
        <v>413</v>
      </c>
      <c r="C102" s="22" t="s">
        <v>414</v>
      </c>
    </row>
    <row r="103" spans="1:3" x14ac:dyDescent="0.25">
      <c r="A103" s="38" t="e">
        <f>H94</f>
        <v>#REF!</v>
      </c>
      <c r="B103" s="38" t="e">
        <f>I94</f>
        <v>#REF!</v>
      </c>
      <c r="C103" s="42" t="e">
        <f>J94</f>
        <v>#REF!</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2"/>
  <sheetViews>
    <sheetView workbookViewId="0">
      <pane ySplit="6" topLeftCell="A7" activePane="bottomLeft" state="frozen"/>
      <selection pane="bottomLeft" activeCell="Q9" sqref="Q9"/>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46009</v>
      </c>
      <c r="C6" s="76" t="s">
        <v>328</v>
      </c>
      <c r="D6" s="3">
        <f>B6</f>
        <v>46009</v>
      </c>
      <c r="E6" s="76" t="s">
        <v>322</v>
      </c>
      <c r="F6" s="76" t="s">
        <v>328</v>
      </c>
      <c r="G6" s="3">
        <f>D6</f>
        <v>46009</v>
      </c>
      <c r="H6" s="76" t="s">
        <v>322</v>
      </c>
      <c r="I6" s="76" t="s">
        <v>328</v>
      </c>
      <c r="J6" s="3">
        <f>D6</f>
        <v>46009</v>
      </c>
      <c r="K6" s="76" t="s">
        <v>322</v>
      </c>
      <c r="L6" s="76" t="s">
        <v>328</v>
      </c>
      <c r="M6" s="3">
        <f>D6</f>
        <v>46009</v>
      </c>
      <c r="N6" s="76" t="s">
        <v>322</v>
      </c>
      <c r="O6" s="76" t="s">
        <v>328</v>
      </c>
    </row>
    <row r="7" spans="1:15" x14ac:dyDescent="0.25">
      <c r="A7" s="101" t="str">
        <f>'Data Vlaue (Cr)'!C2</f>
        <v>360ONE</v>
      </c>
      <c r="B7" s="50">
        <f>VLOOKUP($A7,'Data Vlaue (Cr)'!$C:$FB,8)</f>
        <v>1143.2</v>
      </c>
      <c r="C7" s="50">
        <f>VLOOKUP($A7,'Data Vlaue (Cr)'!$C:$FB,11)*100</f>
        <v>1.52</v>
      </c>
      <c r="D7" s="50">
        <f>VLOOKUP($A7,'Data Vlaue (Cr)'!$C:$FB,143)</f>
        <v>296.52</v>
      </c>
      <c r="E7" s="50">
        <f>VLOOKUP($A7,'Data Vlaue (Cr)'!$C:$FB,144)</f>
        <v>2157.81</v>
      </c>
      <c r="F7" s="50">
        <f>VLOOKUP($A7,'Data Vlaue (Cr)'!$C:$FB,146)*100</f>
        <v>-86.26</v>
      </c>
      <c r="G7" s="49">
        <f>VLOOKUP($A7,'Data Vlaue (Cr)'!$C:$FB,43)</f>
        <v>60</v>
      </c>
      <c r="H7" s="49">
        <f>VLOOKUP($A7,'Data Vlaue (Cr)'!$C:$FB,44)</f>
        <v>352</v>
      </c>
      <c r="I7" s="49">
        <f>VLOOKUP($A7,'Data Vlaue (Cr)'!$C:$FB,46)*100</f>
        <v>-83.07</v>
      </c>
      <c r="J7" s="51">
        <f>VLOOKUP($A7,'Data Vlaue (Cr)'!$C:$FB,59)</f>
        <v>193</v>
      </c>
      <c r="K7" s="51">
        <f>VLOOKUP($A7,'Data Vlaue (Cr)'!$C:$FB,60)</f>
        <v>1093</v>
      </c>
      <c r="L7" s="51">
        <f>VLOOKUP($A7,'Data Vlaue (Cr)'!$C:$FB,62)*100</f>
        <v>-82.320000000000007</v>
      </c>
      <c r="M7" s="51">
        <f>VLOOKUP($A7,'Data Vlaue (Cr)'!$C:$FB,63)</f>
        <v>39</v>
      </c>
      <c r="N7" s="51">
        <f>VLOOKUP($A7,'Data Vlaue (Cr)'!$C:$FB,64)</f>
        <v>670</v>
      </c>
      <c r="O7" s="51">
        <f>VLOOKUP($A7,'Data Vlaue (Cr)'!$C:$FB,66)*100</f>
        <v>-94.19</v>
      </c>
    </row>
    <row r="8" spans="1:15" x14ac:dyDescent="0.25">
      <c r="A8" s="101" t="str">
        <f>'Data Vlaue (Cr)'!C3</f>
        <v>ABB</v>
      </c>
      <c r="B8" s="50">
        <f>VLOOKUP($A8,'Data Vlaue (Cr)'!$C:$FB,8)</f>
        <v>5097.5</v>
      </c>
      <c r="C8" s="50">
        <f>VLOOKUP($A8,'Data Vlaue (Cr)'!$C:$FB,11)*100</f>
        <v>-1.4200000000000002</v>
      </c>
      <c r="D8" s="50">
        <f>VLOOKUP($A8,'Data Vlaue (Cr)'!$C:$FB,143)</f>
        <v>1129.21</v>
      </c>
      <c r="E8" s="50">
        <f>VLOOKUP($A8,'Data Vlaue (Cr)'!$C:$FB,144)</f>
        <v>763.58</v>
      </c>
      <c r="F8" s="50">
        <f>VLOOKUP($A8,'Data Vlaue (Cr)'!$C:$FB,146)*100</f>
        <v>47.88</v>
      </c>
      <c r="G8" s="49">
        <f>VLOOKUP($A8,'Data Vlaue (Cr)'!$C:$FB,43)</f>
        <v>217</v>
      </c>
      <c r="H8" s="49">
        <f>VLOOKUP($A8,'Data Vlaue (Cr)'!$C:$FB,44)</f>
        <v>171</v>
      </c>
      <c r="I8" s="49">
        <f>VLOOKUP($A8,'Data Vlaue (Cr)'!$C:$FB,46)*100</f>
        <v>27.16</v>
      </c>
      <c r="J8" s="51">
        <f>VLOOKUP($A8,'Data Vlaue (Cr)'!$C:$FB,59)</f>
        <v>540</v>
      </c>
      <c r="K8" s="51">
        <f>VLOOKUP($A8,'Data Vlaue (Cr)'!$C:$FB,60)</f>
        <v>375</v>
      </c>
      <c r="L8" s="51">
        <f>VLOOKUP($A8,'Data Vlaue (Cr)'!$C:$FB,62)*100</f>
        <v>43.8</v>
      </c>
      <c r="M8" s="51">
        <f>VLOOKUP($A8,'Data Vlaue (Cr)'!$C:$FB,63)</f>
        <v>350</v>
      </c>
      <c r="N8" s="51">
        <f>VLOOKUP($A8,'Data Vlaue (Cr)'!$C:$FB,64)</f>
        <v>188</v>
      </c>
      <c r="O8" s="51">
        <f>VLOOKUP($A8,'Data Vlaue (Cr)'!$C:$FB,66)*100</f>
        <v>86.08</v>
      </c>
    </row>
    <row r="9" spans="1:15" x14ac:dyDescent="0.25">
      <c r="A9" s="101" t="str">
        <f>'Data Vlaue (Cr)'!C4</f>
        <v>ABCAPITAL</v>
      </c>
      <c r="B9" s="50">
        <f>VLOOKUP($A9,'Data Vlaue (Cr)'!$C:$FB,8)</f>
        <v>344.25</v>
      </c>
      <c r="C9" s="50">
        <f>VLOOKUP($A9,'Data Vlaue (Cr)'!$C:$FB,11)*100</f>
        <v>-0.74</v>
      </c>
      <c r="D9" s="50">
        <f>VLOOKUP($A9,'Data Vlaue (Cr)'!$C:$FB,143)</f>
        <v>2016.17</v>
      </c>
      <c r="E9" s="50">
        <f>VLOOKUP($A9,'Data Vlaue (Cr)'!$C:$FB,144)</f>
        <v>1949.71</v>
      </c>
      <c r="F9" s="50">
        <f>VLOOKUP($A9,'Data Vlaue (Cr)'!$C:$FB,146)*100</f>
        <v>3.4099999999999997</v>
      </c>
      <c r="G9" s="49">
        <f>VLOOKUP($A9,'Data Vlaue (Cr)'!$C:$FB,43)</f>
        <v>254</v>
      </c>
      <c r="H9" s="49">
        <f>VLOOKUP($A9,'Data Vlaue (Cr)'!$C:$FB,44)</f>
        <v>291</v>
      </c>
      <c r="I9" s="49">
        <f>VLOOKUP($A9,'Data Vlaue (Cr)'!$C:$FB,46)*100</f>
        <v>-12.950000000000001</v>
      </c>
      <c r="J9" s="51">
        <f>VLOOKUP($A9,'Data Vlaue (Cr)'!$C:$FB,59)</f>
        <v>1177</v>
      </c>
      <c r="K9" s="51">
        <f>VLOOKUP($A9,'Data Vlaue (Cr)'!$C:$FB,60)</f>
        <v>1030</v>
      </c>
      <c r="L9" s="51">
        <f>VLOOKUP($A9,'Data Vlaue (Cr)'!$C:$FB,62)*100</f>
        <v>14.21</v>
      </c>
      <c r="M9" s="51">
        <f>VLOOKUP($A9,'Data Vlaue (Cr)'!$C:$FB,63)</f>
        <v>529</v>
      </c>
      <c r="N9" s="51">
        <f>VLOOKUP($A9,'Data Vlaue (Cr)'!$C:$FB,64)</f>
        <v>566</v>
      </c>
      <c r="O9" s="51">
        <f>VLOOKUP($A9,'Data Vlaue (Cr)'!$C:$FB,66)*100</f>
        <v>-6.54</v>
      </c>
    </row>
    <row r="10" spans="1:15" x14ac:dyDescent="0.25">
      <c r="A10" s="101" t="str">
        <f>'Data Vlaue (Cr)'!C5</f>
        <v>ADANIENSOL</v>
      </c>
      <c r="B10" s="50">
        <f>VLOOKUP($A10,'Data Vlaue (Cr)'!$C:$FB,8)</f>
        <v>976.3</v>
      </c>
      <c r="C10" s="50">
        <f>VLOOKUP($A10,'Data Vlaue (Cr)'!$C:$FB,11)*100</f>
        <v>-0.13</v>
      </c>
      <c r="D10" s="50">
        <f>VLOOKUP($A10,'Data Vlaue (Cr)'!$C:$FB,143)</f>
        <v>564.29</v>
      </c>
      <c r="E10" s="50">
        <f>VLOOKUP($A10,'Data Vlaue (Cr)'!$C:$FB,144)</f>
        <v>743.03</v>
      </c>
      <c r="F10" s="50">
        <f>VLOOKUP($A10,'Data Vlaue (Cr)'!$C:$FB,146)*100</f>
        <v>-24.060000000000002</v>
      </c>
      <c r="G10" s="49">
        <f>VLOOKUP($A10,'Data Vlaue (Cr)'!$C:$FB,43)</f>
        <v>92</v>
      </c>
      <c r="H10" s="49">
        <f>VLOOKUP($A10,'Data Vlaue (Cr)'!$C:$FB,44)</f>
        <v>127</v>
      </c>
      <c r="I10" s="49">
        <f>VLOOKUP($A10,'Data Vlaue (Cr)'!$C:$FB,46)*100</f>
        <v>-27.27</v>
      </c>
      <c r="J10" s="51">
        <f>VLOOKUP($A10,'Data Vlaue (Cr)'!$C:$FB,59)</f>
        <v>340</v>
      </c>
      <c r="K10" s="51">
        <f>VLOOKUP($A10,'Data Vlaue (Cr)'!$C:$FB,60)</f>
        <v>370</v>
      </c>
      <c r="L10" s="51">
        <f>VLOOKUP($A10,'Data Vlaue (Cr)'!$C:$FB,62)*100</f>
        <v>-8.16</v>
      </c>
      <c r="M10" s="51">
        <f>VLOOKUP($A10,'Data Vlaue (Cr)'!$C:$FB,63)</f>
        <v>118</v>
      </c>
      <c r="N10" s="51">
        <f>VLOOKUP($A10,'Data Vlaue (Cr)'!$C:$FB,64)</f>
        <v>223</v>
      </c>
      <c r="O10" s="51">
        <f>VLOOKUP($A10,'Data Vlaue (Cr)'!$C:$FB,66)*100</f>
        <v>-47.22</v>
      </c>
    </row>
    <row r="11" spans="1:15" x14ac:dyDescent="0.25">
      <c r="A11" s="101" t="str">
        <f>'Data Vlaue (Cr)'!C6</f>
        <v>ADANIENT</v>
      </c>
      <c r="B11" s="50">
        <f>VLOOKUP($A11,'Data Vlaue (Cr)'!$C:$FB,8)</f>
        <v>2229.3000000000002</v>
      </c>
      <c r="C11" s="50">
        <f>VLOOKUP($A11,'Data Vlaue (Cr)'!$C:$FB,11)*100</f>
        <v>-0.13999999999999999</v>
      </c>
      <c r="D11" s="50">
        <f>VLOOKUP($A11,'Data Vlaue (Cr)'!$C:$FB,143)</f>
        <v>2935.03</v>
      </c>
      <c r="E11" s="50">
        <f>VLOOKUP($A11,'Data Vlaue (Cr)'!$C:$FB,144)</f>
        <v>3250.28</v>
      </c>
      <c r="F11" s="50">
        <f>VLOOKUP($A11,'Data Vlaue (Cr)'!$C:$FB,146)*100</f>
        <v>-9.7000000000000011</v>
      </c>
      <c r="G11" s="49">
        <f>VLOOKUP($A11,'Data Vlaue (Cr)'!$C:$FB,43)</f>
        <v>409</v>
      </c>
      <c r="H11" s="49">
        <f>VLOOKUP($A11,'Data Vlaue (Cr)'!$C:$FB,44)</f>
        <v>422</v>
      </c>
      <c r="I11" s="49">
        <f>VLOOKUP($A11,'Data Vlaue (Cr)'!$C:$FB,46)*100</f>
        <v>-3.16</v>
      </c>
      <c r="J11" s="51">
        <f>VLOOKUP($A11,'Data Vlaue (Cr)'!$C:$FB,59)</f>
        <v>1836</v>
      </c>
      <c r="K11" s="51">
        <f>VLOOKUP($A11,'Data Vlaue (Cr)'!$C:$FB,60)</f>
        <v>1860</v>
      </c>
      <c r="L11" s="51">
        <f>VLOOKUP($A11,'Data Vlaue (Cr)'!$C:$FB,62)*100</f>
        <v>-1.31</v>
      </c>
      <c r="M11" s="51">
        <f>VLOOKUP($A11,'Data Vlaue (Cr)'!$C:$FB,63)</f>
        <v>608</v>
      </c>
      <c r="N11" s="51">
        <f>VLOOKUP($A11,'Data Vlaue (Cr)'!$C:$FB,64)</f>
        <v>871</v>
      </c>
      <c r="O11" s="51">
        <f>VLOOKUP($A11,'Data Vlaue (Cr)'!$C:$FB,66)*100</f>
        <v>-30.15</v>
      </c>
    </row>
    <row r="12" spans="1:15" x14ac:dyDescent="0.25">
      <c r="A12" s="101" t="str">
        <f>'Data Vlaue (Cr)'!C7</f>
        <v>ADANIGREEN</v>
      </c>
      <c r="B12" s="50">
        <f>VLOOKUP($A12,'Data Vlaue (Cr)'!$C:$FB,8)</f>
        <v>1011</v>
      </c>
      <c r="C12" s="50">
        <f>VLOOKUP($A12,'Data Vlaue (Cr)'!$C:$FB,11)*100</f>
        <v>-0.95</v>
      </c>
      <c r="D12" s="50">
        <f>VLOOKUP($A12,'Data Vlaue (Cr)'!$C:$FB,143)</f>
        <v>1924.72</v>
      </c>
      <c r="E12" s="50">
        <f>VLOOKUP($A12,'Data Vlaue (Cr)'!$C:$FB,144)</f>
        <v>1766.78</v>
      </c>
      <c r="F12" s="50">
        <f>VLOOKUP($A12,'Data Vlaue (Cr)'!$C:$FB,146)*100</f>
        <v>8.94</v>
      </c>
      <c r="G12" s="49">
        <f>VLOOKUP($A12,'Data Vlaue (Cr)'!$C:$FB,43)</f>
        <v>274</v>
      </c>
      <c r="H12" s="49">
        <f>VLOOKUP($A12,'Data Vlaue (Cr)'!$C:$FB,44)</f>
        <v>192</v>
      </c>
      <c r="I12" s="49">
        <f>VLOOKUP($A12,'Data Vlaue (Cr)'!$C:$FB,46)*100</f>
        <v>42.24</v>
      </c>
      <c r="J12" s="51">
        <f>VLOOKUP($A12,'Data Vlaue (Cr)'!$C:$FB,59)</f>
        <v>1094</v>
      </c>
      <c r="K12" s="51">
        <f>VLOOKUP($A12,'Data Vlaue (Cr)'!$C:$FB,60)</f>
        <v>979</v>
      </c>
      <c r="L12" s="51">
        <f>VLOOKUP($A12,'Data Vlaue (Cr)'!$C:$FB,62)*100</f>
        <v>11.790000000000001</v>
      </c>
      <c r="M12" s="51">
        <f>VLOOKUP($A12,'Data Vlaue (Cr)'!$C:$FB,63)</f>
        <v>495</v>
      </c>
      <c r="N12" s="51">
        <f>VLOOKUP($A12,'Data Vlaue (Cr)'!$C:$FB,64)</f>
        <v>518</v>
      </c>
      <c r="O12" s="51">
        <f>VLOOKUP($A12,'Data Vlaue (Cr)'!$C:$FB,66)*100</f>
        <v>-4.3900000000000006</v>
      </c>
    </row>
    <row r="13" spans="1:15" x14ac:dyDescent="0.25">
      <c r="A13" s="101" t="str">
        <f>'Data Vlaue (Cr)'!C8</f>
        <v>ADANIPORTS</v>
      </c>
      <c r="B13" s="50">
        <f>VLOOKUP($A13,'Data Vlaue (Cr)'!$C:$FB,8)</f>
        <v>1495.7</v>
      </c>
      <c r="C13" s="50">
        <f>VLOOKUP($A13,'Data Vlaue (Cr)'!$C:$FB,11)*100</f>
        <v>0.63</v>
      </c>
      <c r="D13" s="50">
        <f>VLOOKUP($A13,'Data Vlaue (Cr)'!$C:$FB,143)</f>
        <v>2002.61</v>
      </c>
      <c r="E13" s="50">
        <f>VLOOKUP($A13,'Data Vlaue (Cr)'!$C:$FB,144)</f>
        <v>1825.39</v>
      </c>
      <c r="F13" s="50">
        <f>VLOOKUP($A13,'Data Vlaue (Cr)'!$C:$FB,146)*100</f>
        <v>9.7100000000000009</v>
      </c>
      <c r="G13" s="49">
        <f>VLOOKUP($A13,'Data Vlaue (Cr)'!$C:$FB,43)</f>
        <v>374</v>
      </c>
      <c r="H13" s="49">
        <f>VLOOKUP($A13,'Data Vlaue (Cr)'!$C:$FB,44)</f>
        <v>247</v>
      </c>
      <c r="I13" s="49">
        <f>VLOOKUP($A13,'Data Vlaue (Cr)'!$C:$FB,46)*100</f>
        <v>51.180000000000007</v>
      </c>
      <c r="J13" s="51">
        <f>VLOOKUP($A13,'Data Vlaue (Cr)'!$C:$FB,59)</f>
        <v>1163</v>
      </c>
      <c r="K13" s="51">
        <f>VLOOKUP($A13,'Data Vlaue (Cr)'!$C:$FB,60)</f>
        <v>1064</v>
      </c>
      <c r="L13" s="51">
        <f>VLOOKUP($A13,'Data Vlaue (Cr)'!$C:$FB,62)*100</f>
        <v>9.3000000000000007</v>
      </c>
      <c r="M13" s="51">
        <f>VLOOKUP($A13,'Data Vlaue (Cr)'!$C:$FB,63)</f>
        <v>442</v>
      </c>
      <c r="N13" s="51">
        <f>VLOOKUP($A13,'Data Vlaue (Cr)'!$C:$FB,64)</f>
        <v>480</v>
      </c>
      <c r="O13" s="51">
        <f>VLOOKUP($A13,'Data Vlaue (Cr)'!$C:$FB,66)*100</f>
        <v>-7.9200000000000008</v>
      </c>
    </row>
    <row r="14" spans="1:15" x14ac:dyDescent="0.25">
      <c r="A14" s="101" t="str">
        <f>'Data Vlaue (Cr)'!C9</f>
        <v>ALKEM</v>
      </c>
      <c r="B14" s="50">
        <f>VLOOKUP($A14,'Data Vlaue (Cr)'!$C:$FB,8)</f>
        <v>5521</v>
      </c>
      <c r="C14" s="50">
        <f>VLOOKUP($A14,'Data Vlaue (Cr)'!$C:$FB,11)*100</f>
        <v>-1.91</v>
      </c>
      <c r="D14" s="50">
        <f>VLOOKUP($A14,'Data Vlaue (Cr)'!$C:$FB,143)</f>
        <v>374.14</v>
      </c>
      <c r="E14" s="50">
        <f>VLOOKUP($A14,'Data Vlaue (Cr)'!$C:$FB,144)</f>
        <v>370.92</v>
      </c>
      <c r="F14" s="50">
        <f>VLOOKUP($A14,'Data Vlaue (Cr)'!$C:$FB,146)*100</f>
        <v>0.86999999999999988</v>
      </c>
      <c r="G14" s="49">
        <f>VLOOKUP($A14,'Data Vlaue (Cr)'!$C:$FB,43)</f>
        <v>115</v>
      </c>
      <c r="H14" s="49">
        <f>VLOOKUP($A14,'Data Vlaue (Cr)'!$C:$FB,44)</f>
        <v>125</v>
      </c>
      <c r="I14" s="49">
        <f>VLOOKUP($A14,'Data Vlaue (Cr)'!$C:$FB,46)*100</f>
        <v>-7.88</v>
      </c>
      <c r="J14" s="51">
        <f>VLOOKUP($A14,'Data Vlaue (Cr)'!$C:$FB,59)</f>
        <v>134</v>
      </c>
      <c r="K14" s="51">
        <f>VLOOKUP($A14,'Data Vlaue (Cr)'!$C:$FB,60)</f>
        <v>167</v>
      </c>
      <c r="L14" s="51">
        <f>VLOOKUP($A14,'Data Vlaue (Cr)'!$C:$FB,62)*100</f>
        <v>-19.93</v>
      </c>
      <c r="M14" s="51">
        <f>VLOOKUP($A14,'Data Vlaue (Cr)'!$C:$FB,63)</f>
        <v>121</v>
      </c>
      <c r="N14" s="51">
        <f>VLOOKUP($A14,'Data Vlaue (Cr)'!$C:$FB,64)</f>
        <v>70</v>
      </c>
      <c r="O14" s="51">
        <f>VLOOKUP($A14,'Data Vlaue (Cr)'!$C:$FB,66)*100</f>
        <v>74.180000000000007</v>
      </c>
    </row>
    <row r="15" spans="1:15" x14ac:dyDescent="0.25">
      <c r="A15" s="101" t="str">
        <f>'Data Vlaue (Cr)'!C10</f>
        <v>AMBER</v>
      </c>
      <c r="B15" s="50">
        <f>VLOOKUP($A15,'Data Vlaue (Cr)'!$C:$FB,8)</f>
        <v>6585.5</v>
      </c>
      <c r="C15" s="50">
        <f>VLOOKUP($A15,'Data Vlaue (Cr)'!$C:$FB,11)*100</f>
        <v>0.08</v>
      </c>
      <c r="D15" s="50">
        <f>VLOOKUP($A15,'Data Vlaue (Cr)'!$C:$FB,143)</f>
        <v>1171.74</v>
      </c>
      <c r="E15" s="50">
        <f>VLOOKUP($A15,'Data Vlaue (Cr)'!$C:$FB,144)</f>
        <v>2250.46</v>
      </c>
      <c r="F15" s="50">
        <f>VLOOKUP($A15,'Data Vlaue (Cr)'!$C:$FB,146)*100</f>
        <v>-47.93</v>
      </c>
      <c r="G15" s="49">
        <f>VLOOKUP($A15,'Data Vlaue (Cr)'!$C:$FB,43)</f>
        <v>129</v>
      </c>
      <c r="H15" s="49">
        <f>VLOOKUP($A15,'Data Vlaue (Cr)'!$C:$FB,44)</f>
        <v>222</v>
      </c>
      <c r="I15" s="49">
        <f>VLOOKUP($A15,'Data Vlaue (Cr)'!$C:$FB,46)*100</f>
        <v>-42.01</v>
      </c>
      <c r="J15" s="51">
        <f>VLOOKUP($A15,'Data Vlaue (Cr)'!$C:$FB,59)</f>
        <v>597</v>
      </c>
      <c r="K15" s="51">
        <f>VLOOKUP($A15,'Data Vlaue (Cr)'!$C:$FB,60)</f>
        <v>1093</v>
      </c>
      <c r="L15" s="51">
        <f>VLOOKUP($A15,'Data Vlaue (Cr)'!$C:$FB,62)*100</f>
        <v>-45.36</v>
      </c>
      <c r="M15" s="51">
        <f>VLOOKUP($A15,'Data Vlaue (Cr)'!$C:$FB,63)</f>
        <v>422</v>
      </c>
      <c r="N15" s="51">
        <f>VLOOKUP($A15,'Data Vlaue (Cr)'!$C:$FB,64)</f>
        <v>869</v>
      </c>
      <c r="O15" s="51">
        <f>VLOOKUP($A15,'Data Vlaue (Cr)'!$C:$FB,66)*100</f>
        <v>-51.459999999999994</v>
      </c>
    </row>
    <row r="16" spans="1:15" x14ac:dyDescent="0.25">
      <c r="A16" s="101" t="str">
        <f>'Data Vlaue (Cr)'!C11</f>
        <v>AMBUJACEM</v>
      </c>
      <c r="B16" s="50">
        <f>VLOOKUP($A16,'Data Vlaue (Cr)'!$C:$FB,8)</f>
        <v>535.79999999999995</v>
      </c>
      <c r="C16" s="50">
        <f>VLOOKUP($A16,'Data Vlaue (Cr)'!$C:$FB,11)*100</f>
        <v>-1.02</v>
      </c>
      <c r="D16" s="50">
        <f>VLOOKUP($A16,'Data Vlaue (Cr)'!$C:$FB,143)</f>
        <v>760.44</v>
      </c>
      <c r="E16" s="50">
        <f>VLOOKUP($A16,'Data Vlaue (Cr)'!$C:$FB,144)</f>
        <v>560.54</v>
      </c>
      <c r="F16" s="50">
        <f>VLOOKUP($A16,'Data Vlaue (Cr)'!$C:$FB,146)*100</f>
        <v>35.659999999999997</v>
      </c>
      <c r="G16" s="49">
        <f>VLOOKUP($A16,'Data Vlaue (Cr)'!$C:$FB,43)</f>
        <v>203</v>
      </c>
      <c r="H16" s="49">
        <f>VLOOKUP($A16,'Data Vlaue (Cr)'!$C:$FB,44)</f>
        <v>125</v>
      </c>
      <c r="I16" s="49">
        <f>VLOOKUP($A16,'Data Vlaue (Cr)'!$C:$FB,46)*100</f>
        <v>62.57</v>
      </c>
      <c r="J16" s="51">
        <f>VLOOKUP($A16,'Data Vlaue (Cr)'!$C:$FB,59)</f>
        <v>383</v>
      </c>
      <c r="K16" s="51">
        <f>VLOOKUP($A16,'Data Vlaue (Cr)'!$C:$FB,60)</f>
        <v>290</v>
      </c>
      <c r="L16" s="51">
        <f>VLOOKUP($A16,'Data Vlaue (Cr)'!$C:$FB,62)*100</f>
        <v>32.33</v>
      </c>
      <c r="M16" s="51">
        <f>VLOOKUP($A16,'Data Vlaue (Cr)'!$C:$FB,63)</f>
        <v>160</v>
      </c>
      <c r="N16" s="51">
        <f>VLOOKUP($A16,'Data Vlaue (Cr)'!$C:$FB,64)</f>
        <v>130</v>
      </c>
      <c r="O16" s="51">
        <f>VLOOKUP($A16,'Data Vlaue (Cr)'!$C:$FB,66)*100</f>
        <v>22.96</v>
      </c>
    </row>
    <row r="17" spans="1:15" x14ac:dyDescent="0.25">
      <c r="A17" s="101" t="str">
        <f>'Data Vlaue (Cr)'!C12</f>
        <v>ANGELONE</v>
      </c>
      <c r="B17" s="50">
        <f>VLOOKUP($A17,'Data Vlaue (Cr)'!$C:$FB,8)</f>
        <v>2479.1</v>
      </c>
      <c r="C17" s="50">
        <f>VLOOKUP($A17,'Data Vlaue (Cr)'!$C:$FB,11)*100</f>
        <v>-1.02</v>
      </c>
      <c r="D17" s="50">
        <f>VLOOKUP($A17,'Data Vlaue (Cr)'!$C:$FB,143)</f>
        <v>2707.98</v>
      </c>
      <c r="E17" s="50">
        <f>VLOOKUP($A17,'Data Vlaue (Cr)'!$C:$FB,144)</f>
        <v>1672.35</v>
      </c>
      <c r="F17" s="50">
        <f>VLOOKUP($A17,'Data Vlaue (Cr)'!$C:$FB,146)*100</f>
        <v>61.929999999999993</v>
      </c>
      <c r="G17" s="49">
        <f>VLOOKUP($A17,'Data Vlaue (Cr)'!$C:$FB,43)</f>
        <v>279</v>
      </c>
      <c r="H17" s="49">
        <f>VLOOKUP($A17,'Data Vlaue (Cr)'!$C:$FB,44)</f>
        <v>231</v>
      </c>
      <c r="I17" s="49">
        <f>VLOOKUP($A17,'Data Vlaue (Cr)'!$C:$FB,46)*100</f>
        <v>20.880000000000003</v>
      </c>
      <c r="J17" s="51">
        <f>VLOOKUP($A17,'Data Vlaue (Cr)'!$C:$FB,59)</f>
        <v>1708</v>
      </c>
      <c r="K17" s="51">
        <f>VLOOKUP($A17,'Data Vlaue (Cr)'!$C:$FB,60)</f>
        <v>964</v>
      </c>
      <c r="L17" s="51">
        <f>VLOOKUP($A17,'Data Vlaue (Cr)'!$C:$FB,62)*100</f>
        <v>77.13</v>
      </c>
      <c r="M17" s="51">
        <f>VLOOKUP($A17,'Data Vlaue (Cr)'!$C:$FB,63)</f>
        <v>588</v>
      </c>
      <c r="N17" s="51">
        <f>VLOOKUP($A17,'Data Vlaue (Cr)'!$C:$FB,64)</f>
        <v>388</v>
      </c>
      <c r="O17" s="51">
        <f>VLOOKUP($A17,'Data Vlaue (Cr)'!$C:$FB,66)*100</f>
        <v>51.43</v>
      </c>
    </row>
    <row r="18" spans="1:15" x14ac:dyDescent="0.25">
      <c r="A18" s="101" t="str">
        <f>'Data Vlaue (Cr)'!C13</f>
        <v>APLAPOLLO</v>
      </c>
      <c r="B18" s="50">
        <f>VLOOKUP($A18,'Data Vlaue (Cr)'!$C:$FB,8)</f>
        <v>1795.7</v>
      </c>
      <c r="C18" s="50">
        <f>VLOOKUP($A18,'Data Vlaue (Cr)'!$C:$FB,11)*100</f>
        <v>1.77</v>
      </c>
      <c r="D18" s="50">
        <f>VLOOKUP($A18,'Data Vlaue (Cr)'!$C:$FB,143)</f>
        <v>1167.93</v>
      </c>
      <c r="E18" s="50">
        <f>VLOOKUP($A18,'Data Vlaue (Cr)'!$C:$FB,144)</f>
        <v>1640.58</v>
      </c>
      <c r="F18" s="50">
        <f>VLOOKUP($A18,'Data Vlaue (Cr)'!$C:$FB,146)*100</f>
        <v>-28.810000000000002</v>
      </c>
      <c r="G18" s="49">
        <f>VLOOKUP($A18,'Data Vlaue (Cr)'!$C:$FB,43)</f>
        <v>233</v>
      </c>
      <c r="H18" s="49">
        <f>VLOOKUP($A18,'Data Vlaue (Cr)'!$C:$FB,44)</f>
        <v>233</v>
      </c>
      <c r="I18" s="49">
        <f>VLOOKUP($A18,'Data Vlaue (Cr)'!$C:$FB,46)*100</f>
        <v>-0.05</v>
      </c>
      <c r="J18" s="51">
        <f>VLOOKUP($A18,'Data Vlaue (Cr)'!$C:$FB,59)</f>
        <v>674</v>
      </c>
      <c r="K18" s="51">
        <f>VLOOKUP($A18,'Data Vlaue (Cr)'!$C:$FB,60)</f>
        <v>1076</v>
      </c>
      <c r="L18" s="51">
        <f>VLOOKUP($A18,'Data Vlaue (Cr)'!$C:$FB,62)*100</f>
        <v>-37.380000000000003</v>
      </c>
      <c r="M18" s="51">
        <f>VLOOKUP($A18,'Data Vlaue (Cr)'!$C:$FB,63)</f>
        <v>262</v>
      </c>
      <c r="N18" s="51">
        <f>VLOOKUP($A18,'Data Vlaue (Cr)'!$C:$FB,64)</f>
        <v>345</v>
      </c>
      <c r="O18" s="51">
        <f>VLOOKUP($A18,'Data Vlaue (Cr)'!$C:$FB,66)*100</f>
        <v>-23.849999999999998</v>
      </c>
    </row>
    <row r="19" spans="1:15" x14ac:dyDescent="0.25">
      <c r="A19" s="101" t="str">
        <f>'Data Vlaue (Cr)'!C14</f>
        <v>APOLLOHOSP</v>
      </c>
      <c r="B19" s="50">
        <f>VLOOKUP($A19,'Data Vlaue (Cr)'!$C:$FB,8)</f>
        <v>6918.5</v>
      </c>
      <c r="C19" s="50">
        <f>VLOOKUP($A19,'Data Vlaue (Cr)'!$C:$FB,11)*100</f>
        <v>-0.04</v>
      </c>
      <c r="D19" s="50">
        <f>VLOOKUP($A19,'Data Vlaue (Cr)'!$C:$FB,143)</f>
        <v>3037.62</v>
      </c>
      <c r="E19" s="50">
        <f>VLOOKUP($A19,'Data Vlaue (Cr)'!$C:$FB,144)</f>
        <v>3625.48</v>
      </c>
      <c r="F19" s="50">
        <f>VLOOKUP($A19,'Data Vlaue (Cr)'!$C:$FB,146)*100</f>
        <v>-16.21</v>
      </c>
      <c r="G19" s="49">
        <f>VLOOKUP($A19,'Data Vlaue (Cr)'!$C:$FB,43)</f>
        <v>489</v>
      </c>
      <c r="H19" s="49">
        <f>VLOOKUP($A19,'Data Vlaue (Cr)'!$C:$FB,44)</f>
        <v>366</v>
      </c>
      <c r="I19" s="49">
        <f>VLOOKUP($A19,'Data Vlaue (Cr)'!$C:$FB,46)*100</f>
        <v>33.57</v>
      </c>
      <c r="J19" s="51">
        <f>VLOOKUP($A19,'Data Vlaue (Cr)'!$C:$FB,59)</f>
        <v>1768</v>
      </c>
      <c r="K19" s="51">
        <f>VLOOKUP($A19,'Data Vlaue (Cr)'!$C:$FB,60)</f>
        <v>2046</v>
      </c>
      <c r="L19" s="51">
        <f>VLOOKUP($A19,'Data Vlaue (Cr)'!$C:$FB,62)*100</f>
        <v>-13.600000000000001</v>
      </c>
      <c r="M19" s="51">
        <f>VLOOKUP($A19,'Data Vlaue (Cr)'!$C:$FB,63)</f>
        <v>722</v>
      </c>
      <c r="N19" s="51">
        <f>VLOOKUP($A19,'Data Vlaue (Cr)'!$C:$FB,64)</f>
        <v>1108</v>
      </c>
      <c r="O19" s="51">
        <f>VLOOKUP($A19,'Data Vlaue (Cr)'!$C:$FB,66)*100</f>
        <v>-34.839999999999996</v>
      </c>
    </row>
    <row r="20" spans="1:15" x14ac:dyDescent="0.25">
      <c r="A20" s="101" t="str">
        <f>'Data Vlaue (Cr)'!C15</f>
        <v>ASHOKLEY</v>
      </c>
      <c r="B20" s="50">
        <f>VLOOKUP($A20,'Data Vlaue (Cr)'!$C:$FB,8)</f>
        <v>171.57</v>
      </c>
      <c r="C20" s="50">
        <f>VLOOKUP($A20,'Data Vlaue (Cr)'!$C:$FB,11)*100</f>
        <v>3.27</v>
      </c>
      <c r="D20" s="50">
        <f>VLOOKUP($A20,'Data Vlaue (Cr)'!$C:$FB,143)</f>
        <v>6865.26</v>
      </c>
      <c r="E20" s="50">
        <f>VLOOKUP($A20,'Data Vlaue (Cr)'!$C:$FB,144)</f>
        <v>2066.5500000000002</v>
      </c>
      <c r="F20" s="50">
        <f>VLOOKUP($A20,'Data Vlaue (Cr)'!$C:$FB,146)*100</f>
        <v>232.20999999999998</v>
      </c>
      <c r="G20" s="49">
        <f>VLOOKUP($A20,'Data Vlaue (Cr)'!$C:$FB,43)</f>
        <v>817</v>
      </c>
      <c r="H20" s="49">
        <f>VLOOKUP($A20,'Data Vlaue (Cr)'!$C:$FB,44)</f>
        <v>376</v>
      </c>
      <c r="I20" s="49">
        <f>VLOOKUP($A20,'Data Vlaue (Cr)'!$C:$FB,46)*100</f>
        <v>117.41</v>
      </c>
      <c r="J20" s="51">
        <f>VLOOKUP($A20,'Data Vlaue (Cr)'!$C:$FB,59)</f>
        <v>4072</v>
      </c>
      <c r="K20" s="51">
        <f>VLOOKUP($A20,'Data Vlaue (Cr)'!$C:$FB,60)</f>
        <v>1041</v>
      </c>
      <c r="L20" s="51">
        <f>VLOOKUP($A20,'Data Vlaue (Cr)'!$C:$FB,62)*100</f>
        <v>291.12</v>
      </c>
      <c r="M20" s="51">
        <f>VLOOKUP($A20,'Data Vlaue (Cr)'!$C:$FB,63)</f>
        <v>1971</v>
      </c>
      <c r="N20" s="51">
        <f>VLOOKUP($A20,'Data Vlaue (Cr)'!$C:$FB,64)</f>
        <v>689</v>
      </c>
      <c r="O20" s="51">
        <f>VLOOKUP($A20,'Data Vlaue (Cr)'!$C:$FB,66)*100</f>
        <v>185.95999999999998</v>
      </c>
    </row>
    <row r="21" spans="1:15" x14ac:dyDescent="0.25">
      <c r="A21" s="101" t="str">
        <f>'Data Vlaue (Cr)'!C16</f>
        <v>ASIANPAINT</v>
      </c>
      <c r="B21" s="50">
        <f>VLOOKUP($A21,'Data Vlaue (Cr)'!$C:$FB,8)</f>
        <v>2759.7</v>
      </c>
      <c r="C21" s="50">
        <f>VLOOKUP($A21,'Data Vlaue (Cr)'!$C:$FB,11)*100</f>
        <v>-0.92999999999999994</v>
      </c>
      <c r="D21" s="50">
        <f>VLOOKUP($A21,'Data Vlaue (Cr)'!$C:$FB,143)</f>
        <v>3087.04</v>
      </c>
      <c r="E21" s="50">
        <f>VLOOKUP($A21,'Data Vlaue (Cr)'!$C:$FB,144)</f>
        <v>2897.44</v>
      </c>
      <c r="F21" s="50">
        <f>VLOOKUP($A21,'Data Vlaue (Cr)'!$C:$FB,146)*100</f>
        <v>6.54</v>
      </c>
      <c r="G21" s="49">
        <f>VLOOKUP($A21,'Data Vlaue (Cr)'!$C:$FB,43)</f>
        <v>267</v>
      </c>
      <c r="H21" s="49">
        <f>VLOOKUP($A21,'Data Vlaue (Cr)'!$C:$FB,44)</f>
        <v>330</v>
      </c>
      <c r="I21" s="49">
        <f>VLOOKUP($A21,'Data Vlaue (Cr)'!$C:$FB,46)*100</f>
        <v>-19.09</v>
      </c>
      <c r="J21" s="51">
        <f>VLOOKUP($A21,'Data Vlaue (Cr)'!$C:$FB,59)</f>
        <v>1940</v>
      </c>
      <c r="K21" s="51">
        <f>VLOOKUP($A21,'Data Vlaue (Cr)'!$C:$FB,60)</f>
        <v>1801</v>
      </c>
      <c r="L21" s="51">
        <f>VLOOKUP($A21,'Data Vlaue (Cr)'!$C:$FB,62)*100</f>
        <v>7.76</v>
      </c>
      <c r="M21" s="51">
        <f>VLOOKUP($A21,'Data Vlaue (Cr)'!$C:$FB,63)</f>
        <v>796</v>
      </c>
      <c r="N21" s="51">
        <f>VLOOKUP($A21,'Data Vlaue (Cr)'!$C:$FB,64)</f>
        <v>687</v>
      </c>
      <c r="O21" s="51">
        <f>VLOOKUP($A21,'Data Vlaue (Cr)'!$C:$FB,66)*100</f>
        <v>15.870000000000001</v>
      </c>
    </row>
    <row r="22" spans="1:15" x14ac:dyDescent="0.25">
      <c r="A22" s="101" t="str">
        <f>'Data Vlaue (Cr)'!C17</f>
        <v>ASTRAL</v>
      </c>
      <c r="B22" s="50">
        <f>VLOOKUP($A22,'Data Vlaue (Cr)'!$C:$FB,8)</f>
        <v>1407.9</v>
      </c>
      <c r="C22" s="50">
        <f>VLOOKUP($A22,'Data Vlaue (Cr)'!$C:$FB,11)*100</f>
        <v>-1.47</v>
      </c>
      <c r="D22" s="50">
        <f>VLOOKUP($A22,'Data Vlaue (Cr)'!$C:$FB,143)</f>
        <v>750.09</v>
      </c>
      <c r="E22" s="50">
        <f>VLOOKUP($A22,'Data Vlaue (Cr)'!$C:$FB,144)</f>
        <v>1270.31</v>
      </c>
      <c r="F22" s="50">
        <f>VLOOKUP($A22,'Data Vlaue (Cr)'!$C:$FB,146)*100</f>
        <v>-40.949999999999996</v>
      </c>
      <c r="G22" s="49">
        <f>VLOOKUP($A22,'Data Vlaue (Cr)'!$C:$FB,43)</f>
        <v>141</v>
      </c>
      <c r="H22" s="49">
        <f>VLOOKUP($A22,'Data Vlaue (Cr)'!$C:$FB,44)</f>
        <v>177</v>
      </c>
      <c r="I22" s="49">
        <f>VLOOKUP($A22,'Data Vlaue (Cr)'!$C:$FB,46)*100</f>
        <v>-20.18</v>
      </c>
      <c r="J22" s="51">
        <f>VLOOKUP($A22,'Data Vlaue (Cr)'!$C:$FB,59)</f>
        <v>346</v>
      </c>
      <c r="K22" s="51">
        <f>VLOOKUP($A22,'Data Vlaue (Cr)'!$C:$FB,60)</f>
        <v>609</v>
      </c>
      <c r="L22" s="51">
        <f>VLOOKUP($A22,'Data Vlaue (Cr)'!$C:$FB,62)*100</f>
        <v>-43.16</v>
      </c>
      <c r="M22" s="51">
        <f>VLOOKUP($A22,'Data Vlaue (Cr)'!$C:$FB,63)</f>
        <v>243</v>
      </c>
      <c r="N22" s="51">
        <f>VLOOKUP($A22,'Data Vlaue (Cr)'!$C:$FB,64)</f>
        <v>436</v>
      </c>
      <c r="O22" s="51">
        <f>VLOOKUP($A22,'Data Vlaue (Cr)'!$C:$FB,66)*100</f>
        <v>-44.31</v>
      </c>
    </row>
    <row r="23" spans="1:15" x14ac:dyDescent="0.25">
      <c r="A23" s="101" t="str">
        <f>'Data Vlaue (Cr)'!C18</f>
        <v>AUBANK</v>
      </c>
      <c r="B23" s="50">
        <f>VLOOKUP($A23,'Data Vlaue (Cr)'!$C:$FB,8)</f>
        <v>987.65</v>
      </c>
      <c r="C23" s="50">
        <f>VLOOKUP($A23,'Data Vlaue (Cr)'!$C:$FB,11)*100</f>
        <v>-0.27</v>
      </c>
      <c r="D23" s="50">
        <f>VLOOKUP($A23,'Data Vlaue (Cr)'!$C:$FB,143)</f>
        <v>1507.44</v>
      </c>
      <c r="E23" s="50">
        <f>VLOOKUP($A23,'Data Vlaue (Cr)'!$C:$FB,144)</f>
        <v>3347.69</v>
      </c>
      <c r="F23" s="50">
        <f>VLOOKUP($A23,'Data Vlaue (Cr)'!$C:$FB,146)*100</f>
        <v>-54.97</v>
      </c>
      <c r="G23" s="49">
        <f>VLOOKUP($A23,'Data Vlaue (Cr)'!$C:$FB,43)</f>
        <v>464</v>
      </c>
      <c r="H23" s="49">
        <f>VLOOKUP($A23,'Data Vlaue (Cr)'!$C:$FB,44)</f>
        <v>630</v>
      </c>
      <c r="I23" s="49">
        <f>VLOOKUP($A23,'Data Vlaue (Cr)'!$C:$FB,46)*100</f>
        <v>-26.340000000000003</v>
      </c>
      <c r="J23" s="51">
        <f>VLOOKUP($A23,'Data Vlaue (Cr)'!$C:$FB,59)</f>
        <v>622</v>
      </c>
      <c r="K23" s="51">
        <f>VLOOKUP($A23,'Data Vlaue (Cr)'!$C:$FB,60)</f>
        <v>1890</v>
      </c>
      <c r="L23" s="51">
        <f>VLOOKUP($A23,'Data Vlaue (Cr)'!$C:$FB,62)*100</f>
        <v>-67.100000000000009</v>
      </c>
      <c r="M23" s="51">
        <f>VLOOKUP($A23,'Data Vlaue (Cr)'!$C:$FB,63)</f>
        <v>410</v>
      </c>
      <c r="N23" s="51">
        <f>VLOOKUP($A23,'Data Vlaue (Cr)'!$C:$FB,64)</f>
        <v>771</v>
      </c>
      <c r="O23" s="51">
        <f>VLOOKUP($A23,'Data Vlaue (Cr)'!$C:$FB,66)*100</f>
        <v>-46.86</v>
      </c>
    </row>
    <row r="24" spans="1:15" x14ac:dyDescent="0.25">
      <c r="A24" s="101" t="str">
        <f>'Data Vlaue (Cr)'!C19</f>
        <v>AUROPHARMA</v>
      </c>
      <c r="B24" s="50">
        <f>VLOOKUP($A24,'Data Vlaue (Cr)'!$C:$FB,8)</f>
        <v>1209.3</v>
      </c>
      <c r="C24" s="50">
        <f>VLOOKUP($A24,'Data Vlaue (Cr)'!$C:$FB,11)*100</f>
        <v>1.37</v>
      </c>
      <c r="D24" s="50">
        <f>VLOOKUP($A24,'Data Vlaue (Cr)'!$C:$FB,143)</f>
        <v>1501.61</v>
      </c>
      <c r="E24" s="50">
        <f>VLOOKUP($A24,'Data Vlaue (Cr)'!$C:$FB,144)</f>
        <v>715.18</v>
      </c>
      <c r="F24" s="50">
        <f>VLOOKUP($A24,'Data Vlaue (Cr)'!$C:$FB,146)*100</f>
        <v>109.96</v>
      </c>
      <c r="G24" s="49">
        <f>VLOOKUP($A24,'Data Vlaue (Cr)'!$C:$FB,43)</f>
        <v>345</v>
      </c>
      <c r="H24" s="49">
        <f>VLOOKUP($A24,'Data Vlaue (Cr)'!$C:$FB,44)</f>
        <v>198</v>
      </c>
      <c r="I24" s="49">
        <f>VLOOKUP($A24,'Data Vlaue (Cr)'!$C:$FB,46)*100</f>
        <v>74.489999999999995</v>
      </c>
      <c r="J24" s="51">
        <f>VLOOKUP($A24,'Data Vlaue (Cr)'!$C:$FB,59)</f>
        <v>722</v>
      </c>
      <c r="K24" s="51">
        <f>VLOOKUP($A24,'Data Vlaue (Cr)'!$C:$FB,60)</f>
        <v>383</v>
      </c>
      <c r="L24" s="51">
        <f>VLOOKUP($A24,'Data Vlaue (Cr)'!$C:$FB,62)*100</f>
        <v>88.38000000000001</v>
      </c>
      <c r="M24" s="51">
        <f>VLOOKUP($A24,'Data Vlaue (Cr)'!$C:$FB,63)</f>
        <v>428</v>
      </c>
      <c r="N24" s="51">
        <f>VLOOKUP($A24,'Data Vlaue (Cr)'!$C:$FB,64)</f>
        <v>137</v>
      </c>
      <c r="O24" s="51">
        <f>VLOOKUP($A24,'Data Vlaue (Cr)'!$C:$FB,66)*100</f>
        <v>212.04000000000002</v>
      </c>
    </row>
    <row r="25" spans="1:15" x14ac:dyDescent="0.25">
      <c r="A25" s="101" t="str">
        <f>'Data Vlaue (Cr)'!C20</f>
        <v>AXISBANK</v>
      </c>
      <c r="B25" s="50">
        <f>VLOOKUP($A25,'Data Vlaue (Cr)'!$C:$FB,8)</f>
        <v>1229.8</v>
      </c>
      <c r="C25" s="50">
        <f>VLOOKUP($A25,'Data Vlaue (Cr)'!$C:$FB,11)*100</f>
        <v>0.42</v>
      </c>
      <c r="D25" s="50">
        <f>VLOOKUP($A25,'Data Vlaue (Cr)'!$C:$FB,143)</f>
        <v>7383.42</v>
      </c>
      <c r="E25" s="50">
        <f>VLOOKUP($A25,'Data Vlaue (Cr)'!$C:$FB,144)</f>
        <v>12400.16</v>
      </c>
      <c r="F25" s="50">
        <f>VLOOKUP($A25,'Data Vlaue (Cr)'!$C:$FB,146)*100</f>
        <v>-40.46</v>
      </c>
      <c r="G25" s="49">
        <f>VLOOKUP($A25,'Data Vlaue (Cr)'!$C:$FB,43)</f>
        <v>1191</v>
      </c>
      <c r="H25" s="49">
        <f>VLOOKUP($A25,'Data Vlaue (Cr)'!$C:$FB,44)</f>
        <v>1119</v>
      </c>
      <c r="I25" s="49">
        <f>VLOOKUP($A25,'Data Vlaue (Cr)'!$C:$FB,46)*100</f>
        <v>6.41</v>
      </c>
      <c r="J25" s="51">
        <f>VLOOKUP($A25,'Data Vlaue (Cr)'!$C:$FB,59)</f>
        <v>3952</v>
      </c>
      <c r="K25" s="51">
        <f>VLOOKUP($A25,'Data Vlaue (Cr)'!$C:$FB,60)</f>
        <v>6737</v>
      </c>
      <c r="L25" s="51">
        <f>VLOOKUP($A25,'Data Vlaue (Cr)'!$C:$FB,62)*100</f>
        <v>-41.339999999999996</v>
      </c>
      <c r="M25" s="51">
        <f>VLOOKUP($A25,'Data Vlaue (Cr)'!$C:$FB,63)</f>
        <v>2152</v>
      </c>
      <c r="N25" s="51">
        <f>VLOOKUP($A25,'Data Vlaue (Cr)'!$C:$FB,64)</f>
        <v>4433</v>
      </c>
      <c r="O25" s="51">
        <f>VLOOKUP($A25,'Data Vlaue (Cr)'!$C:$FB,66)*100</f>
        <v>-51.459999999999994</v>
      </c>
    </row>
    <row r="26" spans="1:15" x14ac:dyDescent="0.25">
      <c r="A26" s="101" t="str">
        <f>'Data Vlaue (Cr)'!C21</f>
        <v>BAJAJ-AUTO</v>
      </c>
      <c r="B26" s="50">
        <f>VLOOKUP($A26,'Data Vlaue (Cr)'!$C:$FB,8)</f>
        <v>8831</v>
      </c>
      <c r="C26" s="50">
        <f>VLOOKUP($A26,'Data Vlaue (Cr)'!$C:$FB,11)*100</f>
        <v>-0.72</v>
      </c>
      <c r="D26" s="50">
        <f>VLOOKUP($A26,'Data Vlaue (Cr)'!$C:$FB,143)</f>
        <v>5199.04</v>
      </c>
      <c r="E26" s="50">
        <f>VLOOKUP($A26,'Data Vlaue (Cr)'!$C:$FB,144)</f>
        <v>3841.16</v>
      </c>
      <c r="F26" s="50">
        <f>VLOOKUP($A26,'Data Vlaue (Cr)'!$C:$FB,146)*100</f>
        <v>35.35</v>
      </c>
      <c r="G26" s="49">
        <f>VLOOKUP($A26,'Data Vlaue (Cr)'!$C:$FB,43)</f>
        <v>526</v>
      </c>
      <c r="H26" s="49">
        <f>VLOOKUP($A26,'Data Vlaue (Cr)'!$C:$FB,44)</f>
        <v>513</v>
      </c>
      <c r="I26" s="49">
        <f>VLOOKUP($A26,'Data Vlaue (Cr)'!$C:$FB,46)*100</f>
        <v>2.54</v>
      </c>
      <c r="J26" s="51">
        <f>VLOOKUP($A26,'Data Vlaue (Cr)'!$C:$FB,59)</f>
        <v>2980</v>
      </c>
      <c r="K26" s="51">
        <f>VLOOKUP($A26,'Data Vlaue (Cr)'!$C:$FB,60)</f>
        <v>1862</v>
      </c>
      <c r="L26" s="51">
        <f>VLOOKUP($A26,'Data Vlaue (Cr)'!$C:$FB,62)*100</f>
        <v>60.050000000000004</v>
      </c>
      <c r="M26" s="51">
        <f>VLOOKUP($A26,'Data Vlaue (Cr)'!$C:$FB,63)</f>
        <v>1604</v>
      </c>
      <c r="N26" s="51">
        <f>VLOOKUP($A26,'Data Vlaue (Cr)'!$C:$FB,64)</f>
        <v>1366</v>
      </c>
      <c r="O26" s="51">
        <f>VLOOKUP($A26,'Data Vlaue (Cr)'!$C:$FB,66)*100</f>
        <v>17.399999999999999</v>
      </c>
    </row>
    <row r="27" spans="1:15" x14ac:dyDescent="0.25">
      <c r="A27" s="101" t="str">
        <f>'Data Vlaue (Cr)'!C22</f>
        <v>BAJAJFINSV</v>
      </c>
      <c r="B27" s="50">
        <f>VLOOKUP($A27,'Data Vlaue (Cr)'!$C:$FB,8)</f>
        <v>2026.3</v>
      </c>
      <c r="C27" s="50">
        <f>VLOOKUP($A27,'Data Vlaue (Cr)'!$C:$FB,11)*100</f>
        <v>0.25</v>
      </c>
      <c r="D27" s="50">
        <f>VLOOKUP($A27,'Data Vlaue (Cr)'!$C:$FB,143)</f>
        <v>1464.38</v>
      </c>
      <c r="E27" s="50">
        <f>VLOOKUP($A27,'Data Vlaue (Cr)'!$C:$FB,144)</f>
        <v>1783.47</v>
      </c>
      <c r="F27" s="50">
        <f>VLOOKUP($A27,'Data Vlaue (Cr)'!$C:$FB,146)*100</f>
        <v>-17.89</v>
      </c>
      <c r="G27" s="49">
        <f>VLOOKUP($A27,'Data Vlaue (Cr)'!$C:$FB,43)</f>
        <v>429</v>
      </c>
      <c r="H27" s="49">
        <f>VLOOKUP($A27,'Data Vlaue (Cr)'!$C:$FB,44)</f>
        <v>301</v>
      </c>
      <c r="I27" s="49">
        <f>VLOOKUP($A27,'Data Vlaue (Cr)'!$C:$FB,46)*100</f>
        <v>42.4</v>
      </c>
      <c r="J27" s="51">
        <f>VLOOKUP($A27,'Data Vlaue (Cr)'!$C:$FB,59)</f>
        <v>686</v>
      </c>
      <c r="K27" s="51">
        <f>VLOOKUP($A27,'Data Vlaue (Cr)'!$C:$FB,60)</f>
        <v>867</v>
      </c>
      <c r="L27" s="51">
        <f>VLOOKUP($A27,'Data Vlaue (Cr)'!$C:$FB,62)*100</f>
        <v>-20.86</v>
      </c>
      <c r="M27" s="51">
        <f>VLOOKUP($A27,'Data Vlaue (Cr)'!$C:$FB,63)</f>
        <v>329</v>
      </c>
      <c r="N27" s="51">
        <f>VLOOKUP($A27,'Data Vlaue (Cr)'!$C:$FB,64)</f>
        <v>584</v>
      </c>
      <c r="O27" s="51">
        <f>VLOOKUP($A27,'Data Vlaue (Cr)'!$C:$FB,66)*100</f>
        <v>-43.580000000000005</v>
      </c>
    </row>
    <row r="28" spans="1:15" x14ac:dyDescent="0.25">
      <c r="A28" s="101" t="str">
        <f>'Data Vlaue (Cr)'!C23</f>
        <v>BAJFINANCE</v>
      </c>
      <c r="B28" s="50">
        <f>VLOOKUP($A28,'Data Vlaue (Cr)'!$C:$FB,8)</f>
        <v>1000.3</v>
      </c>
      <c r="C28" s="50">
        <f>VLOOKUP($A28,'Data Vlaue (Cr)'!$C:$FB,11)*100</f>
        <v>6.9999999999999993E-2</v>
      </c>
      <c r="D28" s="50">
        <f>VLOOKUP($A28,'Data Vlaue (Cr)'!$C:$FB,143)</f>
        <v>4541.8100000000004</v>
      </c>
      <c r="E28" s="50">
        <f>VLOOKUP($A28,'Data Vlaue (Cr)'!$C:$FB,144)</f>
        <v>4887.41</v>
      </c>
      <c r="F28" s="50">
        <f>VLOOKUP($A28,'Data Vlaue (Cr)'!$C:$FB,146)*100</f>
        <v>-7.07</v>
      </c>
      <c r="G28" s="49">
        <f>VLOOKUP($A28,'Data Vlaue (Cr)'!$C:$FB,43)</f>
        <v>1014</v>
      </c>
      <c r="H28" s="49">
        <f>VLOOKUP($A28,'Data Vlaue (Cr)'!$C:$FB,44)</f>
        <v>965</v>
      </c>
      <c r="I28" s="49">
        <f>VLOOKUP($A28,'Data Vlaue (Cr)'!$C:$FB,46)*100</f>
        <v>4.97</v>
      </c>
      <c r="J28" s="51">
        <f>VLOOKUP($A28,'Data Vlaue (Cr)'!$C:$FB,59)</f>
        <v>2310</v>
      </c>
      <c r="K28" s="51">
        <f>VLOOKUP($A28,'Data Vlaue (Cr)'!$C:$FB,60)</f>
        <v>2592</v>
      </c>
      <c r="L28" s="51">
        <f>VLOOKUP($A28,'Data Vlaue (Cr)'!$C:$FB,62)*100</f>
        <v>-10.879999999999999</v>
      </c>
      <c r="M28" s="51">
        <f>VLOOKUP($A28,'Data Vlaue (Cr)'!$C:$FB,63)</f>
        <v>1118</v>
      </c>
      <c r="N28" s="51">
        <f>VLOOKUP($A28,'Data Vlaue (Cr)'!$C:$FB,64)</f>
        <v>1219</v>
      </c>
      <c r="O28" s="51">
        <f>VLOOKUP($A28,'Data Vlaue (Cr)'!$C:$FB,66)*100</f>
        <v>-8.2799999999999994</v>
      </c>
    </row>
    <row r="29" spans="1:15" x14ac:dyDescent="0.25">
      <c r="A29" s="101" t="str">
        <f>'Data Vlaue (Cr)'!C24</f>
        <v>BANDHANBNK</v>
      </c>
      <c r="B29" s="50">
        <f>VLOOKUP($A29,'Data Vlaue (Cr)'!$C:$FB,8)</f>
        <v>145.33000000000001</v>
      </c>
      <c r="C29" s="50">
        <f>VLOOKUP($A29,'Data Vlaue (Cr)'!$C:$FB,11)*100</f>
        <v>-1.7000000000000002</v>
      </c>
      <c r="D29" s="50">
        <f>VLOOKUP($A29,'Data Vlaue (Cr)'!$C:$FB,143)</f>
        <v>43.19</v>
      </c>
      <c r="E29" s="50">
        <f>VLOOKUP($A29,'Data Vlaue (Cr)'!$C:$FB,144)</f>
        <v>36.18</v>
      </c>
      <c r="F29" s="50">
        <f>VLOOKUP($A29,'Data Vlaue (Cr)'!$C:$FB,146)*100</f>
        <v>19.39</v>
      </c>
      <c r="G29" s="49">
        <f>VLOOKUP($A29,'Data Vlaue (Cr)'!$C:$FB,43)</f>
        <v>13</v>
      </c>
      <c r="H29" s="49">
        <f>VLOOKUP($A29,'Data Vlaue (Cr)'!$C:$FB,44)</f>
        <v>5</v>
      </c>
      <c r="I29" s="49">
        <f>VLOOKUP($A29,'Data Vlaue (Cr)'!$C:$FB,46)*100</f>
        <v>159.78</v>
      </c>
      <c r="J29" s="51">
        <f>VLOOKUP($A29,'Data Vlaue (Cr)'!$C:$FB,59)</f>
        <v>23</v>
      </c>
      <c r="K29" s="51">
        <f>VLOOKUP($A29,'Data Vlaue (Cr)'!$C:$FB,60)</f>
        <v>25</v>
      </c>
      <c r="L29" s="51">
        <f>VLOOKUP($A29,'Data Vlaue (Cr)'!$C:$FB,62)*100</f>
        <v>-8.5299999999999994</v>
      </c>
      <c r="M29" s="51">
        <f>VLOOKUP($A29,'Data Vlaue (Cr)'!$C:$FB,63)</f>
        <v>6</v>
      </c>
      <c r="N29" s="51">
        <f>VLOOKUP($A29,'Data Vlaue (Cr)'!$C:$FB,64)</f>
        <v>4</v>
      </c>
      <c r="O29" s="51">
        <f>VLOOKUP($A29,'Data Vlaue (Cr)'!$C:$FB,66)*100</f>
        <v>44.16</v>
      </c>
    </row>
    <row r="30" spans="1:15" x14ac:dyDescent="0.25">
      <c r="A30" s="101" t="str">
        <f>'Data Vlaue (Cr)'!C25</f>
        <v>BANKBARODA</v>
      </c>
      <c r="B30" s="50">
        <f>VLOOKUP($A30,'Data Vlaue (Cr)'!$C:$FB,8)</f>
        <v>288.10000000000002</v>
      </c>
      <c r="C30" s="50">
        <f>VLOOKUP($A30,'Data Vlaue (Cr)'!$C:$FB,11)*100</f>
        <v>0.16999999999999998</v>
      </c>
      <c r="D30" s="50">
        <f>VLOOKUP($A30,'Data Vlaue (Cr)'!$C:$FB,143)</f>
        <v>2529.2600000000002</v>
      </c>
      <c r="E30" s="50">
        <f>VLOOKUP($A30,'Data Vlaue (Cr)'!$C:$FB,144)</f>
        <v>3563.96</v>
      </c>
      <c r="F30" s="50">
        <f>VLOOKUP($A30,'Data Vlaue (Cr)'!$C:$FB,146)*100</f>
        <v>-29.03</v>
      </c>
      <c r="G30" s="49">
        <f>VLOOKUP($A30,'Data Vlaue (Cr)'!$C:$FB,43)</f>
        <v>360</v>
      </c>
      <c r="H30" s="49">
        <f>VLOOKUP($A30,'Data Vlaue (Cr)'!$C:$FB,44)</f>
        <v>557</v>
      </c>
      <c r="I30" s="49">
        <f>VLOOKUP($A30,'Data Vlaue (Cr)'!$C:$FB,46)*100</f>
        <v>-35.370000000000005</v>
      </c>
      <c r="J30" s="51">
        <f>VLOOKUP($A30,'Data Vlaue (Cr)'!$C:$FB,59)</f>
        <v>1368</v>
      </c>
      <c r="K30" s="51">
        <f>VLOOKUP($A30,'Data Vlaue (Cr)'!$C:$FB,60)</f>
        <v>1948</v>
      </c>
      <c r="L30" s="51">
        <f>VLOOKUP($A30,'Data Vlaue (Cr)'!$C:$FB,62)*100</f>
        <v>-29.770000000000003</v>
      </c>
      <c r="M30" s="51">
        <f>VLOOKUP($A30,'Data Vlaue (Cr)'!$C:$FB,63)</f>
        <v>765</v>
      </c>
      <c r="N30" s="51">
        <f>VLOOKUP($A30,'Data Vlaue (Cr)'!$C:$FB,64)</f>
        <v>1019</v>
      </c>
      <c r="O30" s="51">
        <f>VLOOKUP($A30,'Data Vlaue (Cr)'!$C:$FB,66)*100</f>
        <v>-24.92</v>
      </c>
    </row>
    <row r="31" spans="1:15" x14ac:dyDescent="0.25">
      <c r="A31" s="101" t="str">
        <f>'Data Vlaue (Cr)'!C26</f>
        <v>BANKINDIA</v>
      </c>
      <c r="B31" s="50">
        <f>VLOOKUP($A31,'Data Vlaue (Cr)'!$C:$FB,8)</f>
        <v>142.30000000000001</v>
      </c>
      <c r="C31" s="50">
        <f>VLOOKUP($A31,'Data Vlaue (Cr)'!$C:$FB,11)*100</f>
        <v>0.24</v>
      </c>
      <c r="D31" s="50">
        <f>VLOOKUP($A31,'Data Vlaue (Cr)'!$C:$FB,143)</f>
        <v>456.59</v>
      </c>
      <c r="E31" s="50">
        <f>VLOOKUP($A31,'Data Vlaue (Cr)'!$C:$FB,144)</f>
        <v>820.37</v>
      </c>
      <c r="F31" s="50">
        <f>VLOOKUP($A31,'Data Vlaue (Cr)'!$C:$FB,146)*100</f>
        <v>-44.34</v>
      </c>
      <c r="G31" s="49">
        <f>VLOOKUP($A31,'Data Vlaue (Cr)'!$C:$FB,43)</f>
        <v>118</v>
      </c>
      <c r="H31" s="49">
        <f>VLOOKUP($A31,'Data Vlaue (Cr)'!$C:$FB,44)</f>
        <v>157</v>
      </c>
      <c r="I31" s="49">
        <f>VLOOKUP($A31,'Data Vlaue (Cr)'!$C:$FB,46)*100</f>
        <v>-24.66</v>
      </c>
      <c r="J31" s="51">
        <f>VLOOKUP($A31,'Data Vlaue (Cr)'!$C:$FB,59)</f>
        <v>195</v>
      </c>
      <c r="K31" s="51">
        <f>VLOOKUP($A31,'Data Vlaue (Cr)'!$C:$FB,60)</f>
        <v>480</v>
      </c>
      <c r="L31" s="51">
        <f>VLOOKUP($A31,'Data Vlaue (Cr)'!$C:$FB,62)*100</f>
        <v>-59.37</v>
      </c>
      <c r="M31" s="51">
        <f>VLOOKUP($A31,'Data Vlaue (Cr)'!$C:$FB,63)</f>
        <v>143</v>
      </c>
      <c r="N31" s="51">
        <f>VLOOKUP($A31,'Data Vlaue (Cr)'!$C:$FB,64)</f>
        <v>173</v>
      </c>
      <c r="O31" s="51">
        <f>VLOOKUP($A31,'Data Vlaue (Cr)'!$C:$FB,66)*100</f>
        <v>-17.66</v>
      </c>
    </row>
    <row r="32" spans="1:15" x14ac:dyDescent="0.25">
      <c r="A32" s="101" t="str">
        <f>'Data Vlaue (Cr)'!C27</f>
        <v>BANKNIFTY</v>
      </c>
      <c r="B32" s="50">
        <f>VLOOKUP($A32,'Data Vlaue (Cr)'!$C:$FB,8)</f>
        <v>58912.85</v>
      </c>
      <c r="C32" s="50">
        <f>VLOOKUP($A32,'Data Vlaue (Cr)'!$C:$FB,11)*100</f>
        <v>-0.02</v>
      </c>
      <c r="D32" s="50">
        <f>VLOOKUP($A32,'Data Vlaue (Cr)'!$C:$FB,143)</f>
        <v>700734.58</v>
      </c>
      <c r="E32" s="50">
        <f>VLOOKUP($A32,'Data Vlaue (Cr)'!$C:$FB,144)</f>
        <v>582125.37</v>
      </c>
      <c r="F32" s="50">
        <f>VLOOKUP($A32,'Data Vlaue (Cr)'!$C:$FB,146)*100</f>
        <v>20.380000000000003</v>
      </c>
      <c r="G32" s="49">
        <f>VLOOKUP($A32,'Data Vlaue (Cr)'!$C:$FB,43)</f>
        <v>5497</v>
      </c>
      <c r="H32" s="49">
        <f>VLOOKUP($A32,'Data Vlaue (Cr)'!$C:$FB,44)</f>
        <v>4543</v>
      </c>
      <c r="I32" s="49">
        <f>VLOOKUP($A32,'Data Vlaue (Cr)'!$C:$FB,46)*100</f>
        <v>20.990000000000002</v>
      </c>
      <c r="J32" s="51">
        <f>VLOOKUP($A32,'Data Vlaue (Cr)'!$C:$FB,59)</f>
        <v>361309</v>
      </c>
      <c r="K32" s="51">
        <f>VLOOKUP($A32,'Data Vlaue (Cr)'!$C:$FB,60)</f>
        <v>293232</v>
      </c>
      <c r="L32" s="51">
        <f>VLOOKUP($A32,'Data Vlaue (Cr)'!$C:$FB,62)*100</f>
        <v>23.22</v>
      </c>
      <c r="M32" s="51">
        <f>VLOOKUP($A32,'Data Vlaue (Cr)'!$C:$FB,63)</f>
        <v>332389</v>
      </c>
      <c r="N32" s="51">
        <f>VLOOKUP($A32,'Data Vlaue (Cr)'!$C:$FB,64)</f>
        <v>282172</v>
      </c>
      <c r="O32" s="51">
        <f>VLOOKUP($A32,'Data Vlaue (Cr)'!$C:$FB,66)*100</f>
        <v>17.8</v>
      </c>
    </row>
    <row r="33" spans="1:15" x14ac:dyDescent="0.25">
      <c r="A33" s="101" t="str">
        <f>'Data Vlaue (Cr)'!C28</f>
        <v>BDL</v>
      </c>
      <c r="B33" s="50">
        <f>VLOOKUP($A33,'Data Vlaue (Cr)'!$C:$FB,8)</f>
        <v>1342.5</v>
      </c>
      <c r="C33" s="50">
        <f>VLOOKUP($A33,'Data Vlaue (Cr)'!$C:$FB,11)*100</f>
        <v>1.37</v>
      </c>
      <c r="D33" s="50">
        <f>VLOOKUP($A33,'Data Vlaue (Cr)'!$C:$FB,143)</f>
        <v>2434.44</v>
      </c>
      <c r="E33" s="50">
        <f>VLOOKUP($A33,'Data Vlaue (Cr)'!$C:$FB,144)</f>
        <v>2459.65</v>
      </c>
      <c r="F33" s="50">
        <f>VLOOKUP($A33,'Data Vlaue (Cr)'!$C:$FB,146)*100</f>
        <v>-1.02</v>
      </c>
      <c r="G33" s="49">
        <f>VLOOKUP($A33,'Data Vlaue (Cr)'!$C:$FB,43)</f>
        <v>215</v>
      </c>
      <c r="H33" s="49">
        <f>VLOOKUP($A33,'Data Vlaue (Cr)'!$C:$FB,44)</f>
        <v>188</v>
      </c>
      <c r="I33" s="49">
        <f>VLOOKUP($A33,'Data Vlaue (Cr)'!$C:$FB,46)*100</f>
        <v>14.180000000000001</v>
      </c>
      <c r="J33" s="51">
        <f>VLOOKUP($A33,'Data Vlaue (Cr)'!$C:$FB,59)</f>
        <v>1430</v>
      </c>
      <c r="K33" s="51">
        <f>VLOOKUP($A33,'Data Vlaue (Cr)'!$C:$FB,60)</f>
        <v>1327</v>
      </c>
      <c r="L33" s="51">
        <f>VLOOKUP($A33,'Data Vlaue (Cr)'!$C:$FB,62)*100</f>
        <v>7.7700000000000005</v>
      </c>
      <c r="M33" s="51">
        <f>VLOOKUP($A33,'Data Vlaue (Cr)'!$C:$FB,63)</f>
        <v>701</v>
      </c>
      <c r="N33" s="51">
        <f>VLOOKUP($A33,'Data Vlaue (Cr)'!$C:$FB,64)</f>
        <v>837</v>
      </c>
      <c r="O33" s="51">
        <f>VLOOKUP($A33,'Data Vlaue (Cr)'!$C:$FB,66)*100</f>
        <v>-16.329999999999998</v>
      </c>
    </row>
    <row r="34" spans="1:15" x14ac:dyDescent="0.25">
      <c r="A34" s="101" t="str">
        <f>'Data Vlaue (Cr)'!C29</f>
        <v>BEL</v>
      </c>
      <c r="B34" s="50">
        <f>VLOOKUP($A34,'Data Vlaue (Cr)'!$C:$FB,8)</f>
        <v>383.45</v>
      </c>
      <c r="C34" s="50">
        <f>VLOOKUP($A34,'Data Vlaue (Cr)'!$C:$FB,11)*100</f>
        <v>-0.55999999999999994</v>
      </c>
      <c r="D34" s="50">
        <f>VLOOKUP($A34,'Data Vlaue (Cr)'!$C:$FB,143)</f>
        <v>5886.93</v>
      </c>
      <c r="E34" s="50">
        <f>VLOOKUP($A34,'Data Vlaue (Cr)'!$C:$FB,144)</f>
        <v>4234.9799999999996</v>
      </c>
      <c r="F34" s="50">
        <f>VLOOKUP($A34,'Data Vlaue (Cr)'!$C:$FB,146)*100</f>
        <v>39.01</v>
      </c>
      <c r="G34" s="49">
        <f>VLOOKUP($A34,'Data Vlaue (Cr)'!$C:$FB,43)</f>
        <v>751</v>
      </c>
      <c r="H34" s="49">
        <f>VLOOKUP($A34,'Data Vlaue (Cr)'!$C:$FB,44)</f>
        <v>548</v>
      </c>
      <c r="I34" s="49">
        <f>VLOOKUP($A34,'Data Vlaue (Cr)'!$C:$FB,46)*100</f>
        <v>36.950000000000003</v>
      </c>
      <c r="J34" s="51">
        <f>VLOOKUP($A34,'Data Vlaue (Cr)'!$C:$FB,59)</f>
        <v>3329</v>
      </c>
      <c r="K34" s="51">
        <f>VLOOKUP($A34,'Data Vlaue (Cr)'!$C:$FB,60)</f>
        <v>2513</v>
      </c>
      <c r="L34" s="51">
        <f>VLOOKUP($A34,'Data Vlaue (Cr)'!$C:$FB,62)*100</f>
        <v>32.46</v>
      </c>
      <c r="M34" s="51">
        <f>VLOOKUP($A34,'Data Vlaue (Cr)'!$C:$FB,63)</f>
        <v>1609</v>
      </c>
      <c r="N34" s="51">
        <f>VLOOKUP($A34,'Data Vlaue (Cr)'!$C:$FB,64)</f>
        <v>990</v>
      </c>
      <c r="O34" s="51">
        <f>VLOOKUP($A34,'Data Vlaue (Cr)'!$C:$FB,66)*100</f>
        <v>62.519999999999996</v>
      </c>
    </row>
    <row r="35" spans="1:15" x14ac:dyDescent="0.25">
      <c r="A35" s="101" t="str">
        <f>'Data Vlaue (Cr)'!C30</f>
        <v>BHARATFORG</v>
      </c>
      <c r="B35" s="50">
        <f>VLOOKUP($A35,'Data Vlaue (Cr)'!$C:$FB,8)</f>
        <v>1407.5</v>
      </c>
      <c r="C35" s="50">
        <f>VLOOKUP($A35,'Data Vlaue (Cr)'!$C:$FB,11)*100</f>
        <v>-0.41000000000000003</v>
      </c>
      <c r="D35" s="50">
        <f>VLOOKUP($A35,'Data Vlaue (Cr)'!$C:$FB,143)</f>
        <v>1015.39</v>
      </c>
      <c r="E35" s="50">
        <f>VLOOKUP($A35,'Data Vlaue (Cr)'!$C:$FB,144)</f>
        <v>953.08</v>
      </c>
      <c r="F35" s="50">
        <f>VLOOKUP($A35,'Data Vlaue (Cr)'!$C:$FB,146)*100</f>
        <v>6.54</v>
      </c>
      <c r="G35" s="49">
        <f>VLOOKUP($A35,'Data Vlaue (Cr)'!$C:$FB,43)</f>
        <v>174</v>
      </c>
      <c r="H35" s="49">
        <f>VLOOKUP($A35,'Data Vlaue (Cr)'!$C:$FB,44)</f>
        <v>194</v>
      </c>
      <c r="I35" s="49">
        <f>VLOOKUP($A35,'Data Vlaue (Cr)'!$C:$FB,46)*100</f>
        <v>-10.16</v>
      </c>
      <c r="J35" s="51">
        <f>VLOOKUP($A35,'Data Vlaue (Cr)'!$C:$FB,59)</f>
        <v>480</v>
      </c>
      <c r="K35" s="51">
        <f>VLOOKUP($A35,'Data Vlaue (Cr)'!$C:$FB,60)</f>
        <v>519</v>
      </c>
      <c r="L35" s="51">
        <f>VLOOKUP($A35,'Data Vlaue (Cr)'!$C:$FB,62)*100</f>
        <v>-7.42</v>
      </c>
      <c r="M35" s="51">
        <f>VLOOKUP($A35,'Data Vlaue (Cr)'!$C:$FB,63)</f>
        <v>354</v>
      </c>
      <c r="N35" s="51">
        <f>VLOOKUP($A35,'Data Vlaue (Cr)'!$C:$FB,64)</f>
        <v>227</v>
      </c>
      <c r="O35" s="51">
        <f>VLOOKUP($A35,'Data Vlaue (Cr)'!$C:$FB,66)*100</f>
        <v>56.35</v>
      </c>
    </row>
    <row r="36" spans="1:15" x14ac:dyDescent="0.25">
      <c r="A36" s="101" t="str">
        <f>'Data Vlaue (Cr)'!C31</f>
        <v>BHARTIARTL</v>
      </c>
      <c r="B36" s="50">
        <f>VLOOKUP($A36,'Data Vlaue (Cr)'!$C:$FB,8)</f>
        <v>2092</v>
      </c>
      <c r="C36" s="50">
        <f>VLOOKUP($A36,'Data Vlaue (Cr)'!$C:$FB,11)*100</f>
        <v>-0.76</v>
      </c>
      <c r="D36" s="50">
        <f>VLOOKUP($A36,'Data Vlaue (Cr)'!$C:$FB,143)</f>
        <v>6595.29</v>
      </c>
      <c r="E36" s="50">
        <f>VLOOKUP($A36,'Data Vlaue (Cr)'!$C:$FB,144)</f>
        <v>7923.78</v>
      </c>
      <c r="F36" s="50">
        <f>VLOOKUP($A36,'Data Vlaue (Cr)'!$C:$FB,146)*100</f>
        <v>-16.77</v>
      </c>
      <c r="G36" s="49">
        <f>VLOOKUP($A36,'Data Vlaue (Cr)'!$C:$FB,43)</f>
        <v>1099</v>
      </c>
      <c r="H36" s="49">
        <f>VLOOKUP($A36,'Data Vlaue (Cr)'!$C:$FB,44)</f>
        <v>845</v>
      </c>
      <c r="I36" s="49">
        <f>VLOOKUP($A36,'Data Vlaue (Cr)'!$C:$FB,46)*100</f>
        <v>30.06</v>
      </c>
      <c r="J36" s="51">
        <f>VLOOKUP($A36,'Data Vlaue (Cr)'!$C:$FB,59)</f>
        <v>3557</v>
      </c>
      <c r="K36" s="51">
        <f>VLOOKUP($A36,'Data Vlaue (Cr)'!$C:$FB,60)</f>
        <v>4604</v>
      </c>
      <c r="L36" s="51">
        <f>VLOOKUP($A36,'Data Vlaue (Cr)'!$C:$FB,62)*100</f>
        <v>-22.74</v>
      </c>
      <c r="M36" s="51">
        <f>VLOOKUP($A36,'Data Vlaue (Cr)'!$C:$FB,63)</f>
        <v>1846</v>
      </c>
      <c r="N36" s="51">
        <f>VLOOKUP($A36,'Data Vlaue (Cr)'!$C:$FB,64)</f>
        <v>2350</v>
      </c>
      <c r="O36" s="51">
        <f>VLOOKUP($A36,'Data Vlaue (Cr)'!$C:$FB,66)*100</f>
        <v>-21.42</v>
      </c>
    </row>
    <row r="37" spans="1:15" x14ac:dyDescent="0.25">
      <c r="A37" s="101" t="str">
        <f>'Data Vlaue (Cr)'!C32</f>
        <v>BHEL</v>
      </c>
      <c r="B37" s="50">
        <f>VLOOKUP($A37,'Data Vlaue (Cr)'!$C:$FB,8)</f>
        <v>275.05</v>
      </c>
      <c r="C37" s="50">
        <f>VLOOKUP($A37,'Data Vlaue (Cr)'!$C:$FB,11)*100</f>
        <v>-1.01</v>
      </c>
      <c r="D37" s="50">
        <f>VLOOKUP($A37,'Data Vlaue (Cr)'!$C:$FB,143)</f>
        <v>2807.99</v>
      </c>
      <c r="E37" s="50">
        <f>VLOOKUP($A37,'Data Vlaue (Cr)'!$C:$FB,144)</f>
        <v>1745.71</v>
      </c>
      <c r="F37" s="50">
        <f>VLOOKUP($A37,'Data Vlaue (Cr)'!$C:$FB,146)*100</f>
        <v>60.85</v>
      </c>
      <c r="G37" s="49">
        <f>VLOOKUP($A37,'Data Vlaue (Cr)'!$C:$FB,43)</f>
        <v>319</v>
      </c>
      <c r="H37" s="49">
        <f>VLOOKUP($A37,'Data Vlaue (Cr)'!$C:$FB,44)</f>
        <v>220</v>
      </c>
      <c r="I37" s="49">
        <f>VLOOKUP($A37,'Data Vlaue (Cr)'!$C:$FB,46)*100</f>
        <v>45.07</v>
      </c>
      <c r="J37" s="51">
        <f>VLOOKUP($A37,'Data Vlaue (Cr)'!$C:$FB,59)</f>
        <v>1650</v>
      </c>
      <c r="K37" s="51">
        <f>VLOOKUP($A37,'Data Vlaue (Cr)'!$C:$FB,60)</f>
        <v>1100</v>
      </c>
      <c r="L37" s="51">
        <f>VLOOKUP($A37,'Data Vlaue (Cr)'!$C:$FB,62)*100</f>
        <v>50.06</v>
      </c>
      <c r="M37" s="51">
        <f>VLOOKUP($A37,'Data Vlaue (Cr)'!$C:$FB,63)</f>
        <v>758</v>
      </c>
      <c r="N37" s="51">
        <f>VLOOKUP($A37,'Data Vlaue (Cr)'!$C:$FB,64)</f>
        <v>353</v>
      </c>
      <c r="O37" s="51">
        <f>VLOOKUP($A37,'Data Vlaue (Cr)'!$C:$FB,66)*100</f>
        <v>114.84</v>
      </c>
    </row>
    <row r="38" spans="1:15" x14ac:dyDescent="0.25">
      <c r="A38" s="101" t="str">
        <f>'Data Vlaue (Cr)'!C33</f>
        <v>BIOCON</v>
      </c>
      <c r="B38" s="50">
        <f>VLOOKUP($A38,'Data Vlaue (Cr)'!$C:$FB,8)</f>
        <v>392.25</v>
      </c>
      <c r="C38" s="50">
        <f>VLOOKUP($A38,'Data Vlaue (Cr)'!$C:$FB,11)*100</f>
        <v>1.59</v>
      </c>
      <c r="D38" s="50">
        <f>VLOOKUP($A38,'Data Vlaue (Cr)'!$C:$FB,143)</f>
        <v>2688.02</v>
      </c>
      <c r="E38" s="50">
        <f>VLOOKUP($A38,'Data Vlaue (Cr)'!$C:$FB,144)</f>
        <v>1130.8</v>
      </c>
      <c r="F38" s="50">
        <f>VLOOKUP($A38,'Data Vlaue (Cr)'!$C:$FB,146)*100</f>
        <v>137.71</v>
      </c>
      <c r="G38" s="49">
        <f>VLOOKUP($A38,'Data Vlaue (Cr)'!$C:$FB,43)</f>
        <v>396</v>
      </c>
      <c r="H38" s="49">
        <f>VLOOKUP($A38,'Data Vlaue (Cr)'!$C:$FB,44)</f>
        <v>146</v>
      </c>
      <c r="I38" s="49">
        <f>VLOOKUP($A38,'Data Vlaue (Cr)'!$C:$FB,46)*100</f>
        <v>171.45999999999998</v>
      </c>
      <c r="J38" s="51">
        <f>VLOOKUP($A38,'Data Vlaue (Cr)'!$C:$FB,59)</f>
        <v>1559</v>
      </c>
      <c r="K38" s="51">
        <f>VLOOKUP($A38,'Data Vlaue (Cr)'!$C:$FB,60)</f>
        <v>726</v>
      </c>
      <c r="L38" s="51">
        <f>VLOOKUP($A38,'Data Vlaue (Cr)'!$C:$FB,62)*100</f>
        <v>114.8</v>
      </c>
      <c r="M38" s="51">
        <f>VLOOKUP($A38,'Data Vlaue (Cr)'!$C:$FB,63)</f>
        <v>702</v>
      </c>
      <c r="N38" s="51">
        <f>VLOOKUP($A38,'Data Vlaue (Cr)'!$C:$FB,64)</f>
        <v>245</v>
      </c>
      <c r="O38" s="51">
        <f>VLOOKUP($A38,'Data Vlaue (Cr)'!$C:$FB,66)*100</f>
        <v>187.01000000000002</v>
      </c>
    </row>
    <row r="39" spans="1:15" x14ac:dyDescent="0.25">
      <c r="A39" s="101" t="str">
        <f>'Data Vlaue (Cr)'!C34</f>
        <v>BLUESTARCO</v>
      </c>
      <c r="B39" s="50">
        <f>VLOOKUP($A39,'Data Vlaue (Cr)'!$C:$FB,8)</f>
        <v>1854.6</v>
      </c>
      <c r="C39" s="50">
        <f>VLOOKUP($A39,'Data Vlaue (Cr)'!$C:$FB,11)*100</f>
        <v>1.52</v>
      </c>
      <c r="D39" s="50">
        <f>VLOOKUP($A39,'Data Vlaue (Cr)'!$C:$FB,143)</f>
        <v>627.09</v>
      </c>
      <c r="E39" s="50">
        <f>VLOOKUP($A39,'Data Vlaue (Cr)'!$C:$FB,144)</f>
        <v>284.22000000000003</v>
      </c>
      <c r="F39" s="50">
        <f>VLOOKUP($A39,'Data Vlaue (Cr)'!$C:$FB,146)*100</f>
        <v>120.63999999999999</v>
      </c>
      <c r="G39" s="49">
        <f>VLOOKUP($A39,'Data Vlaue (Cr)'!$C:$FB,43)</f>
        <v>99</v>
      </c>
      <c r="H39" s="49">
        <f>VLOOKUP($A39,'Data Vlaue (Cr)'!$C:$FB,44)</f>
        <v>49</v>
      </c>
      <c r="I39" s="49">
        <f>VLOOKUP($A39,'Data Vlaue (Cr)'!$C:$FB,46)*100</f>
        <v>101.23</v>
      </c>
      <c r="J39" s="51">
        <f>VLOOKUP($A39,'Data Vlaue (Cr)'!$C:$FB,59)</f>
        <v>321</v>
      </c>
      <c r="K39" s="51">
        <f>VLOOKUP($A39,'Data Vlaue (Cr)'!$C:$FB,60)</f>
        <v>191</v>
      </c>
      <c r="L39" s="51">
        <f>VLOOKUP($A39,'Data Vlaue (Cr)'!$C:$FB,62)*100</f>
        <v>67.88</v>
      </c>
      <c r="M39" s="51">
        <f>VLOOKUP($A39,'Data Vlaue (Cr)'!$C:$FB,63)</f>
        <v>209</v>
      </c>
      <c r="N39" s="51">
        <f>VLOOKUP($A39,'Data Vlaue (Cr)'!$C:$FB,64)</f>
        <v>44</v>
      </c>
      <c r="O39" s="51">
        <f>VLOOKUP($A39,'Data Vlaue (Cr)'!$C:$FB,66)*100</f>
        <v>377.03000000000003</v>
      </c>
    </row>
    <row r="40" spans="1:15" x14ac:dyDescent="0.25">
      <c r="A40" s="101" t="str">
        <f>'Data Vlaue (Cr)'!C35</f>
        <v>BOSCHLTD</v>
      </c>
      <c r="B40" s="50">
        <f>VLOOKUP($A40,'Data Vlaue (Cr)'!$C:$FB,8)</f>
        <v>35720</v>
      </c>
      <c r="C40" s="50">
        <f>VLOOKUP($A40,'Data Vlaue (Cr)'!$C:$FB,11)*100</f>
        <v>-0.71000000000000008</v>
      </c>
      <c r="D40" s="50">
        <f>VLOOKUP($A40,'Data Vlaue (Cr)'!$C:$FB,143)</f>
        <v>674.46</v>
      </c>
      <c r="E40" s="50">
        <f>VLOOKUP($A40,'Data Vlaue (Cr)'!$C:$FB,144)</f>
        <v>692.94</v>
      </c>
      <c r="F40" s="50">
        <f>VLOOKUP($A40,'Data Vlaue (Cr)'!$C:$FB,146)*100</f>
        <v>-2.67</v>
      </c>
      <c r="G40" s="49">
        <f>VLOOKUP($A40,'Data Vlaue (Cr)'!$C:$FB,43)</f>
        <v>104</v>
      </c>
      <c r="H40" s="49">
        <f>VLOOKUP($A40,'Data Vlaue (Cr)'!$C:$FB,44)</f>
        <v>74</v>
      </c>
      <c r="I40" s="49">
        <f>VLOOKUP($A40,'Data Vlaue (Cr)'!$C:$FB,46)*100</f>
        <v>39.26</v>
      </c>
      <c r="J40" s="51">
        <f>VLOOKUP($A40,'Data Vlaue (Cr)'!$C:$FB,59)</f>
        <v>455</v>
      </c>
      <c r="K40" s="51">
        <f>VLOOKUP($A40,'Data Vlaue (Cr)'!$C:$FB,60)</f>
        <v>502</v>
      </c>
      <c r="L40" s="51">
        <f>VLOOKUP($A40,'Data Vlaue (Cr)'!$C:$FB,62)*100</f>
        <v>-9.4600000000000009</v>
      </c>
      <c r="M40" s="51">
        <f>VLOOKUP($A40,'Data Vlaue (Cr)'!$C:$FB,63)</f>
        <v>89</v>
      </c>
      <c r="N40" s="51">
        <f>VLOOKUP($A40,'Data Vlaue (Cr)'!$C:$FB,64)</f>
        <v>75</v>
      </c>
      <c r="O40" s="51">
        <f>VLOOKUP($A40,'Data Vlaue (Cr)'!$C:$FB,66)*100</f>
        <v>18.809999999999999</v>
      </c>
    </row>
    <row r="41" spans="1:15" x14ac:dyDescent="0.25">
      <c r="A41" s="101" t="str">
        <f>'Data Vlaue (Cr)'!C36</f>
        <v>BPCL</v>
      </c>
      <c r="B41" s="50">
        <f>VLOOKUP($A41,'Data Vlaue (Cr)'!$C:$FB,8)</f>
        <v>363.35</v>
      </c>
      <c r="C41" s="50">
        <f>VLOOKUP($A41,'Data Vlaue (Cr)'!$C:$FB,11)*100</f>
        <v>-1.3599999999999999</v>
      </c>
      <c r="D41" s="50">
        <f>VLOOKUP($A41,'Data Vlaue (Cr)'!$C:$FB,143)</f>
        <v>1244.98</v>
      </c>
      <c r="E41" s="50">
        <f>VLOOKUP($A41,'Data Vlaue (Cr)'!$C:$FB,144)</f>
        <v>2547.4</v>
      </c>
      <c r="F41" s="50">
        <f>VLOOKUP($A41,'Data Vlaue (Cr)'!$C:$FB,146)*100</f>
        <v>-51.129999999999995</v>
      </c>
      <c r="G41" s="49">
        <f>VLOOKUP($A41,'Data Vlaue (Cr)'!$C:$FB,43)</f>
        <v>169</v>
      </c>
      <c r="H41" s="49">
        <f>VLOOKUP($A41,'Data Vlaue (Cr)'!$C:$FB,44)</f>
        <v>232</v>
      </c>
      <c r="I41" s="49">
        <f>VLOOKUP($A41,'Data Vlaue (Cr)'!$C:$FB,46)*100</f>
        <v>-27.11</v>
      </c>
      <c r="J41" s="51">
        <f>VLOOKUP($A41,'Data Vlaue (Cr)'!$C:$FB,59)</f>
        <v>741</v>
      </c>
      <c r="K41" s="51">
        <f>VLOOKUP($A41,'Data Vlaue (Cr)'!$C:$FB,60)</f>
        <v>1767</v>
      </c>
      <c r="L41" s="51">
        <f>VLOOKUP($A41,'Data Vlaue (Cr)'!$C:$FB,62)*100</f>
        <v>-58.040000000000006</v>
      </c>
      <c r="M41" s="51">
        <f>VLOOKUP($A41,'Data Vlaue (Cr)'!$C:$FB,63)</f>
        <v>313</v>
      </c>
      <c r="N41" s="51">
        <f>VLOOKUP($A41,'Data Vlaue (Cr)'!$C:$FB,64)</f>
        <v>473</v>
      </c>
      <c r="O41" s="51">
        <f>VLOOKUP($A41,'Data Vlaue (Cr)'!$C:$FB,66)*100</f>
        <v>-33.89</v>
      </c>
    </row>
    <row r="42" spans="1:15" x14ac:dyDescent="0.25">
      <c r="A42" s="101" t="str">
        <f>'Data Vlaue (Cr)'!C37</f>
        <v>BRITANNIA</v>
      </c>
      <c r="B42" s="50">
        <f>VLOOKUP($A42,'Data Vlaue (Cr)'!$C:$FB,8)</f>
        <v>6040.5</v>
      </c>
      <c r="C42" s="50">
        <f>VLOOKUP($A42,'Data Vlaue (Cr)'!$C:$FB,11)*100</f>
        <v>-0.91</v>
      </c>
      <c r="D42" s="50">
        <f>VLOOKUP($A42,'Data Vlaue (Cr)'!$C:$FB,143)</f>
        <v>2444.0700000000002</v>
      </c>
      <c r="E42" s="50">
        <f>VLOOKUP($A42,'Data Vlaue (Cr)'!$C:$FB,144)</f>
        <v>1802.61</v>
      </c>
      <c r="F42" s="50">
        <f>VLOOKUP($A42,'Data Vlaue (Cr)'!$C:$FB,146)*100</f>
        <v>35.58</v>
      </c>
      <c r="G42" s="49">
        <f>VLOOKUP($A42,'Data Vlaue (Cr)'!$C:$FB,43)</f>
        <v>215</v>
      </c>
      <c r="H42" s="49">
        <f>VLOOKUP($A42,'Data Vlaue (Cr)'!$C:$FB,44)</f>
        <v>149</v>
      </c>
      <c r="I42" s="49">
        <f>VLOOKUP($A42,'Data Vlaue (Cr)'!$C:$FB,46)*100</f>
        <v>43.65</v>
      </c>
      <c r="J42" s="51">
        <f>VLOOKUP($A42,'Data Vlaue (Cr)'!$C:$FB,59)</f>
        <v>1605</v>
      </c>
      <c r="K42" s="51">
        <f>VLOOKUP($A42,'Data Vlaue (Cr)'!$C:$FB,60)</f>
        <v>1185</v>
      </c>
      <c r="L42" s="51">
        <f>VLOOKUP($A42,'Data Vlaue (Cr)'!$C:$FB,62)*100</f>
        <v>35.520000000000003</v>
      </c>
      <c r="M42" s="51">
        <f>VLOOKUP($A42,'Data Vlaue (Cr)'!$C:$FB,63)</f>
        <v>580</v>
      </c>
      <c r="N42" s="51">
        <f>VLOOKUP($A42,'Data Vlaue (Cr)'!$C:$FB,64)</f>
        <v>431</v>
      </c>
      <c r="O42" s="51">
        <f>VLOOKUP($A42,'Data Vlaue (Cr)'!$C:$FB,66)*100</f>
        <v>34.699999999999996</v>
      </c>
    </row>
    <row r="43" spans="1:15" x14ac:dyDescent="0.25">
      <c r="A43" s="101" t="str">
        <f>'Data Vlaue (Cr)'!C38</f>
        <v>BSE</v>
      </c>
      <c r="B43" s="50">
        <f>VLOOKUP($A43,'Data Vlaue (Cr)'!$C:$FB,8)</f>
        <v>2682.9</v>
      </c>
      <c r="C43" s="50">
        <f>VLOOKUP($A43,'Data Vlaue (Cr)'!$C:$FB,11)*100</f>
        <v>1.9900000000000002</v>
      </c>
      <c r="D43" s="50">
        <f>VLOOKUP($A43,'Data Vlaue (Cr)'!$C:$FB,143)</f>
        <v>13917.63</v>
      </c>
      <c r="E43" s="50">
        <f>VLOOKUP($A43,'Data Vlaue (Cr)'!$C:$FB,144)</f>
        <v>11584.29</v>
      </c>
      <c r="F43" s="50">
        <f>VLOOKUP($A43,'Data Vlaue (Cr)'!$C:$FB,146)*100</f>
        <v>20.14</v>
      </c>
      <c r="G43" s="49">
        <f>VLOOKUP($A43,'Data Vlaue (Cr)'!$C:$FB,43)</f>
        <v>1225</v>
      </c>
      <c r="H43" s="49">
        <f>VLOOKUP($A43,'Data Vlaue (Cr)'!$C:$FB,44)</f>
        <v>1095</v>
      </c>
      <c r="I43" s="49">
        <f>VLOOKUP($A43,'Data Vlaue (Cr)'!$C:$FB,46)*100</f>
        <v>11.88</v>
      </c>
      <c r="J43" s="51">
        <f>VLOOKUP($A43,'Data Vlaue (Cr)'!$C:$FB,59)</f>
        <v>8355</v>
      </c>
      <c r="K43" s="51">
        <f>VLOOKUP($A43,'Data Vlaue (Cr)'!$C:$FB,60)</f>
        <v>6749</v>
      </c>
      <c r="L43" s="51">
        <f>VLOOKUP($A43,'Data Vlaue (Cr)'!$C:$FB,62)*100</f>
        <v>23.79</v>
      </c>
      <c r="M43" s="51">
        <f>VLOOKUP($A43,'Data Vlaue (Cr)'!$C:$FB,63)</f>
        <v>4031</v>
      </c>
      <c r="N43" s="51">
        <f>VLOOKUP($A43,'Data Vlaue (Cr)'!$C:$FB,64)</f>
        <v>3593</v>
      </c>
      <c r="O43" s="51">
        <f>VLOOKUP($A43,'Data Vlaue (Cr)'!$C:$FB,66)*100</f>
        <v>12.19</v>
      </c>
    </row>
    <row r="44" spans="1:15" x14ac:dyDescent="0.25">
      <c r="A44" s="101" t="str">
        <f>'Data Vlaue (Cr)'!C39</f>
        <v>CAMS</v>
      </c>
      <c r="B44" s="50">
        <f>VLOOKUP($A44,'Data Vlaue (Cr)'!$C:$FB,8)</f>
        <v>752.3</v>
      </c>
      <c r="C44" s="50">
        <f>VLOOKUP($A44,'Data Vlaue (Cr)'!$C:$FB,11)*100</f>
        <v>2.52</v>
      </c>
      <c r="D44" s="50">
        <f>VLOOKUP($A44,'Data Vlaue (Cr)'!$C:$FB,143)</f>
        <v>1567.49</v>
      </c>
      <c r="E44" s="50">
        <f>VLOOKUP($A44,'Data Vlaue (Cr)'!$C:$FB,144)</f>
        <v>640.08000000000004</v>
      </c>
      <c r="F44" s="50">
        <f>VLOOKUP($A44,'Data Vlaue (Cr)'!$C:$FB,146)*100</f>
        <v>144.89000000000001</v>
      </c>
      <c r="G44" s="49">
        <f>VLOOKUP($A44,'Data Vlaue (Cr)'!$C:$FB,43)</f>
        <v>323</v>
      </c>
      <c r="H44" s="49">
        <f>VLOOKUP($A44,'Data Vlaue (Cr)'!$C:$FB,44)</f>
        <v>193</v>
      </c>
      <c r="I44" s="49">
        <f>VLOOKUP($A44,'Data Vlaue (Cr)'!$C:$FB,46)*100</f>
        <v>67.73</v>
      </c>
      <c r="J44" s="51">
        <f>VLOOKUP($A44,'Data Vlaue (Cr)'!$C:$FB,59)</f>
        <v>933</v>
      </c>
      <c r="K44" s="51">
        <f>VLOOKUP($A44,'Data Vlaue (Cr)'!$C:$FB,60)</f>
        <v>229</v>
      </c>
      <c r="L44" s="51">
        <f>VLOOKUP($A44,'Data Vlaue (Cr)'!$C:$FB,62)*100</f>
        <v>307.71000000000004</v>
      </c>
      <c r="M44" s="51">
        <f>VLOOKUP($A44,'Data Vlaue (Cr)'!$C:$FB,63)</f>
        <v>286</v>
      </c>
      <c r="N44" s="51">
        <f>VLOOKUP($A44,'Data Vlaue (Cr)'!$C:$FB,64)</f>
        <v>216</v>
      </c>
      <c r="O44" s="51">
        <f>VLOOKUP($A44,'Data Vlaue (Cr)'!$C:$FB,66)*100</f>
        <v>32.629999999999995</v>
      </c>
    </row>
    <row r="45" spans="1:15" x14ac:dyDescent="0.25">
      <c r="A45" s="101" t="str">
        <f>'Data Vlaue (Cr)'!C40</f>
        <v>CANBK</v>
      </c>
      <c r="B45" s="50">
        <f>VLOOKUP($A45,'Data Vlaue (Cr)'!$C:$FB,8)</f>
        <v>149.83000000000001</v>
      </c>
      <c r="C45" s="50">
        <f>VLOOKUP($A45,'Data Vlaue (Cr)'!$C:$FB,11)*100</f>
        <v>-0.25</v>
      </c>
      <c r="D45" s="50">
        <f>VLOOKUP($A45,'Data Vlaue (Cr)'!$C:$FB,143)</f>
        <v>3966.7</v>
      </c>
      <c r="E45" s="50">
        <f>VLOOKUP($A45,'Data Vlaue (Cr)'!$C:$FB,144)</f>
        <v>5990.55</v>
      </c>
      <c r="F45" s="50">
        <f>VLOOKUP($A45,'Data Vlaue (Cr)'!$C:$FB,146)*100</f>
        <v>-33.78</v>
      </c>
      <c r="G45" s="49">
        <f>VLOOKUP($A45,'Data Vlaue (Cr)'!$C:$FB,43)</f>
        <v>537</v>
      </c>
      <c r="H45" s="49">
        <f>VLOOKUP($A45,'Data Vlaue (Cr)'!$C:$FB,44)</f>
        <v>807</v>
      </c>
      <c r="I45" s="49">
        <f>VLOOKUP($A45,'Data Vlaue (Cr)'!$C:$FB,46)*100</f>
        <v>-33.47</v>
      </c>
      <c r="J45" s="51">
        <f>VLOOKUP($A45,'Data Vlaue (Cr)'!$C:$FB,59)</f>
        <v>2147</v>
      </c>
      <c r="K45" s="51">
        <f>VLOOKUP($A45,'Data Vlaue (Cr)'!$C:$FB,60)</f>
        <v>3426</v>
      </c>
      <c r="L45" s="51">
        <f>VLOOKUP($A45,'Data Vlaue (Cr)'!$C:$FB,62)*100</f>
        <v>-37.31</v>
      </c>
      <c r="M45" s="51">
        <f>VLOOKUP($A45,'Data Vlaue (Cr)'!$C:$FB,63)</f>
        <v>1228</v>
      </c>
      <c r="N45" s="51">
        <f>VLOOKUP($A45,'Data Vlaue (Cr)'!$C:$FB,64)</f>
        <v>1674</v>
      </c>
      <c r="O45" s="51">
        <f>VLOOKUP($A45,'Data Vlaue (Cr)'!$C:$FB,66)*100</f>
        <v>-26.6</v>
      </c>
    </row>
    <row r="46" spans="1:15" x14ac:dyDescent="0.25">
      <c r="A46" s="101" t="str">
        <f>'Data Vlaue (Cr)'!C41</f>
        <v>CDSL</v>
      </c>
      <c r="B46" s="50">
        <f>VLOOKUP($A46,'Data Vlaue (Cr)'!$C:$FB,8)</f>
        <v>1489.6</v>
      </c>
      <c r="C46" s="50">
        <f>VLOOKUP($A46,'Data Vlaue (Cr)'!$C:$FB,11)*100</f>
        <v>0.83</v>
      </c>
      <c r="D46" s="50">
        <f>VLOOKUP($A46,'Data Vlaue (Cr)'!$C:$FB,143)</f>
        <v>2031.16</v>
      </c>
      <c r="E46" s="50">
        <f>VLOOKUP($A46,'Data Vlaue (Cr)'!$C:$FB,144)</f>
        <v>2075</v>
      </c>
      <c r="F46" s="50">
        <f>VLOOKUP($A46,'Data Vlaue (Cr)'!$C:$FB,146)*100</f>
        <v>-2.11</v>
      </c>
      <c r="G46" s="49">
        <f>VLOOKUP($A46,'Data Vlaue (Cr)'!$C:$FB,43)</f>
        <v>239</v>
      </c>
      <c r="H46" s="49">
        <f>VLOOKUP($A46,'Data Vlaue (Cr)'!$C:$FB,44)</f>
        <v>296</v>
      </c>
      <c r="I46" s="49">
        <f>VLOOKUP($A46,'Data Vlaue (Cr)'!$C:$FB,46)*100</f>
        <v>-19.3</v>
      </c>
      <c r="J46" s="51">
        <f>VLOOKUP($A46,'Data Vlaue (Cr)'!$C:$FB,59)</f>
        <v>1365</v>
      </c>
      <c r="K46" s="51">
        <f>VLOOKUP($A46,'Data Vlaue (Cr)'!$C:$FB,60)</f>
        <v>1258</v>
      </c>
      <c r="L46" s="51">
        <f>VLOOKUP($A46,'Data Vlaue (Cr)'!$C:$FB,62)*100</f>
        <v>8.4599999999999991</v>
      </c>
      <c r="M46" s="51">
        <f>VLOOKUP($A46,'Data Vlaue (Cr)'!$C:$FB,63)</f>
        <v>356</v>
      </c>
      <c r="N46" s="51">
        <f>VLOOKUP($A46,'Data Vlaue (Cr)'!$C:$FB,64)</f>
        <v>436</v>
      </c>
      <c r="O46" s="51">
        <f>VLOOKUP($A46,'Data Vlaue (Cr)'!$C:$FB,66)*100</f>
        <v>-18.38</v>
      </c>
    </row>
    <row r="47" spans="1:15" x14ac:dyDescent="0.25">
      <c r="A47" s="101" t="str">
        <f>'Data Vlaue (Cr)'!C42</f>
        <v>CGPOWER</v>
      </c>
      <c r="B47" s="50">
        <f>VLOOKUP($A47,'Data Vlaue (Cr)'!$C:$FB,8)</f>
        <v>661.8</v>
      </c>
      <c r="C47" s="50">
        <f>VLOOKUP($A47,'Data Vlaue (Cr)'!$C:$FB,11)*100</f>
        <v>-1.28</v>
      </c>
      <c r="D47" s="50">
        <f>VLOOKUP($A47,'Data Vlaue (Cr)'!$C:$FB,143)</f>
        <v>1320.43</v>
      </c>
      <c r="E47" s="50">
        <f>VLOOKUP($A47,'Data Vlaue (Cr)'!$C:$FB,144)</f>
        <v>3465.9</v>
      </c>
      <c r="F47" s="50">
        <f>VLOOKUP($A47,'Data Vlaue (Cr)'!$C:$FB,146)*100</f>
        <v>-61.9</v>
      </c>
      <c r="G47" s="49">
        <f>VLOOKUP($A47,'Data Vlaue (Cr)'!$C:$FB,43)</f>
        <v>198</v>
      </c>
      <c r="H47" s="49">
        <f>VLOOKUP($A47,'Data Vlaue (Cr)'!$C:$FB,44)</f>
        <v>366</v>
      </c>
      <c r="I47" s="49">
        <f>VLOOKUP($A47,'Data Vlaue (Cr)'!$C:$FB,46)*100</f>
        <v>-45.89</v>
      </c>
      <c r="J47" s="51">
        <f>VLOOKUP($A47,'Data Vlaue (Cr)'!$C:$FB,59)</f>
        <v>769</v>
      </c>
      <c r="K47" s="51">
        <f>VLOOKUP($A47,'Data Vlaue (Cr)'!$C:$FB,60)</f>
        <v>2393</v>
      </c>
      <c r="L47" s="51">
        <f>VLOOKUP($A47,'Data Vlaue (Cr)'!$C:$FB,62)*100</f>
        <v>-67.849999999999994</v>
      </c>
      <c r="M47" s="51">
        <f>VLOOKUP($A47,'Data Vlaue (Cr)'!$C:$FB,63)</f>
        <v>312</v>
      </c>
      <c r="N47" s="51">
        <f>VLOOKUP($A47,'Data Vlaue (Cr)'!$C:$FB,64)</f>
        <v>520</v>
      </c>
      <c r="O47" s="51">
        <f>VLOOKUP($A47,'Data Vlaue (Cr)'!$C:$FB,66)*100</f>
        <v>-40.020000000000003</v>
      </c>
    </row>
    <row r="48" spans="1:15" x14ac:dyDescent="0.25">
      <c r="A48" s="101" t="str">
        <f>'Data Vlaue (Cr)'!C43</f>
        <v>CHOLAFIN</v>
      </c>
      <c r="B48" s="50">
        <f>VLOOKUP($A48,'Data Vlaue (Cr)'!$C:$FB,8)</f>
        <v>1679</v>
      </c>
      <c r="C48" s="50">
        <f>VLOOKUP($A48,'Data Vlaue (Cr)'!$C:$FB,11)*100</f>
        <v>0.33</v>
      </c>
      <c r="D48" s="50">
        <f>VLOOKUP($A48,'Data Vlaue (Cr)'!$C:$FB,143)</f>
        <v>2115.88</v>
      </c>
      <c r="E48" s="50">
        <f>VLOOKUP($A48,'Data Vlaue (Cr)'!$C:$FB,144)</f>
        <v>4199.88</v>
      </c>
      <c r="F48" s="50">
        <f>VLOOKUP($A48,'Data Vlaue (Cr)'!$C:$FB,146)*100</f>
        <v>-49.62</v>
      </c>
      <c r="G48" s="49">
        <f>VLOOKUP($A48,'Data Vlaue (Cr)'!$C:$FB,43)</f>
        <v>317</v>
      </c>
      <c r="H48" s="49">
        <f>VLOOKUP($A48,'Data Vlaue (Cr)'!$C:$FB,44)</f>
        <v>512</v>
      </c>
      <c r="I48" s="49">
        <f>VLOOKUP($A48,'Data Vlaue (Cr)'!$C:$FB,46)*100</f>
        <v>-38.190000000000005</v>
      </c>
      <c r="J48" s="51">
        <f>VLOOKUP($A48,'Data Vlaue (Cr)'!$C:$FB,59)</f>
        <v>931</v>
      </c>
      <c r="K48" s="51">
        <f>VLOOKUP($A48,'Data Vlaue (Cr)'!$C:$FB,60)</f>
        <v>2194</v>
      </c>
      <c r="L48" s="51">
        <f>VLOOKUP($A48,'Data Vlaue (Cr)'!$C:$FB,62)*100</f>
        <v>-57.58</v>
      </c>
      <c r="M48" s="51">
        <f>VLOOKUP($A48,'Data Vlaue (Cr)'!$C:$FB,63)</f>
        <v>844</v>
      </c>
      <c r="N48" s="51">
        <f>VLOOKUP($A48,'Data Vlaue (Cr)'!$C:$FB,64)</f>
        <v>1394</v>
      </c>
      <c r="O48" s="51">
        <f>VLOOKUP($A48,'Data Vlaue (Cr)'!$C:$FB,66)*100</f>
        <v>-39.43</v>
      </c>
    </row>
    <row r="49" spans="1:15" x14ac:dyDescent="0.25">
      <c r="A49" s="101" t="str">
        <f>'Data Vlaue (Cr)'!C44</f>
        <v>CIPLA</v>
      </c>
      <c r="B49" s="50">
        <f>VLOOKUP($A49,'Data Vlaue (Cr)'!$C:$FB,8)</f>
        <v>1498.9</v>
      </c>
      <c r="C49" s="50">
        <f>VLOOKUP($A49,'Data Vlaue (Cr)'!$C:$FB,11)*100</f>
        <v>0.13</v>
      </c>
      <c r="D49" s="50">
        <f>VLOOKUP($A49,'Data Vlaue (Cr)'!$C:$FB,143)</f>
        <v>1147.75</v>
      </c>
      <c r="E49" s="50">
        <f>VLOOKUP($A49,'Data Vlaue (Cr)'!$C:$FB,144)</f>
        <v>964.28</v>
      </c>
      <c r="F49" s="50">
        <f>VLOOKUP($A49,'Data Vlaue (Cr)'!$C:$FB,146)*100</f>
        <v>19.03</v>
      </c>
      <c r="G49" s="49">
        <f>VLOOKUP($A49,'Data Vlaue (Cr)'!$C:$FB,43)</f>
        <v>199</v>
      </c>
      <c r="H49" s="49">
        <f>VLOOKUP($A49,'Data Vlaue (Cr)'!$C:$FB,44)</f>
        <v>213</v>
      </c>
      <c r="I49" s="49">
        <f>VLOOKUP($A49,'Data Vlaue (Cr)'!$C:$FB,46)*100</f>
        <v>-6.43</v>
      </c>
      <c r="J49" s="51">
        <f>VLOOKUP($A49,'Data Vlaue (Cr)'!$C:$FB,59)</f>
        <v>667</v>
      </c>
      <c r="K49" s="51">
        <f>VLOOKUP($A49,'Data Vlaue (Cr)'!$C:$FB,60)</f>
        <v>537</v>
      </c>
      <c r="L49" s="51">
        <f>VLOOKUP($A49,'Data Vlaue (Cr)'!$C:$FB,62)*100</f>
        <v>24.099999999999998</v>
      </c>
      <c r="M49" s="51">
        <f>VLOOKUP($A49,'Data Vlaue (Cr)'!$C:$FB,63)</f>
        <v>266</v>
      </c>
      <c r="N49" s="51">
        <f>VLOOKUP($A49,'Data Vlaue (Cr)'!$C:$FB,64)</f>
        <v>203</v>
      </c>
      <c r="O49" s="51">
        <f>VLOOKUP($A49,'Data Vlaue (Cr)'!$C:$FB,66)*100</f>
        <v>31.540000000000003</v>
      </c>
    </row>
    <row r="50" spans="1:15" x14ac:dyDescent="0.25">
      <c r="A50" s="101" t="str">
        <f>'Data Vlaue (Cr)'!C45</f>
        <v>COALINDIA</v>
      </c>
      <c r="B50" s="50">
        <f>VLOOKUP($A50,'Data Vlaue (Cr)'!$C:$FB,8)</f>
        <v>385.3</v>
      </c>
      <c r="C50" s="50">
        <f>VLOOKUP($A50,'Data Vlaue (Cr)'!$C:$FB,11)*100</f>
        <v>0.13999999999999999</v>
      </c>
      <c r="D50" s="50">
        <f>VLOOKUP($A50,'Data Vlaue (Cr)'!$C:$FB,143)</f>
        <v>808.14</v>
      </c>
      <c r="E50" s="50">
        <f>VLOOKUP($A50,'Data Vlaue (Cr)'!$C:$FB,144)</f>
        <v>902.16</v>
      </c>
      <c r="F50" s="50">
        <f>VLOOKUP($A50,'Data Vlaue (Cr)'!$C:$FB,146)*100</f>
        <v>-10.42</v>
      </c>
      <c r="G50" s="49">
        <f>VLOOKUP($A50,'Data Vlaue (Cr)'!$C:$FB,43)</f>
        <v>266</v>
      </c>
      <c r="H50" s="49">
        <f>VLOOKUP($A50,'Data Vlaue (Cr)'!$C:$FB,44)</f>
        <v>172</v>
      </c>
      <c r="I50" s="49">
        <f>VLOOKUP($A50,'Data Vlaue (Cr)'!$C:$FB,46)*100</f>
        <v>55.13</v>
      </c>
      <c r="J50" s="51">
        <f>VLOOKUP($A50,'Data Vlaue (Cr)'!$C:$FB,59)</f>
        <v>309</v>
      </c>
      <c r="K50" s="51">
        <f>VLOOKUP($A50,'Data Vlaue (Cr)'!$C:$FB,60)</f>
        <v>462</v>
      </c>
      <c r="L50" s="51">
        <f>VLOOKUP($A50,'Data Vlaue (Cr)'!$C:$FB,62)*100</f>
        <v>-33.119999999999997</v>
      </c>
      <c r="M50" s="51">
        <f>VLOOKUP($A50,'Data Vlaue (Cr)'!$C:$FB,63)</f>
        <v>231</v>
      </c>
      <c r="N50" s="51">
        <f>VLOOKUP($A50,'Data Vlaue (Cr)'!$C:$FB,64)</f>
        <v>266</v>
      </c>
      <c r="O50" s="51">
        <f>VLOOKUP($A50,'Data Vlaue (Cr)'!$C:$FB,66)*100</f>
        <v>-13.18</v>
      </c>
    </row>
    <row r="51" spans="1:15" x14ac:dyDescent="0.25">
      <c r="A51" s="101" t="str">
        <f>'Data Vlaue (Cr)'!C46</f>
        <v>COFORGE</v>
      </c>
      <c r="B51" s="50">
        <f>VLOOKUP($A51,'Data Vlaue (Cr)'!$C:$FB,8)</f>
        <v>1854.8</v>
      </c>
      <c r="C51" s="50">
        <f>VLOOKUP($A51,'Data Vlaue (Cr)'!$C:$FB,11)*100</f>
        <v>0.54999999999999993</v>
      </c>
      <c r="D51" s="50">
        <f>VLOOKUP($A51,'Data Vlaue (Cr)'!$C:$FB,143)</f>
        <v>3203.03</v>
      </c>
      <c r="E51" s="50">
        <f>VLOOKUP($A51,'Data Vlaue (Cr)'!$C:$FB,144)</f>
        <v>2887.06</v>
      </c>
      <c r="F51" s="50">
        <f>VLOOKUP($A51,'Data Vlaue (Cr)'!$C:$FB,146)*100</f>
        <v>10.94</v>
      </c>
      <c r="G51" s="49">
        <f>VLOOKUP($A51,'Data Vlaue (Cr)'!$C:$FB,43)</f>
        <v>421</v>
      </c>
      <c r="H51" s="49">
        <f>VLOOKUP($A51,'Data Vlaue (Cr)'!$C:$FB,44)</f>
        <v>431</v>
      </c>
      <c r="I51" s="49">
        <f>VLOOKUP($A51,'Data Vlaue (Cr)'!$C:$FB,46)*100</f>
        <v>-2.34</v>
      </c>
      <c r="J51" s="51">
        <f>VLOOKUP($A51,'Data Vlaue (Cr)'!$C:$FB,59)</f>
        <v>2038</v>
      </c>
      <c r="K51" s="51">
        <f>VLOOKUP($A51,'Data Vlaue (Cr)'!$C:$FB,60)</f>
        <v>1689</v>
      </c>
      <c r="L51" s="51">
        <f>VLOOKUP($A51,'Data Vlaue (Cr)'!$C:$FB,62)*100</f>
        <v>20.65</v>
      </c>
      <c r="M51" s="51">
        <f>VLOOKUP($A51,'Data Vlaue (Cr)'!$C:$FB,63)</f>
        <v>676</v>
      </c>
      <c r="N51" s="51">
        <f>VLOOKUP($A51,'Data Vlaue (Cr)'!$C:$FB,64)</f>
        <v>688</v>
      </c>
      <c r="O51" s="51">
        <f>VLOOKUP($A51,'Data Vlaue (Cr)'!$C:$FB,66)*100</f>
        <v>-1.7000000000000002</v>
      </c>
    </row>
    <row r="52" spans="1:15" x14ac:dyDescent="0.25">
      <c r="A52" s="101" t="str">
        <f>'Data Vlaue (Cr)'!C47</f>
        <v>COLPAL</v>
      </c>
      <c r="B52" s="50">
        <f>VLOOKUP($A52,'Data Vlaue (Cr)'!$C:$FB,8)</f>
        <v>2090</v>
      </c>
      <c r="C52" s="50">
        <f>VLOOKUP($A52,'Data Vlaue (Cr)'!$C:$FB,11)*100</f>
        <v>0.12</v>
      </c>
      <c r="D52" s="50">
        <f>VLOOKUP($A52,'Data Vlaue (Cr)'!$C:$FB,143)</f>
        <v>1173.19</v>
      </c>
      <c r="E52" s="50">
        <f>VLOOKUP($A52,'Data Vlaue (Cr)'!$C:$FB,144)</f>
        <v>1804.13</v>
      </c>
      <c r="F52" s="50">
        <f>VLOOKUP($A52,'Data Vlaue (Cr)'!$C:$FB,146)*100</f>
        <v>-34.97</v>
      </c>
      <c r="G52" s="49">
        <f>VLOOKUP($A52,'Data Vlaue (Cr)'!$C:$FB,43)</f>
        <v>235</v>
      </c>
      <c r="H52" s="49">
        <f>VLOOKUP($A52,'Data Vlaue (Cr)'!$C:$FB,44)</f>
        <v>419</v>
      </c>
      <c r="I52" s="49">
        <f>VLOOKUP($A52,'Data Vlaue (Cr)'!$C:$FB,46)*100</f>
        <v>-43.919999999999995</v>
      </c>
      <c r="J52" s="51">
        <f>VLOOKUP($A52,'Data Vlaue (Cr)'!$C:$FB,59)</f>
        <v>597</v>
      </c>
      <c r="K52" s="51">
        <f>VLOOKUP($A52,'Data Vlaue (Cr)'!$C:$FB,60)</f>
        <v>762</v>
      </c>
      <c r="L52" s="51">
        <f>VLOOKUP($A52,'Data Vlaue (Cr)'!$C:$FB,62)*100</f>
        <v>-21.66</v>
      </c>
      <c r="M52" s="51">
        <f>VLOOKUP($A52,'Data Vlaue (Cr)'!$C:$FB,63)</f>
        <v>325</v>
      </c>
      <c r="N52" s="51">
        <f>VLOOKUP($A52,'Data Vlaue (Cr)'!$C:$FB,64)</f>
        <v>576</v>
      </c>
      <c r="O52" s="51">
        <f>VLOOKUP($A52,'Data Vlaue (Cr)'!$C:$FB,66)*100</f>
        <v>-43.669999999999995</v>
      </c>
    </row>
    <row r="53" spans="1:15" x14ac:dyDescent="0.25">
      <c r="A53" s="101" t="str">
        <f>'Data Vlaue (Cr)'!C48</f>
        <v>CONCOR</v>
      </c>
      <c r="B53" s="50">
        <f>VLOOKUP($A53,'Data Vlaue (Cr)'!$C:$FB,8)</f>
        <v>498.25</v>
      </c>
      <c r="C53" s="50">
        <f>VLOOKUP($A53,'Data Vlaue (Cr)'!$C:$FB,11)*100</f>
        <v>0.38</v>
      </c>
      <c r="D53" s="50">
        <f>VLOOKUP($A53,'Data Vlaue (Cr)'!$C:$FB,143)</f>
        <v>675.01</v>
      </c>
      <c r="E53" s="50">
        <f>VLOOKUP($A53,'Data Vlaue (Cr)'!$C:$FB,144)</f>
        <v>530.32000000000005</v>
      </c>
      <c r="F53" s="50">
        <f>VLOOKUP($A53,'Data Vlaue (Cr)'!$C:$FB,146)*100</f>
        <v>27.279999999999998</v>
      </c>
      <c r="G53" s="49">
        <f>VLOOKUP($A53,'Data Vlaue (Cr)'!$C:$FB,43)</f>
        <v>151</v>
      </c>
      <c r="H53" s="49">
        <f>VLOOKUP($A53,'Data Vlaue (Cr)'!$C:$FB,44)</f>
        <v>134</v>
      </c>
      <c r="I53" s="49">
        <f>VLOOKUP($A53,'Data Vlaue (Cr)'!$C:$FB,46)*100</f>
        <v>13.020000000000001</v>
      </c>
      <c r="J53" s="51">
        <f>VLOOKUP($A53,'Data Vlaue (Cr)'!$C:$FB,59)</f>
        <v>388</v>
      </c>
      <c r="K53" s="51">
        <f>VLOOKUP($A53,'Data Vlaue (Cr)'!$C:$FB,60)</f>
        <v>267</v>
      </c>
      <c r="L53" s="51">
        <f>VLOOKUP($A53,'Data Vlaue (Cr)'!$C:$FB,62)*100</f>
        <v>45.18</v>
      </c>
      <c r="M53" s="51">
        <f>VLOOKUP($A53,'Data Vlaue (Cr)'!$C:$FB,63)</f>
        <v>124</v>
      </c>
      <c r="N53" s="51">
        <f>VLOOKUP($A53,'Data Vlaue (Cr)'!$C:$FB,64)</f>
        <v>117</v>
      </c>
      <c r="O53" s="51">
        <f>VLOOKUP($A53,'Data Vlaue (Cr)'!$C:$FB,66)*100</f>
        <v>5.79</v>
      </c>
    </row>
    <row r="54" spans="1:15" x14ac:dyDescent="0.25">
      <c r="A54" s="101" t="str">
        <f>'Data Vlaue (Cr)'!C49</f>
        <v>CROMPTON</v>
      </c>
      <c r="B54" s="50">
        <f>VLOOKUP($A54,'Data Vlaue (Cr)'!$C:$FB,8)</f>
        <v>255.65</v>
      </c>
      <c r="C54" s="50">
        <f>VLOOKUP($A54,'Data Vlaue (Cr)'!$C:$FB,11)*100</f>
        <v>2.6100000000000003</v>
      </c>
      <c r="D54" s="50">
        <f>VLOOKUP($A54,'Data Vlaue (Cr)'!$C:$FB,143)</f>
        <v>4246.1099999999997</v>
      </c>
      <c r="E54" s="50">
        <f>VLOOKUP($A54,'Data Vlaue (Cr)'!$C:$FB,144)</f>
        <v>563.4</v>
      </c>
      <c r="F54" s="50">
        <f>VLOOKUP($A54,'Data Vlaue (Cr)'!$C:$FB,146)*100</f>
        <v>653.66</v>
      </c>
      <c r="G54" s="49">
        <f>VLOOKUP($A54,'Data Vlaue (Cr)'!$C:$FB,43)</f>
        <v>471</v>
      </c>
      <c r="H54" s="49">
        <f>VLOOKUP($A54,'Data Vlaue (Cr)'!$C:$FB,44)</f>
        <v>118</v>
      </c>
      <c r="I54" s="49">
        <f>VLOOKUP($A54,'Data Vlaue (Cr)'!$C:$FB,46)*100</f>
        <v>300.75</v>
      </c>
      <c r="J54" s="51">
        <f>VLOOKUP($A54,'Data Vlaue (Cr)'!$C:$FB,59)</f>
        <v>2684</v>
      </c>
      <c r="K54" s="51">
        <f>VLOOKUP($A54,'Data Vlaue (Cr)'!$C:$FB,60)</f>
        <v>330</v>
      </c>
      <c r="L54" s="51">
        <f>VLOOKUP($A54,'Data Vlaue (Cr)'!$C:$FB,62)*100</f>
        <v>712.27</v>
      </c>
      <c r="M54" s="51">
        <f>VLOOKUP($A54,'Data Vlaue (Cr)'!$C:$FB,63)</f>
        <v>935</v>
      </c>
      <c r="N54" s="51">
        <f>VLOOKUP($A54,'Data Vlaue (Cr)'!$C:$FB,64)</f>
        <v>97</v>
      </c>
      <c r="O54" s="51">
        <f>VLOOKUP($A54,'Data Vlaue (Cr)'!$C:$FB,66)*100</f>
        <v>867.07999999999993</v>
      </c>
    </row>
    <row r="55" spans="1:15" x14ac:dyDescent="0.25">
      <c r="A55" s="101" t="str">
        <f>'Data Vlaue (Cr)'!C50</f>
        <v>CUMMINSIND</v>
      </c>
      <c r="B55" s="50">
        <f>VLOOKUP($A55,'Data Vlaue (Cr)'!$C:$FB,8)</f>
        <v>4385.3999999999996</v>
      </c>
      <c r="C55" s="50">
        <f>VLOOKUP($A55,'Data Vlaue (Cr)'!$C:$FB,11)*100</f>
        <v>-2.82</v>
      </c>
      <c r="D55" s="50">
        <f>VLOOKUP($A55,'Data Vlaue (Cr)'!$C:$FB,143)</f>
        <v>3679.06</v>
      </c>
      <c r="E55" s="50">
        <f>VLOOKUP($A55,'Data Vlaue (Cr)'!$C:$FB,144)</f>
        <v>1207.32</v>
      </c>
      <c r="F55" s="50">
        <f>VLOOKUP($A55,'Data Vlaue (Cr)'!$C:$FB,146)*100</f>
        <v>204.73</v>
      </c>
      <c r="G55" s="49">
        <f>VLOOKUP($A55,'Data Vlaue (Cr)'!$C:$FB,43)</f>
        <v>356</v>
      </c>
      <c r="H55" s="49">
        <f>VLOOKUP($A55,'Data Vlaue (Cr)'!$C:$FB,44)</f>
        <v>121</v>
      </c>
      <c r="I55" s="49">
        <f>VLOOKUP($A55,'Data Vlaue (Cr)'!$C:$FB,46)*100</f>
        <v>193.42</v>
      </c>
      <c r="J55" s="51">
        <f>VLOOKUP($A55,'Data Vlaue (Cr)'!$C:$FB,59)</f>
        <v>1811</v>
      </c>
      <c r="K55" s="51">
        <f>VLOOKUP($A55,'Data Vlaue (Cr)'!$C:$FB,60)</f>
        <v>776</v>
      </c>
      <c r="L55" s="51">
        <f>VLOOKUP($A55,'Data Vlaue (Cr)'!$C:$FB,62)*100</f>
        <v>133.34</v>
      </c>
      <c r="M55" s="51">
        <f>VLOOKUP($A55,'Data Vlaue (Cr)'!$C:$FB,63)</f>
        <v>1441</v>
      </c>
      <c r="N55" s="51">
        <f>VLOOKUP($A55,'Data Vlaue (Cr)'!$C:$FB,64)</f>
        <v>259</v>
      </c>
      <c r="O55" s="51">
        <f>VLOOKUP($A55,'Data Vlaue (Cr)'!$C:$FB,66)*100</f>
        <v>455.99999999999994</v>
      </c>
    </row>
    <row r="56" spans="1:15" x14ac:dyDescent="0.25">
      <c r="A56" s="101" t="str">
        <f>'Data Vlaue (Cr)'!C51</f>
        <v>CYIENT</v>
      </c>
      <c r="B56" s="50">
        <f>VLOOKUP($A56,'Data Vlaue (Cr)'!$C:$FB,8)</f>
        <v>1141.3</v>
      </c>
      <c r="C56" s="50">
        <f>VLOOKUP($A56,'Data Vlaue (Cr)'!$C:$FB,11)*100</f>
        <v>0.22</v>
      </c>
      <c r="D56" s="50">
        <f>VLOOKUP($A56,'Data Vlaue (Cr)'!$C:$FB,143)</f>
        <v>412.59</v>
      </c>
      <c r="E56" s="50">
        <f>VLOOKUP($A56,'Data Vlaue (Cr)'!$C:$FB,144)</f>
        <v>1766.69</v>
      </c>
      <c r="F56" s="50">
        <f>VLOOKUP($A56,'Data Vlaue (Cr)'!$C:$FB,146)*100</f>
        <v>-76.649999999999991</v>
      </c>
      <c r="G56" s="49">
        <f>VLOOKUP($A56,'Data Vlaue (Cr)'!$C:$FB,43)</f>
        <v>50</v>
      </c>
      <c r="H56" s="49">
        <f>VLOOKUP($A56,'Data Vlaue (Cr)'!$C:$FB,44)</f>
        <v>281</v>
      </c>
      <c r="I56" s="49">
        <f>VLOOKUP($A56,'Data Vlaue (Cr)'!$C:$FB,46)*100</f>
        <v>-82.25</v>
      </c>
      <c r="J56" s="51">
        <f>VLOOKUP($A56,'Data Vlaue (Cr)'!$C:$FB,59)</f>
        <v>296</v>
      </c>
      <c r="K56" s="51">
        <f>VLOOKUP($A56,'Data Vlaue (Cr)'!$C:$FB,60)</f>
        <v>827</v>
      </c>
      <c r="L56" s="51">
        <f>VLOOKUP($A56,'Data Vlaue (Cr)'!$C:$FB,62)*100</f>
        <v>-64.2</v>
      </c>
      <c r="M56" s="51">
        <f>VLOOKUP($A56,'Data Vlaue (Cr)'!$C:$FB,63)</f>
        <v>57</v>
      </c>
      <c r="N56" s="51">
        <f>VLOOKUP($A56,'Data Vlaue (Cr)'!$C:$FB,64)</f>
        <v>624</v>
      </c>
      <c r="O56" s="51">
        <f>VLOOKUP($A56,'Data Vlaue (Cr)'!$C:$FB,66)*100</f>
        <v>-90.81</v>
      </c>
    </row>
    <row r="57" spans="1:15" x14ac:dyDescent="0.25">
      <c r="A57" s="101" t="str">
        <f>'Data Vlaue (Cr)'!C52</f>
        <v>DABUR</v>
      </c>
      <c r="B57" s="50">
        <f>VLOOKUP($A57,'Data Vlaue (Cr)'!$C:$FB,8)</f>
        <v>492.55</v>
      </c>
      <c r="C57" s="50">
        <f>VLOOKUP($A57,'Data Vlaue (Cr)'!$C:$FB,11)*100</f>
        <v>-0.32</v>
      </c>
      <c r="D57" s="50">
        <f>VLOOKUP($A57,'Data Vlaue (Cr)'!$C:$FB,143)</f>
        <v>697.52</v>
      </c>
      <c r="E57" s="50">
        <f>VLOOKUP($A57,'Data Vlaue (Cr)'!$C:$FB,144)</f>
        <v>606.49</v>
      </c>
      <c r="F57" s="50">
        <f>VLOOKUP($A57,'Data Vlaue (Cr)'!$C:$FB,146)*100</f>
        <v>15.010000000000002</v>
      </c>
      <c r="G57" s="49">
        <f>VLOOKUP($A57,'Data Vlaue (Cr)'!$C:$FB,43)</f>
        <v>115</v>
      </c>
      <c r="H57" s="49">
        <f>VLOOKUP($A57,'Data Vlaue (Cr)'!$C:$FB,44)</f>
        <v>100</v>
      </c>
      <c r="I57" s="49">
        <f>VLOOKUP($A57,'Data Vlaue (Cr)'!$C:$FB,46)*100</f>
        <v>14.680000000000001</v>
      </c>
      <c r="J57" s="51">
        <f>VLOOKUP($A57,'Data Vlaue (Cr)'!$C:$FB,59)</f>
        <v>415</v>
      </c>
      <c r="K57" s="51">
        <f>VLOOKUP($A57,'Data Vlaue (Cr)'!$C:$FB,60)</f>
        <v>361</v>
      </c>
      <c r="L57" s="51">
        <f>VLOOKUP($A57,'Data Vlaue (Cr)'!$C:$FB,62)*100</f>
        <v>15.040000000000001</v>
      </c>
      <c r="M57" s="51">
        <f>VLOOKUP($A57,'Data Vlaue (Cr)'!$C:$FB,63)</f>
        <v>151</v>
      </c>
      <c r="N57" s="51">
        <f>VLOOKUP($A57,'Data Vlaue (Cr)'!$C:$FB,64)</f>
        <v>130</v>
      </c>
      <c r="O57" s="51">
        <f>VLOOKUP($A57,'Data Vlaue (Cr)'!$C:$FB,66)*100</f>
        <v>16.32</v>
      </c>
    </row>
    <row r="58" spans="1:15" x14ac:dyDescent="0.25">
      <c r="A58" s="101" t="str">
        <f>'Data Vlaue (Cr)'!C53</f>
        <v>DALBHARAT</v>
      </c>
      <c r="B58" s="50">
        <f>VLOOKUP($A58,'Data Vlaue (Cr)'!$C:$FB,8)</f>
        <v>2024.4</v>
      </c>
      <c r="C58" s="50">
        <f>VLOOKUP($A58,'Data Vlaue (Cr)'!$C:$FB,11)*100</f>
        <v>-2.39</v>
      </c>
      <c r="D58" s="50">
        <f>VLOOKUP($A58,'Data Vlaue (Cr)'!$C:$FB,143)</f>
        <v>673.36</v>
      </c>
      <c r="E58" s="50">
        <f>VLOOKUP($A58,'Data Vlaue (Cr)'!$C:$FB,144)</f>
        <v>479.79</v>
      </c>
      <c r="F58" s="50">
        <f>VLOOKUP($A58,'Data Vlaue (Cr)'!$C:$FB,146)*100</f>
        <v>40.35</v>
      </c>
      <c r="G58" s="49">
        <f>VLOOKUP($A58,'Data Vlaue (Cr)'!$C:$FB,43)</f>
        <v>151</v>
      </c>
      <c r="H58" s="49">
        <f>VLOOKUP($A58,'Data Vlaue (Cr)'!$C:$FB,44)</f>
        <v>124</v>
      </c>
      <c r="I58" s="49">
        <f>VLOOKUP($A58,'Data Vlaue (Cr)'!$C:$FB,46)*100</f>
        <v>21.88</v>
      </c>
      <c r="J58" s="51">
        <f>VLOOKUP($A58,'Data Vlaue (Cr)'!$C:$FB,59)</f>
        <v>277</v>
      </c>
      <c r="K58" s="51">
        <f>VLOOKUP($A58,'Data Vlaue (Cr)'!$C:$FB,60)</f>
        <v>244</v>
      </c>
      <c r="L58" s="51">
        <f>VLOOKUP($A58,'Data Vlaue (Cr)'!$C:$FB,62)*100</f>
        <v>13.569999999999999</v>
      </c>
      <c r="M58" s="51">
        <f>VLOOKUP($A58,'Data Vlaue (Cr)'!$C:$FB,63)</f>
        <v>233</v>
      </c>
      <c r="N58" s="51">
        <f>VLOOKUP($A58,'Data Vlaue (Cr)'!$C:$FB,64)</f>
        <v>97</v>
      </c>
      <c r="O58" s="51">
        <f>VLOOKUP($A58,'Data Vlaue (Cr)'!$C:$FB,66)*100</f>
        <v>140.31</v>
      </c>
    </row>
    <row r="59" spans="1:15" x14ac:dyDescent="0.25">
      <c r="A59" s="101" t="str">
        <f>'Data Vlaue (Cr)'!C54</f>
        <v>DELHIVERY</v>
      </c>
      <c r="B59" s="50">
        <f>VLOOKUP($A59,'Data Vlaue (Cr)'!$C:$FB,8)</f>
        <v>402.35</v>
      </c>
      <c r="C59" s="50">
        <f>VLOOKUP($A59,'Data Vlaue (Cr)'!$C:$FB,11)*100</f>
        <v>0.64</v>
      </c>
      <c r="D59" s="50">
        <f>VLOOKUP($A59,'Data Vlaue (Cr)'!$C:$FB,143)</f>
        <v>598.41999999999996</v>
      </c>
      <c r="E59" s="50">
        <f>VLOOKUP($A59,'Data Vlaue (Cr)'!$C:$FB,144)</f>
        <v>544.28</v>
      </c>
      <c r="F59" s="50">
        <f>VLOOKUP($A59,'Data Vlaue (Cr)'!$C:$FB,146)*100</f>
        <v>9.9500000000000011</v>
      </c>
      <c r="G59" s="49">
        <f>VLOOKUP($A59,'Data Vlaue (Cr)'!$C:$FB,43)</f>
        <v>116</v>
      </c>
      <c r="H59" s="49">
        <f>VLOOKUP($A59,'Data Vlaue (Cr)'!$C:$FB,44)</f>
        <v>95</v>
      </c>
      <c r="I59" s="49">
        <f>VLOOKUP($A59,'Data Vlaue (Cr)'!$C:$FB,46)*100</f>
        <v>21.4</v>
      </c>
      <c r="J59" s="51">
        <f>VLOOKUP($A59,'Data Vlaue (Cr)'!$C:$FB,59)</f>
        <v>279</v>
      </c>
      <c r="K59" s="51">
        <f>VLOOKUP($A59,'Data Vlaue (Cr)'!$C:$FB,60)</f>
        <v>291</v>
      </c>
      <c r="L59" s="51">
        <f>VLOOKUP($A59,'Data Vlaue (Cr)'!$C:$FB,62)*100</f>
        <v>-4.3900000000000006</v>
      </c>
      <c r="M59" s="51">
        <f>VLOOKUP($A59,'Data Vlaue (Cr)'!$C:$FB,63)</f>
        <v>195</v>
      </c>
      <c r="N59" s="51">
        <f>VLOOKUP($A59,'Data Vlaue (Cr)'!$C:$FB,64)</f>
        <v>145</v>
      </c>
      <c r="O59" s="51">
        <f>VLOOKUP($A59,'Data Vlaue (Cr)'!$C:$FB,66)*100</f>
        <v>34.64</v>
      </c>
    </row>
    <row r="60" spans="1:15" x14ac:dyDescent="0.25">
      <c r="A60" s="101" t="str">
        <f>'Data Vlaue (Cr)'!C55</f>
        <v>DIVISLAB</v>
      </c>
      <c r="B60" s="50">
        <f>VLOOKUP($A60,'Data Vlaue (Cr)'!$C:$FB,8)</f>
        <v>6380</v>
      </c>
      <c r="C60" s="50">
        <f>VLOOKUP($A60,'Data Vlaue (Cr)'!$C:$FB,11)*100</f>
        <v>1.38</v>
      </c>
      <c r="D60" s="50">
        <f>VLOOKUP($A60,'Data Vlaue (Cr)'!$C:$FB,143)</f>
        <v>1875.19</v>
      </c>
      <c r="E60" s="50">
        <f>VLOOKUP($A60,'Data Vlaue (Cr)'!$C:$FB,144)</f>
        <v>604.74</v>
      </c>
      <c r="F60" s="50">
        <f>VLOOKUP($A60,'Data Vlaue (Cr)'!$C:$FB,146)*100</f>
        <v>210.08</v>
      </c>
      <c r="G60" s="49">
        <f>VLOOKUP($A60,'Data Vlaue (Cr)'!$C:$FB,43)</f>
        <v>345</v>
      </c>
      <c r="H60" s="49">
        <f>VLOOKUP($A60,'Data Vlaue (Cr)'!$C:$FB,44)</f>
        <v>110</v>
      </c>
      <c r="I60" s="49">
        <f>VLOOKUP($A60,'Data Vlaue (Cr)'!$C:$FB,46)*100</f>
        <v>213.76</v>
      </c>
      <c r="J60" s="51">
        <f>VLOOKUP($A60,'Data Vlaue (Cr)'!$C:$FB,59)</f>
        <v>1149</v>
      </c>
      <c r="K60" s="51">
        <f>VLOOKUP($A60,'Data Vlaue (Cr)'!$C:$FB,60)</f>
        <v>338</v>
      </c>
      <c r="L60" s="51">
        <f>VLOOKUP($A60,'Data Vlaue (Cr)'!$C:$FB,62)*100</f>
        <v>239.6</v>
      </c>
      <c r="M60" s="51">
        <f>VLOOKUP($A60,'Data Vlaue (Cr)'!$C:$FB,63)</f>
        <v>357</v>
      </c>
      <c r="N60" s="51">
        <f>VLOOKUP($A60,'Data Vlaue (Cr)'!$C:$FB,64)</f>
        <v>151</v>
      </c>
      <c r="O60" s="51">
        <f>VLOOKUP($A60,'Data Vlaue (Cr)'!$C:$FB,66)*100</f>
        <v>136.65</v>
      </c>
    </row>
    <row r="61" spans="1:15" x14ac:dyDescent="0.25">
      <c r="A61" s="101" t="str">
        <f>'Data Vlaue (Cr)'!C56</f>
        <v>DIXON</v>
      </c>
      <c r="B61" s="50">
        <f>VLOOKUP($A61,'Data Vlaue (Cr)'!$C:$FB,8)</f>
        <v>13299</v>
      </c>
      <c r="C61" s="50">
        <f>VLOOKUP($A61,'Data Vlaue (Cr)'!$C:$FB,11)*100</f>
        <v>0.19</v>
      </c>
      <c r="D61" s="50">
        <f>VLOOKUP($A61,'Data Vlaue (Cr)'!$C:$FB,143)</f>
        <v>18599.25</v>
      </c>
      <c r="E61" s="50">
        <f>VLOOKUP($A61,'Data Vlaue (Cr)'!$C:$FB,144)</f>
        <v>17078.03</v>
      </c>
      <c r="F61" s="50">
        <f>VLOOKUP($A61,'Data Vlaue (Cr)'!$C:$FB,146)*100</f>
        <v>8.91</v>
      </c>
      <c r="G61" s="49">
        <f>VLOOKUP($A61,'Data Vlaue (Cr)'!$C:$FB,43)</f>
        <v>1180</v>
      </c>
      <c r="H61" s="49">
        <f>VLOOKUP($A61,'Data Vlaue (Cr)'!$C:$FB,44)</f>
        <v>930</v>
      </c>
      <c r="I61" s="49">
        <f>VLOOKUP($A61,'Data Vlaue (Cr)'!$C:$FB,46)*100</f>
        <v>26.82</v>
      </c>
      <c r="J61" s="51">
        <f>VLOOKUP($A61,'Data Vlaue (Cr)'!$C:$FB,59)</f>
        <v>9549</v>
      </c>
      <c r="K61" s="51">
        <f>VLOOKUP($A61,'Data Vlaue (Cr)'!$C:$FB,60)</f>
        <v>7591</v>
      </c>
      <c r="L61" s="51">
        <f>VLOOKUP($A61,'Data Vlaue (Cr)'!$C:$FB,62)*100</f>
        <v>25.790000000000003</v>
      </c>
      <c r="M61" s="51">
        <f>VLOOKUP($A61,'Data Vlaue (Cr)'!$C:$FB,63)</f>
        <v>7538</v>
      </c>
      <c r="N61" s="51">
        <f>VLOOKUP($A61,'Data Vlaue (Cr)'!$C:$FB,64)</f>
        <v>8251</v>
      </c>
      <c r="O61" s="51">
        <f>VLOOKUP($A61,'Data Vlaue (Cr)'!$C:$FB,66)*100</f>
        <v>-8.64</v>
      </c>
    </row>
    <row r="62" spans="1:15" x14ac:dyDescent="0.25">
      <c r="A62" s="101" t="str">
        <f>'Data Vlaue (Cr)'!C57</f>
        <v>DLF</v>
      </c>
      <c r="B62" s="50">
        <f>VLOOKUP($A62,'Data Vlaue (Cr)'!$C:$FB,8)</f>
        <v>679.05</v>
      </c>
      <c r="C62" s="50">
        <f>VLOOKUP($A62,'Data Vlaue (Cr)'!$C:$FB,11)*100</f>
        <v>-0.59</v>
      </c>
      <c r="D62" s="50">
        <f>VLOOKUP($A62,'Data Vlaue (Cr)'!$C:$FB,143)</f>
        <v>3491.44</v>
      </c>
      <c r="E62" s="50">
        <f>VLOOKUP($A62,'Data Vlaue (Cr)'!$C:$FB,144)</f>
        <v>2102.59</v>
      </c>
      <c r="F62" s="50">
        <f>VLOOKUP($A62,'Data Vlaue (Cr)'!$C:$FB,146)*100</f>
        <v>66.05</v>
      </c>
      <c r="G62" s="49">
        <f>VLOOKUP($A62,'Data Vlaue (Cr)'!$C:$FB,43)</f>
        <v>504</v>
      </c>
      <c r="H62" s="49">
        <f>VLOOKUP($A62,'Data Vlaue (Cr)'!$C:$FB,44)</f>
        <v>322</v>
      </c>
      <c r="I62" s="49">
        <f>VLOOKUP($A62,'Data Vlaue (Cr)'!$C:$FB,46)*100</f>
        <v>56.499999999999993</v>
      </c>
      <c r="J62" s="51">
        <f>VLOOKUP($A62,'Data Vlaue (Cr)'!$C:$FB,59)</f>
        <v>1683</v>
      </c>
      <c r="K62" s="51">
        <f>VLOOKUP($A62,'Data Vlaue (Cr)'!$C:$FB,60)</f>
        <v>1225</v>
      </c>
      <c r="L62" s="51">
        <f>VLOOKUP($A62,'Data Vlaue (Cr)'!$C:$FB,62)*100</f>
        <v>37.4</v>
      </c>
      <c r="M62" s="51">
        <f>VLOOKUP($A62,'Data Vlaue (Cr)'!$C:$FB,63)</f>
        <v>1222</v>
      </c>
      <c r="N62" s="51">
        <f>VLOOKUP($A62,'Data Vlaue (Cr)'!$C:$FB,64)</f>
        <v>476</v>
      </c>
      <c r="O62" s="51">
        <f>VLOOKUP($A62,'Data Vlaue (Cr)'!$C:$FB,66)*100</f>
        <v>156.88999999999999</v>
      </c>
    </row>
    <row r="63" spans="1:15" x14ac:dyDescent="0.25">
      <c r="A63" s="101" t="str">
        <f>'Data Vlaue (Cr)'!C58</f>
        <v>DMART</v>
      </c>
      <c r="B63" s="50">
        <f>VLOOKUP($A63,'Data Vlaue (Cr)'!$C:$FB,8)</f>
        <v>3757.2</v>
      </c>
      <c r="C63" s="50">
        <f>VLOOKUP($A63,'Data Vlaue (Cr)'!$C:$FB,11)*100</f>
        <v>-1.7999999999999998</v>
      </c>
      <c r="D63" s="50">
        <f>VLOOKUP($A63,'Data Vlaue (Cr)'!$C:$FB,143)</f>
        <v>2015.12</v>
      </c>
      <c r="E63" s="50">
        <f>VLOOKUP($A63,'Data Vlaue (Cr)'!$C:$FB,144)</f>
        <v>1302.3599999999999</v>
      </c>
      <c r="F63" s="50">
        <f>VLOOKUP($A63,'Data Vlaue (Cr)'!$C:$FB,146)*100</f>
        <v>54.730000000000004</v>
      </c>
      <c r="G63" s="49">
        <f>VLOOKUP($A63,'Data Vlaue (Cr)'!$C:$FB,43)</f>
        <v>193</v>
      </c>
      <c r="H63" s="49">
        <f>VLOOKUP($A63,'Data Vlaue (Cr)'!$C:$FB,44)</f>
        <v>246</v>
      </c>
      <c r="I63" s="49">
        <f>VLOOKUP($A63,'Data Vlaue (Cr)'!$C:$FB,46)*100</f>
        <v>-21.63</v>
      </c>
      <c r="J63" s="51">
        <f>VLOOKUP($A63,'Data Vlaue (Cr)'!$C:$FB,59)</f>
        <v>1252</v>
      </c>
      <c r="K63" s="51">
        <f>VLOOKUP($A63,'Data Vlaue (Cr)'!$C:$FB,60)</f>
        <v>716</v>
      </c>
      <c r="L63" s="51">
        <f>VLOOKUP($A63,'Data Vlaue (Cr)'!$C:$FB,62)*100</f>
        <v>75.03</v>
      </c>
      <c r="M63" s="51">
        <f>VLOOKUP($A63,'Data Vlaue (Cr)'!$C:$FB,63)</f>
        <v>499</v>
      </c>
      <c r="N63" s="51">
        <f>VLOOKUP($A63,'Data Vlaue (Cr)'!$C:$FB,64)</f>
        <v>289</v>
      </c>
      <c r="O63" s="51">
        <f>VLOOKUP($A63,'Data Vlaue (Cr)'!$C:$FB,66)*100</f>
        <v>72.460000000000008</v>
      </c>
    </row>
    <row r="64" spans="1:15" x14ac:dyDescent="0.25">
      <c r="A64" s="101" t="str">
        <f>'Data Vlaue (Cr)'!C59</f>
        <v>DRREDDY</v>
      </c>
      <c r="B64" s="50">
        <f>VLOOKUP($A64,'Data Vlaue (Cr)'!$C:$FB,8)</f>
        <v>1280</v>
      </c>
      <c r="C64" s="50">
        <f>VLOOKUP($A64,'Data Vlaue (Cr)'!$C:$FB,11)*100</f>
        <v>0.63</v>
      </c>
      <c r="D64" s="50">
        <f>VLOOKUP($A64,'Data Vlaue (Cr)'!$C:$FB,143)</f>
        <v>940</v>
      </c>
      <c r="E64" s="50">
        <f>VLOOKUP($A64,'Data Vlaue (Cr)'!$C:$FB,144)</f>
        <v>837.16</v>
      </c>
      <c r="F64" s="50">
        <f>VLOOKUP($A64,'Data Vlaue (Cr)'!$C:$FB,146)*100</f>
        <v>12.280000000000001</v>
      </c>
      <c r="G64" s="49">
        <f>VLOOKUP($A64,'Data Vlaue (Cr)'!$C:$FB,43)</f>
        <v>234</v>
      </c>
      <c r="H64" s="49">
        <f>VLOOKUP($A64,'Data Vlaue (Cr)'!$C:$FB,44)</f>
        <v>167</v>
      </c>
      <c r="I64" s="49">
        <f>VLOOKUP($A64,'Data Vlaue (Cr)'!$C:$FB,46)*100</f>
        <v>39.660000000000004</v>
      </c>
      <c r="J64" s="51">
        <f>VLOOKUP($A64,'Data Vlaue (Cr)'!$C:$FB,59)</f>
        <v>460</v>
      </c>
      <c r="K64" s="51">
        <f>VLOOKUP($A64,'Data Vlaue (Cr)'!$C:$FB,60)</f>
        <v>435</v>
      </c>
      <c r="L64" s="51">
        <f>VLOOKUP($A64,'Data Vlaue (Cr)'!$C:$FB,62)*100</f>
        <v>5.81</v>
      </c>
      <c r="M64" s="51">
        <f>VLOOKUP($A64,'Data Vlaue (Cr)'!$C:$FB,63)</f>
        <v>242</v>
      </c>
      <c r="N64" s="51">
        <f>VLOOKUP($A64,'Data Vlaue (Cr)'!$C:$FB,64)</f>
        <v>230</v>
      </c>
      <c r="O64" s="51">
        <f>VLOOKUP($A64,'Data Vlaue (Cr)'!$C:$FB,66)*100</f>
        <v>5.3900000000000006</v>
      </c>
    </row>
    <row r="65" spans="1:15" x14ac:dyDescent="0.25">
      <c r="A65" s="101" t="str">
        <f>'Data Vlaue (Cr)'!C60</f>
        <v>EICHERMOT</v>
      </c>
      <c r="B65" s="50">
        <f>VLOOKUP($A65,'Data Vlaue (Cr)'!$C:$FB,8)</f>
        <v>7106.5</v>
      </c>
      <c r="C65" s="50">
        <f>VLOOKUP($A65,'Data Vlaue (Cr)'!$C:$FB,11)*100</f>
        <v>-0.38999999999999996</v>
      </c>
      <c r="D65" s="50">
        <f>VLOOKUP($A65,'Data Vlaue (Cr)'!$C:$FB,143)</f>
        <v>5542.1</v>
      </c>
      <c r="E65" s="50">
        <f>VLOOKUP($A65,'Data Vlaue (Cr)'!$C:$FB,144)</f>
        <v>5903</v>
      </c>
      <c r="F65" s="50">
        <f>VLOOKUP($A65,'Data Vlaue (Cr)'!$C:$FB,146)*100</f>
        <v>-6.11</v>
      </c>
      <c r="G65" s="49">
        <f>VLOOKUP($A65,'Data Vlaue (Cr)'!$C:$FB,43)</f>
        <v>486</v>
      </c>
      <c r="H65" s="49">
        <f>VLOOKUP($A65,'Data Vlaue (Cr)'!$C:$FB,44)</f>
        <v>718</v>
      </c>
      <c r="I65" s="49">
        <f>VLOOKUP($A65,'Data Vlaue (Cr)'!$C:$FB,46)*100</f>
        <v>-32.26</v>
      </c>
      <c r="J65" s="51">
        <f>VLOOKUP($A65,'Data Vlaue (Cr)'!$C:$FB,59)</f>
        <v>2875</v>
      </c>
      <c r="K65" s="51">
        <f>VLOOKUP($A65,'Data Vlaue (Cr)'!$C:$FB,60)</f>
        <v>3380</v>
      </c>
      <c r="L65" s="51">
        <f>VLOOKUP($A65,'Data Vlaue (Cr)'!$C:$FB,62)*100</f>
        <v>-14.940000000000001</v>
      </c>
      <c r="M65" s="51">
        <f>VLOOKUP($A65,'Data Vlaue (Cr)'!$C:$FB,63)</f>
        <v>2244</v>
      </c>
      <c r="N65" s="51">
        <f>VLOOKUP($A65,'Data Vlaue (Cr)'!$C:$FB,64)</f>
        <v>1788</v>
      </c>
      <c r="O65" s="51">
        <f>VLOOKUP($A65,'Data Vlaue (Cr)'!$C:$FB,66)*100</f>
        <v>25.480000000000004</v>
      </c>
    </row>
    <row r="66" spans="1:15" x14ac:dyDescent="0.25">
      <c r="A66" s="101" t="str">
        <f>'Data Vlaue (Cr)'!C61</f>
        <v>ETERNAL</v>
      </c>
      <c r="B66" s="50">
        <f>VLOOKUP($A66,'Data Vlaue (Cr)'!$C:$FB,8)</f>
        <v>284.75</v>
      </c>
      <c r="C66" s="50">
        <f>VLOOKUP($A66,'Data Vlaue (Cr)'!$C:$FB,11)*100</f>
        <v>0.11</v>
      </c>
      <c r="D66" s="50">
        <f>VLOOKUP($A66,'Data Vlaue (Cr)'!$C:$FB,143)</f>
        <v>3825.16</v>
      </c>
      <c r="E66" s="50">
        <f>VLOOKUP($A66,'Data Vlaue (Cr)'!$C:$FB,144)</f>
        <v>5575.63</v>
      </c>
      <c r="F66" s="50">
        <f>VLOOKUP($A66,'Data Vlaue (Cr)'!$C:$FB,146)*100</f>
        <v>-31.39</v>
      </c>
      <c r="G66" s="49">
        <f>VLOOKUP($A66,'Data Vlaue (Cr)'!$C:$FB,43)</f>
        <v>658</v>
      </c>
      <c r="H66" s="49">
        <f>VLOOKUP($A66,'Data Vlaue (Cr)'!$C:$FB,44)</f>
        <v>753</v>
      </c>
      <c r="I66" s="49">
        <f>VLOOKUP($A66,'Data Vlaue (Cr)'!$C:$FB,46)*100</f>
        <v>-12.68</v>
      </c>
      <c r="J66" s="51">
        <f>VLOOKUP($A66,'Data Vlaue (Cr)'!$C:$FB,59)</f>
        <v>1985</v>
      </c>
      <c r="K66" s="51">
        <f>VLOOKUP($A66,'Data Vlaue (Cr)'!$C:$FB,60)</f>
        <v>2922</v>
      </c>
      <c r="L66" s="51">
        <f>VLOOKUP($A66,'Data Vlaue (Cr)'!$C:$FB,62)*100</f>
        <v>-32.07</v>
      </c>
      <c r="M66" s="51">
        <f>VLOOKUP($A66,'Data Vlaue (Cr)'!$C:$FB,63)</f>
        <v>1096</v>
      </c>
      <c r="N66" s="51">
        <f>VLOOKUP($A66,'Data Vlaue (Cr)'!$C:$FB,64)</f>
        <v>1745</v>
      </c>
      <c r="O66" s="51">
        <f>VLOOKUP($A66,'Data Vlaue (Cr)'!$C:$FB,66)*100</f>
        <v>-37.22</v>
      </c>
    </row>
    <row r="67" spans="1:15" x14ac:dyDescent="0.25">
      <c r="A67" s="101" t="str">
        <f>'Data Vlaue (Cr)'!C62</f>
        <v>EXIDEIND</v>
      </c>
      <c r="B67" s="50">
        <f>VLOOKUP($A67,'Data Vlaue (Cr)'!$C:$FB,8)</f>
        <v>359.05</v>
      </c>
      <c r="C67" s="50">
        <f>VLOOKUP($A67,'Data Vlaue (Cr)'!$C:$FB,11)*100</f>
        <v>-1.31</v>
      </c>
      <c r="D67" s="50">
        <f>VLOOKUP($A67,'Data Vlaue (Cr)'!$C:$FB,143)</f>
        <v>821.47</v>
      </c>
      <c r="E67" s="50">
        <f>VLOOKUP($A67,'Data Vlaue (Cr)'!$C:$FB,144)</f>
        <v>616.24</v>
      </c>
      <c r="F67" s="50">
        <f>VLOOKUP($A67,'Data Vlaue (Cr)'!$C:$FB,146)*100</f>
        <v>33.300000000000004</v>
      </c>
      <c r="G67" s="49">
        <f>VLOOKUP($A67,'Data Vlaue (Cr)'!$C:$FB,43)</f>
        <v>133</v>
      </c>
      <c r="H67" s="49">
        <f>VLOOKUP($A67,'Data Vlaue (Cr)'!$C:$FB,44)</f>
        <v>74</v>
      </c>
      <c r="I67" s="49">
        <f>VLOOKUP($A67,'Data Vlaue (Cr)'!$C:$FB,46)*100</f>
        <v>78.959999999999994</v>
      </c>
      <c r="J67" s="51">
        <f>VLOOKUP($A67,'Data Vlaue (Cr)'!$C:$FB,59)</f>
        <v>454</v>
      </c>
      <c r="K67" s="51">
        <f>VLOOKUP($A67,'Data Vlaue (Cr)'!$C:$FB,60)</f>
        <v>368</v>
      </c>
      <c r="L67" s="51">
        <f>VLOOKUP($A67,'Data Vlaue (Cr)'!$C:$FB,62)*100</f>
        <v>23.21</v>
      </c>
      <c r="M67" s="51">
        <f>VLOOKUP($A67,'Data Vlaue (Cr)'!$C:$FB,63)</f>
        <v>214</v>
      </c>
      <c r="N67" s="51">
        <f>VLOOKUP($A67,'Data Vlaue (Cr)'!$C:$FB,64)</f>
        <v>152</v>
      </c>
      <c r="O67" s="51">
        <f>VLOOKUP($A67,'Data Vlaue (Cr)'!$C:$FB,66)*100</f>
        <v>40.86</v>
      </c>
    </row>
    <row r="68" spans="1:15" x14ac:dyDescent="0.25">
      <c r="A68" s="101" t="str">
        <f>'Data Vlaue (Cr)'!C63</f>
        <v>FEDERALBNK</v>
      </c>
      <c r="B68" s="50">
        <f>VLOOKUP($A68,'Data Vlaue (Cr)'!$C:$FB,8)</f>
        <v>265.39999999999998</v>
      </c>
      <c r="C68" s="50">
        <f>VLOOKUP($A68,'Data Vlaue (Cr)'!$C:$FB,11)*100</f>
        <v>0.67999999999999994</v>
      </c>
      <c r="D68" s="50">
        <f>VLOOKUP($A68,'Data Vlaue (Cr)'!$C:$FB,143)</f>
        <v>2993.17</v>
      </c>
      <c r="E68" s="50">
        <f>VLOOKUP($A68,'Data Vlaue (Cr)'!$C:$FB,144)</f>
        <v>2333.02</v>
      </c>
      <c r="F68" s="50">
        <f>VLOOKUP($A68,'Data Vlaue (Cr)'!$C:$FB,146)*100</f>
        <v>28.299999999999997</v>
      </c>
      <c r="G68" s="49">
        <f>VLOOKUP($A68,'Data Vlaue (Cr)'!$C:$FB,43)</f>
        <v>320</v>
      </c>
      <c r="H68" s="49">
        <f>VLOOKUP($A68,'Data Vlaue (Cr)'!$C:$FB,44)</f>
        <v>310</v>
      </c>
      <c r="I68" s="49">
        <f>VLOOKUP($A68,'Data Vlaue (Cr)'!$C:$FB,46)*100</f>
        <v>3</v>
      </c>
      <c r="J68" s="51">
        <f>VLOOKUP($A68,'Data Vlaue (Cr)'!$C:$FB,59)</f>
        <v>1523</v>
      </c>
      <c r="K68" s="51">
        <f>VLOOKUP($A68,'Data Vlaue (Cr)'!$C:$FB,60)</f>
        <v>1266</v>
      </c>
      <c r="L68" s="51">
        <f>VLOOKUP($A68,'Data Vlaue (Cr)'!$C:$FB,62)*100</f>
        <v>20.23</v>
      </c>
      <c r="M68" s="51">
        <f>VLOOKUP($A68,'Data Vlaue (Cr)'!$C:$FB,63)</f>
        <v>1130</v>
      </c>
      <c r="N68" s="51">
        <f>VLOOKUP($A68,'Data Vlaue (Cr)'!$C:$FB,64)</f>
        <v>742</v>
      </c>
      <c r="O68" s="51">
        <f>VLOOKUP($A68,'Data Vlaue (Cr)'!$C:$FB,66)*100</f>
        <v>52.26</v>
      </c>
    </row>
    <row r="69" spans="1:15" x14ac:dyDescent="0.25">
      <c r="A69" s="101" t="str">
        <f>'Data Vlaue (Cr)'!C64</f>
        <v>FINNIFTY</v>
      </c>
      <c r="B69" s="50">
        <f>VLOOKUP($A69,'Data Vlaue (Cr)'!$C:$FB,8)</f>
        <v>27267.1</v>
      </c>
      <c r="C69" s="50">
        <f>VLOOKUP($A69,'Data Vlaue (Cr)'!$C:$FB,11)*100</f>
        <v>0.06</v>
      </c>
      <c r="D69" s="50">
        <f>VLOOKUP($A69,'Data Vlaue (Cr)'!$C:$FB,143)</f>
        <v>7665.02</v>
      </c>
      <c r="E69" s="50">
        <f>VLOOKUP($A69,'Data Vlaue (Cr)'!$C:$FB,144)</f>
        <v>8283.74</v>
      </c>
      <c r="F69" s="50">
        <f>VLOOKUP($A69,'Data Vlaue (Cr)'!$C:$FB,146)*100</f>
        <v>-7.4700000000000006</v>
      </c>
      <c r="G69" s="49">
        <f>VLOOKUP($A69,'Data Vlaue (Cr)'!$C:$FB,43)</f>
        <v>33</v>
      </c>
      <c r="H69" s="49">
        <f>VLOOKUP($A69,'Data Vlaue (Cr)'!$C:$FB,44)</f>
        <v>76</v>
      </c>
      <c r="I69" s="49">
        <f>VLOOKUP($A69,'Data Vlaue (Cr)'!$C:$FB,46)*100</f>
        <v>-56.100000000000009</v>
      </c>
      <c r="J69" s="51">
        <f>VLOOKUP($A69,'Data Vlaue (Cr)'!$C:$FB,59)</f>
        <v>4060</v>
      </c>
      <c r="K69" s="51">
        <f>VLOOKUP($A69,'Data Vlaue (Cr)'!$C:$FB,60)</f>
        <v>4896</v>
      </c>
      <c r="L69" s="51">
        <f>VLOOKUP($A69,'Data Vlaue (Cr)'!$C:$FB,62)*100</f>
        <v>-17.080000000000002</v>
      </c>
      <c r="M69" s="51">
        <f>VLOOKUP($A69,'Data Vlaue (Cr)'!$C:$FB,63)</f>
        <v>3503</v>
      </c>
      <c r="N69" s="51">
        <f>VLOOKUP($A69,'Data Vlaue (Cr)'!$C:$FB,64)</f>
        <v>3227</v>
      </c>
      <c r="O69" s="51">
        <f>VLOOKUP($A69,'Data Vlaue (Cr)'!$C:$FB,66)*100</f>
        <v>8.5599999999999987</v>
      </c>
    </row>
    <row r="70" spans="1:15" x14ac:dyDescent="0.25">
      <c r="A70" s="101" t="str">
        <f>'Data Vlaue (Cr)'!C65</f>
        <v>FORTIS</v>
      </c>
      <c r="B70" s="50">
        <f>VLOOKUP($A70,'Data Vlaue (Cr)'!$C:$FB,8)</f>
        <v>866.35</v>
      </c>
      <c r="C70" s="50">
        <f>VLOOKUP($A70,'Data Vlaue (Cr)'!$C:$FB,11)*100</f>
        <v>-0.53</v>
      </c>
      <c r="D70" s="50">
        <f>VLOOKUP($A70,'Data Vlaue (Cr)'!$C:$FB,143)</f>
        <v>987.21</v>
      </c>
      <c r="E70" s="50">
        <f>VLOOKUP($A70,'Data Vlaue (Cr)'!$C:$FB,144)</f>
        <v>553.97</v>
      </c>
      <c r="F70" s="50">
        <f>VLOOKUP($A70,'Data Vlaue (Cr)'!$C:$FB,146)*100</f>
        <v>78.210000000000008</v>
      </c>
      <c r="G70" s="49">
        <f>VLOOKUP($A70,'Data Vlaue (Cr)'!$C:$FB,43)</f>
        <v>157</v>
      </c>
      <c r="H70" s="49">
        <f>VLOOKUP($A70,'Data Vlaue (Cr)'!$C:$FB,44)</f>
        <v>183</v>
      </c>
      <c r="I70" s="49">
        <f>VLOOKUP($A70,'Data Vlaue (Cr)'!$C:$FB,46)*100</f>
        <v>-14.32</v>
      </c>
      <c r="J70" s="51">
        <f>VLOOKUP($A70,'Data Vlaue (Cr)'!$C:$FB,59)</f>
        <v>517</v>
      </c>
      <c r="K70" s="51">
        <f>VLOOKUP($A70,'Data Vlaue (Cr)'!$C:$FB,60)</f>
        <v>254</v>
      </c>
      <c r="L70" s="51">
        <f>VLOOKUP($A70,'Data Vlaue (Cr)'!$C:$FB,62)*100</f>
        <v>103.84</v>
      </c>
      <c r="M70" s="51">
        <f>VLOOKUP($A70,'Data Vlaue (Cr)'!$C:$FB,63)</f>
        <v>289</v>
      </c>
      <c r="N70" s="51">
        <f>VLOOKUP($A70,'Data Vlaue (Cr)'!$C:$FB,64)</f>
        <v>102</v>
      </c>
      <c r="O70" s="51">
        <f>VLOOKUP($A70,'Data Vlaue (Cr)'!$C:$FB,66)*100</f>
        <v>182.83</v>
      </c>
    </row>
    <row r="71" spans="1:15" x14ac:dyDescent="0.25">
      <c r="A71" s="101" t="str">
        <f>'Data Vlaue (Cr)'!C66</f>
        <v>GAIL</v>
      </c>
      <c r="B71" s="50">
        <f>VLOOKUP($A71,'Data Vlaue (Cr)'!$C:$FB,8)</f>
        <v>167.55</v>
      </c>
      <c r="C71" s="50">
        <f>VLOOKUP($A71,'Data Vlaue (Cr)'!$C:$FB,11)*100</f>
        <v>-0.89999999999999991</v>
      </c>
      <c r="D71" s="50">
        <f>VLOOKUP($A71,'Data Vlaue (Cr)'!$C:$FB,143)</f>
        <v>694.92</v>
      </c>
      <c r="E71" s="50">
        <f>VLOOKUP($A71,'Data Vlaue (Cr)'!$C:$FB,144)</f>
        <v>719.87</v>
      </c>
      <c r="F71" s="50">
        <f>VLOOKUP($A71,'Data Vlaue (Cr)'!$C:$FB,146)*100</f>
        <v>-3.47</v>
      </c>
      <c r="G71" s="49">
        <f>VLOOKUP($A71,'Data Vlaue (Cr)'!$C:$FB,43)</f>
        <v>141</v>
      </c>
      <c r="H71" s="49">
        <f>VLOOKUP($A71,'Data Vlaue (Cr)'!$C:$FB,44)</f>
        <v>125</v>
      </c>
      <c r="I71" s="49">
        <f>VLOOKUP($A71,'Data Vlaue (Cr)'!$C:$FB,46)*100</f>
        <v>13.08</v>
      </c>
      <c r="J71" s="51">
        <f>VLOOKUP($A71,'Data Vlaue (Cr)'!$C:$FB,59)</f>
        <v>381</v>
      </c>
      <c r="K71" s="51">
        <f>VLOOKUP($A71,'Data Vlaue (Cr)'!$C:$FB,60)</f>
        <v>411</v>
      </c>
      <c r="L71" s="51">
        <f>VLOOKUP($A71,'Data Vlaue (Cr)'!$C:$FB,62)*100</f>
        <v>-7.24</v>
      </c>
      <c r="M71" s="51">
        <f>VLOOKUP($A71,'Data Vlaue (Cr)'!$C:$FB,63)</f>
        <v>153</v>
      </c>
      <c r="N71" s="51">
        <f>VLOOKUP($A71,'Data Vlaue (Cr)'!$C:$FB,64)</f>
        <v>158</v>
      </c>
      <c r="O71" s="51">
        <f>VLOOKUP($A71,'Data Vlaue (Cr)'!$C:$FB,66)*100</f>
        <v>-3.58</v>
      </c>
    </row>
    <row r="72" spans="1:15" x14ac:dyDescent="0.25">
      <c r="A72" s="101" t="str">
        <f>'Data Vlaue (Cr)'!C67</f>
        <v>GLENMARK</v>
      </c>
      <c r="B72" s="50">
        <f>VLOOKUP($A72,'Data Vlaue (Cr)'!$C:$FB,8)</f>
        <v>1957.1</v>
      </c>
      <c r="C72" s="50">
        <f>VLOOKUP($A72,'Data Vlaue (Cr)'!$C:$FB,11)*100</f>
        <v>0.44999999999999996</v>
      </c>
      <c r="D72" s="50">
        <f>VLOOKUP($A72,'Data Vlaue (Cr)'!$C:$FB,143)</f>
        <v>1310.86</v>
      </c>
      <c r="E72" s="50">
        <f>VLOOKUP($A72,'Data Vlaue (Cr)'!$C:$FB,144)</f>
        <v>1314.86</v>
      </c>
      <c r="F72" s="50">
        <f>VLOOKUP($A72,'Data Vlaue (Cr)'!$C:$FB,146)*100</f>
        <v>-0.3</v>
      </c>
      <c r="G72" s="49">
        <f>VLOOKUP($A72,'Data Vlaue (Cr)'!$C:$FB,43)</f>
        <v>262</v>
      </c>
      <c r="H72" s="49">
        <f>VLOOKUP($A72,'Data Vlaue (Cr)'!$C:$FB,44)</f>
        <v>271</v>
      </c>
      <c r="I72" s="49">
        <f>VLOOKUP($A72,'Data Vlaue (Cr)'!$C:$FB,46)*100</f>
        <v>-3.49</v>
      </c>
      <c r="J72" s="51">
        <f>VLOOKUP($A72,'Data Vlaue (Cr)'!$C:$FB,59)</f>
        <v>658</v>
      </c>
      <c r="K72" s="51">
        <f>VLOOKUP($A72,'Data Vlaue (Cr)'!$C:$FB,60)</f>
        <v>688</v>
      </c>
      <c r="L72" s="51">
        <f>VLOOKUP($A72,'Data Vlaue (Cr)'!$C:$FB,62)*100</f>
        <v>-4.25</v>
      </c>
      <c r="M72" s="51">
        <f>VLOOKUP($A72,'Data Vlaue (Cr)'!$C:$FB,63)</f>
        <v>378</v>
      </c>
      <c r="N72" s="51">
        <f>VLOOKUP($A72,'Data Vlaue (Cr)'!$C:$FB,64)</f>
        <v>333</v>
      </c>
      <c r="O72" s="51">
        <f>VLOOKUP($A72,'Data Vlaue (Cr)'!$C:$FB,66)*100</f>
        <v>13.600000000000001</v>
      </c>
    </row>
    <row r="73" spans="1:15" x14ac:dyDescent="0.25">
      <c r="A73" s="101" t="str">
        <f>'Data Vlaue (Cr)'!C68</f>
        <v>GMRAIRPORT</v>
      </c>
      <c r="B73" s="50">
        <f>VLOOKUP($A73,'Data Vlaue (Cr)'!$C:$FB,8)</f>
        <v>100.59</v>
      </c>
      <c r="C73" s="50">
        <f>VLOOKUP($A73,'Data Vlaue (Cr)'!$C:$FB,11)*100</f>
        <v>-0.36</v>
      </c>
      <c r="D73" s="50">
        <f>VLOOKUP($A73,'Data Vlaue (Cr)'!$C:$FB,143)</f>
        <v>2196.4699999999998</v>
      </c>
      <c r="E73" s="50">
        <f>VLOOKUP($A73,'Data Vlaue (Cr)'!$C:$FB,144)</f>
        <v>2293.4299999999998</v>
      </c>
      <c r="F73" s="50">
        <f>VLOOKUP($A73,'Data Vlaue (Cr)'!$C:$FB,146)*100</f>
        <v>-4.2299999999999995</v>
      </c>
      <c r="G73" s="49">
        <f>VLOOKUP($A73,'Data Vlaue (Cr)'!$C:$FB,43)</f>
        <v>243</v>
      </c>
      <c r="H73" s="49">
        <f>VLOOKUP($A73,'Data Vlaue (Cr)'!$C:$FB,44)</f>
        <v>298</v>
      </c>
      <c r="I73" s="49">
        <f>VLOOKUP($A73,'Data Vlaue (Cr)'!$C:$FB,46)*100</f>
        <v>-18.43</v>
      </c>
      <c r="J73" s="51">
        <f>VLOOKUP($A73,'Data Vlaue (Cr)'!$C:$FB,59)</f>
        <v>1331</v>
      </c>
      <c r="K73" s="51">
        <f>VLOOKUP($A73,'Data Vlaue (Cr)'!$C:$FB,60)</f>
        <v>1298</v>
      </c>
      <c r="L73" s="51">
        <f>VLOOKUP($A73,'Data Vlaue (Cr)'!$C:$FB,62)*100</f>
        <v>2.5499999999999998</v>
      </c>
      <c r="M73" s="51">
        <f>VLOOKUP($A73,'Data Vlaue (Cr)'!$C:$FB,63)</f>
        <v>555</v>
      </c>
      <c r="N73" s="51">
        <f>VLOOKUP($A73,'Data Vlaue (Cr)'!$C:$FB,64)</f>
        <v>601</v>
      </c>
      <c r="O73" s="51">
        <f>VLOOKUP($A73,'Data Vlaue (Cr)'!$C:$FB,66)*100</f>
        <v>-7.7200000000000006</v>
      </c>
    </row>
    <row r="74" spans="1:15" x14ac:dyDescent="0.25">
      <c r="A74" s="101" t="str">
        <f>'Data Vlaue (Cr)'!C69</f>
        <v>GODREJCP</v>
      </c>
      <c r="B74" s="50">
        <f>VLOOKUP($A74,'Data Vlaue (Cr)'!$C:$FB,8)</f>
        <v>1186.8</v>
      </c>
      <c r="C74" s="50">
        <f>VLOOKUP($A74,'Data Vlaue (Cr)'!$C:$FB,11)*100</f>
        <v>0.6</v>
      </c>
      <c r="D74" s="50">
        <f>VLOOKUP($A74,'Data Vlaue (Cr)'!$C:$FB,143)</f>
        <v>536.62</v>
      </c>
      <c r="E74" s="50">
        <f>VLOOKUP($A74,'Data Vlaue (Cr)'!$C:$FB,144)</f>
        <v>576.95000000000005</v>
      </c>
      <c r="F74" s="50">
        <f>VLOOKUP($A74,'Data Vlaue (Cr)'!$C:$FB,146)*100</f>
        <v>-6.99</v>
      </c>
      <c r="G74" s="49">
        <f>VLOOKUP($A74,'Data Vlaue (Cr)'!$C:$FB,43)</f>
        <v>118</v>
      </c>
      <c r="H74" s="49">
        <f>VLOOKUP($A74,'Data Vlaue (Cr)'!$C:$FB,44)</f>
        <v>113</v>
      </c>
      <c r="I74" s="49">
        <f>VLOOKUP($A74,'Data Vlaue (Cr)'!$C:$FB,46)*100</f>
        <v>4.8</v>
      </c>
      <c r="J74" s="51">
        <f>VLOOKUP($A74,'Data Vlaue (Cr)'!$C:$FB,59)</f>
        <v>267</v>
      </c>
      <c r="K74" s="51">
        <f>VLOOKUP($A74,'Data Vlaue (Cr)'!$C:$FB,60)</f>
        <v>309</v>
      </c>
      <c r="L74" s="51">
        <f>VLOOKUP($A74,'Data Vlaue (Cr)'!$C:$FB,62)*100</f>
        <v>-13.850000000000001</v>
      </c>
      <c r="M74" s="51">
        <f>VLOOKUP($A74,'Data Vlaue (Cr)'!$C:$FB,63)</f>
        <v>149</v>
      </c>
      <c r="N74" s="51">
        <f>VLOOKUP($A74,'Data Vlaue (Cr)'!$C:$FB,64)</f>
        <v>151</v>
      </c>
      <c r="O74" s="51">
        <f>VLOOKUP($A74,'Data Vlaue (Cr)'!$C:$FB,66)*100</f>
        <v>-1.54</v>
      </c>
    </row>
    <row r="75" spans="1:15" x14ac:dyDescent="0.25">
      <c r="A75" s="101" t="str">
        <f>'Data Vlaue (Cr)'!C70</f>
        <v>GODREJPROP</v>
      </c>
      <c r="B75" s="50">
        <f>VLOOKUP($A75,'Data Vlaue (Cr)'!$C:$FB,8)</f>
        <v>1999.8</v>
      </c>
      <c r="C75" s="50">
        <f>VLOOKUP($A75,'Data Vlaue (Cr)'!$C:$FB,11)*100</f>
        <v>-0.75</v>
      </c>
      <c r="D75" s="50">
        <f>VLOOKUP($A75,'Data Vlaue (Cr)'!$C:$FB,143)</f>
        <v>991.65</v>
      </c>
      <c r="E75" s="50">
        <f>VLOOKUP($A75,'Data Vlaue (Cr)'!$C:$FB,144)</f>
        <v>650.30999999999995</v>
      </c>
      <c r="F75" s="50">
        <f>VLOOKUP($A75,'Data Vlaue (Cr)'!$C:$FB,146)*100</f>
        <v>52.49</v>
      </c>
      <c r="G75" s="49">
        <f>VLOOKUP($A75,'Data Vlaue (Cr)'!$C:$FB,43)</f>
        <v>236</v>
      </c>
      <c r="H75" s="49">
        <f>VLOOKUP($A75,'Data Vlaue (Cr)'!$C:$FB,44)</f>
        <v>268</v>
      </c>
      <c r="I75" s="49">
        <f>VLOOKUP($A75,'Data Vlaue (Cr)'!$C:$FB,46)*100</f>
        <v>-11.82</v>
      </c>
      <c r="J75" s="51">
        <f>VLOOKUP($A75,'Data Vlaue (Cr)'!$C:$FB,59)</f>
        <v>556</v>
      </c>
      <c r="K75" s="51">
        <f>VLOOKUP($A75,'Data Vlaue (Cr)'!$C:$FB,60)</f>
        <v>227</v>
      </c>
      <c r="L75" s="51">
        <f>VLOOKUP($A75,'Data Vlaue (Cr)'!$C:$FB,62)*100</f>
        <v>144.87</v>
      </c>
      <c r="M75" s="51">
        <f>VLOOKUP($A75,'Data Vlaue (Cr)'!$C:$FB,63)</f>
        <v>170</v>
      </c>
      <c r="N75" s="51">
        <f>VLOOKUP($A75,'Data Vlaue (Cr)'!$C:$FB,64)</f>
        <v>137</v>
      </c>
      <c r="O75" s="51">
        <f>VLOOKUP($A75,'Data Vlaue (Cr)'!$C:$FB,66)*100</f>
        <v>24.09</v>
      </c>
    </row>
    <row r="76" spans="1:15" x14ac:dyDescent="0.25">
      <c r="A76" s="101" t="str">
        <f>'Data Vlaue (Cr)'!C71</f>
        <v>GRASIM</v>
      </c>
      <c r="B76" s="50">
        <f>VLOOKUP($A76,'Data Vlaue (Cr)'!$C:$FB,8)</f>
        <v>2807.6</v>
      </c>
      <c r="C76" s="50">
        <f>VLOOKUP($A76,'Data Vlaue (Cr)'!$C:$FB,11)*100</f>
        <v>0.04</v>
      </c>
      <c r="D76" s="50">
        <f>VLOOKUP($A76,'Data Vlaue (Cr)'!$C:$FB,143)</f>
        <v>777.75</v>
      </c>
      <c r="E76" s="50">
        <f>VLOOKUP($A76,'Data Vlaue (Cr)'!$C:$FB,144)</f>
        <v>840.66</v>
      </c>
      <c r="F76" s="50">
        <f>VLOOKUP($A76,'Data Vlaue (Cr)'!$C:$FB,146)*100</f>
        <v>-7.48</v>
      </c>
      <c r="G76" s="49">
        <f>VLOOKUP($A76,'Data Vlaue (Cr)'!$C:$FB,43)</f>
        <v>224</v>
      </c>
      <c r="H76" s="49">
        <f>VLOOKUP($A76,'Data Vlaue (Cr)'!$C:$FB,44)</f>
        <v>276</v>
      </c>
      <c r="I76" s="49">
        <f>VLOOKUP($A76,'Data Vlaue (Cr)'!$C:$FB,46)*100</f>
        <v>-18.84</v>
      </c>
      <c r="J76" s="51">
        <f>VLOOKUP($A76,'Data Vlaue (Cr)'!$C:$FB,59)</f>
        <v>359</v>
      </c>
      <c r="K76" s="51">
        <f>VLOOKUP($A76,'Data Vlaue (Cr)'!$C:$FB,60)</f>
        <v>363</v>
      </c>
      <c r="L76" s="51">
        <f>VLOOKUP($A76,'Data Vlaue (Cr)'!$C:$FB,62)*100</f>
        <v>-1.18</v>
      </c>
      <c r="M76" s="51">
        <f>VLOOKUP($A76,'Data Vlaue (Cr)'!$C:$FB,63)</f>
        <v>191</v>
      </c>
      <c r="N76" s="51">
        <f>VLOOKUP($A76,'Data Vlaue (Cr)'!$C:$FB,64)</f>
        <v>192</v>
      </c>
      <c r="O76" s="51">
        <f>VLOOKUP($A76,'Data Vlaue (Cr)'!$C:$FB,66)*100</f>
        <v>-0.51</v>
      </c>
    </row>
    <row r="77" spans="1:15" x14ac:dyDescent="0.25">
      <c r="A77" s="101" t="str">
        <f>'Data Vlaue (Cr)'!C72</f>
        <v>HAL</v>
      </c>
      <c r="B77" s="50">
        <f>VLOOKUP($A77,'Data Vlaue (Cr)'!$C:$FB,8)</f>
        <v>4259.5</v>
      </c>
      <c r="C77" s="50">
        <f>VLOOKUP($A77,'Data Vlaue (Cr)'!$C:$FB,11)*100</f>
        <v>0.74</v>
      </c>
      <c r="D77" s="50">
        <f>VLOOKUP($A77,'Data Vlaue (Cr)'!$C:$FB,143)</f>
        <v>4896.3900000000003</v>
      </c>
      <c r="E77" s="50">
        <f>VLOOKUP($A77,'Data Vlaue (Cr)'!$C:$FB,144)</f>
        <v>4273.99</v>
      </c>
      <c r="F77" s="50">
        <f>VLOOKUP($A77,'Data Vlaue (Cr)'!$C:$FB,146)*100</f>
        <v>14.56</v>
      </c>
      <c r="G77" s="49">
        <f>VLOOKUP($A77,'Data Vlaue (Cr)'!$C:$FB,43)</f>
        <v>427</v>
      </c>
      <c r="H77" s="49">
        <f>VLOOKUP($A77,'Data Vlaue (Cr)'!$C:$FB,44)</f>
        <v>311</v>
      </c>
      <c r="I77" s="49">
        <f>VLOOKUP($A77,'Data Vlaue (Cr)'!$C:$FB,46)*100</f>
        <v>37.369999999999997</v>
      </c>
      <c r="J77" s="51">
        <f>VLOOKUP($A77,'Data Vlaue (Cr)'!$C:$FB,59)</f>
        <v>2966</v>
      </c>
      <c r="K77" s="51">
        <f>VLOOKUP($A77,'Data Vlaue (Cr)'!$C:$FB,60)</f>
        <v>2639</v>
      </c>
      <c r="L77" s="51">
        <f>VLOOKUP($A77,'Data Vlaue (Cr)'!$C:$FB,62)*100</f>
        <v>12.4</v>
      </c>
      <c r="M77" s="51">
        <f>VLOOKUP($A77,'Data Vlaue (Cr)'!$C:$FB,63)</f>
        <v>1368</v>
      </c>
      <c r="N77" s="51">
        <f>VLOOKUP($A77,'Data Vlaue (Cr)'!$C:$FB,64)</f>
        <v>1172</v>
      </c>
      <c r="O77" s="51">
        <f>VLOOKUP($A77,'Data Vlaue (Cr)'!$C:$FB,66)*100</f>
        <v>16.739999999999998</v>
      </c>
    </row>
    <row r="78" spans="1:15" x14ac:dyDescent="0.25">
      <c r="A78" s="101" t="str">
        <f>'Data Vlaue (Cr)'!C73</f>
        <v>HAVELLS</v>
      </c>
      <c r="B78" s="50">
        <f>VLOOKUP($A78,'Data Vlaue (Cr)'!$C:$FB,8)</f>
        <v>1401.2</v>
      </c>
      <c r="C78" s="50">
        <f>VLOOKUP($A78,'Data Vlaue (Cr)'!$C:$FB,11)*100</f>
        <v>0.3</v>
      </c>
      <c r="D78" s="50">
        <f>VLOOKUP($A78,'Data Vlaue (Cr)'!$C:$FB,143)</f>
        <v>651.9</v>
      </c>
      <c r="E78" s="50">
        <f>VLOOKUP($A78,'Data Vlaue (Cr)'!$C:$FB,144)</f>
        <v>567.82000000000005</v>
      </c>
      <c r="F78" s="50">
        <f>VLOOKUP($A78,'Data Vlaue (Cr)'!$C:$FB,146)*100</f>
        <v>14.81</v>
      </c>
      <c r="G78" s="49">
        <f>VLOOKUP($A78,'Data Vlaue (Cr)'!$C:$FB,43)</f>
        <v>155</v>
      </c>
      <c r="H78" s="49">
        <f>VLOOKUP($A78,'Data Vlaue (Cr)'!$C:$FB,44)</f>
        <v>148</v>
      </c>
      <c r="I78" s="49">
        <f>VLOOKUP($A78,'Data Vlaue (Cr)'!$C:$FB,46)*100</f>
        <v>4.16</v>
      </c>
      <c r="J78" s="51">
        <f>VLOOKUP($A78,'Data Vlaue (Cr)'!$C:$FB,59)</f>
        <v>327</v>
      </c>
      <c r="K78" s="51">
        <f>VLOOKUP($A78,'Data Vlaue (Cr)'!$C:$FB,60)</f>
        <v>235</v>
      </c>
      <c r="L78" s="51">
        <f>VLOOKUP($A78,'Data Vlaue (Cr)'!$C:$FB,62)*100</f>
        <v>39.03</v>
      </c>
      <c r="M78" s="51">
        <f>VLOOKUP($A78,'Data Vlaue (Cr)'!$C:$FB,63)</f>
        <v>161</v>
      </c>
      <c r="N78" s="51">
        <f>VLOOKUP($A78,'Data Vlaue (Cr)'!$C:$FB,64)</f>
        <v>173</v>
      </c>
      <c r="O78" s="51">
        <f>VLOOKUP($A78,'Data Vlaue (Cr)'!$C:$FB,66)*100</f>
        <v>-6.9500000000000011</v>
      </c>
    </row>
    <row r="79" spans="1:15" x14ac:dyDescent="0.25">
      <c r="A79" s="101" t="str">
        <f>'Data Vlaue (Cr)'!C74</f>
        <v>HCLTECH</v>
      </c>
      <c r="B79" s="50">
        <f>VLOOKUP($A79,'Data Vlaue (Cr)'!$C:$FB,8)</f>
        <v>1661.4</v>
      </c>
      <c r="C79" s="50">
        <f>VLOOKUP($A79,'Data Vlaue (Cr)'!$C:$FB,11)*100</f>
        <v>0.38999999999999996</v>
      </c>
      <c r="D79" s="50">
        <f>VLOOKUP($A79,'Data Vlaue (Cr)'!$C:$FB,143)</f>
        <v>2871.73</v>
      </c>
      <c r="E79" s="50">
        <f>VLOOKUP($A79,'Data Vlaue (Cr)'!$C:$FB,144)</f>
        <v>1542.98</v>
      </c>
      <c r="F79" s="50">
        <f>VLOOKUP($A79,'Data Vlaue (Cr)'!$C:$FB,146)*100</f>
        <v>86.11999999999999</v>
      </c>
      <c r="G79" s="49">
        <f>VLOOKUP($A79,'Data Vlaue (Cr)'!$C:$FB,43)</f>
        <v>394</v>
      </c>
      <c r="H79" s="49">
        <f>VLOOKUP($A79,'Data Vlaue (Cr)'!$C:$FB,44)</f>
        <v>271</v>
      </c>
      <c r="I79" s="49">
        <f>VLOOKUP($A79,'Data Vlaue (Cr)'!$C:$FB,46)*100</f>
        <v>45.42</v>
      </c>
      <c r="J79" s="51">
        <f>VLOOKUP($A79,'Data Vlaue (Cr)'!$C:$FB,59)</f>
        <v>1868</v>
      </c>
      <c r="K79" s="51">
        <f>VLOOKUP($A79,'Data Vlaue (Cr)'!$C:$FB,60)</f>
        <v>841</v>
      </c>
      <c r="L79" s="51">
        <f>VLOOKUP($A79,'Data Vlaue (Cr)'!$C:$FB,62)*100</f>
        <v>122.16</v>
      </c>
      <c r="M79" s="51">
        <f>VLOOKUP($A79,'Data Vlaue (Cr)'!$C:$FB,63)</f>
        <v>568</v>
      </c>
      <c r="N79" s="51">
        <f>VLOOKUP($A79,'Data Vlaue (Cr)'!$C:$FB,64)</f>
        <v>417</v>
      </c>
      <c r="O79" s="51">
        <f>VLOOKUP($A79,'Data Vlaue (Cr)'!$C:$FB,66)*100</f>
        <v>36.21</v>
      </c>
    </row>
    <row r="80" spans="1:15" x14ac:dyDescent="0.25">
      <c r="A80" s="101" t="str">
        <f>'Data Vlaue (Cr)'!C75</f>
        <v>HDFCAMC</v>
      </c>
      <c r="B80" s="50">
        <f>VLOOKUP($A80,'Data Vlaue (Cr)'!$C:$FB,8)</f>
        <v>2722.9</v>
      </c>
      <c r="C80" s="50">
        <f>VLOOKUP($A80,'Data Vlaue (Cr)'!$C:$FB,11)*100</f>
        <v>7.1499999999999995</v>
      </c>
      <c r="D80" s="50">
        <f>VLOOKUP($A80,'Data Vlaue (Cr)'!$C:$FB,143)</f>
        <v>14271.22</v>
      </c>
      <c r="E80" s="50">
        <f>VLOOKUP($A80,'Data Vlaue (Cr)'!$C:$FB,144)</f>
        <v>1420.03</v>
      </c>
      <c r="F80" s="50">
        <f>VLOOKUP($A80,'Data Vlaue (Cr)'!$C:$FB,146)*100</f>
        <v>905.00000000000011</v>
      </c>
      <c r="G80" s="49">
        <f>VLOOKUP($A80,'Data Vlaue (Cr)'!$C:$FB,43)</f>
        <v>1427</v>
      </c>
      <c r="H80" s="49">
        <f>VLOOKUP($A80,'Data Vlaue (Cr)'!$C:$FB,44)</f>
        <v>341</v>
      </c>
      <c r="I80" s="49">
        <f>VLOOKUP($A80,'Data Vlaue (Cr)'!$C:$FB,46)*100</f>
        <v>318.71999999999997</v>
      </c>
      <c r="J80" s="51">
        <f>VLOOKUP($A80,'Data Vlaue (Cr)'!$C:$FB,59)</f>
        <v>8866</v>
      </c>
      <c r="K80" s="51">
        <f>VLOOKUP($A80,'Data Vlaue (Cr)'!$C:$FB,60)</f>
        <v>582</v>
      </c>
      <c r="L80" s="51">
        <f>VLOOKUP($A80,'Data Vlaue (Cr)'!$C:$FB,62)*100</f>
        <v>1422.35</v>
      </c>
      <c r="M80" s="51">
        <f>VLOOKUP($A80,'Data Vlaue (Cr)'!$C:$FB,63)</f>
        <v>4003</v>
      </c>
      <c r="N80" s="51">
        <f>VLOOKUP($A80,'Data Vlaue (Cr)'!$C:$FB,64)</f>
        <v>569</v>
      </c>
      <c r="O80" s="51">
        <f>VLOOKUP($A80,'Data Vlaue (Cr)'!$C:$FB,66)*100</f>
        <v>603.28</v>
      </c>
    </row>
    <row r="81" spans="1:15" x14ac:dyDescent="0.25">
      <c r="A81" s="101" t="str">
        <f>'Data Vlaue (Cr)'!C76</f>
        <v>HDFCBANK</v>
      </c>
      <c r="B81" s="50">
        <f>VLOOKUP($A81,'Data Vlaue (Cr)'!$C:$FB,8)</f>
        <v>979.7</v>
      </c>
      <c r="C81" s="50">
        <f>VLOOKUP($A81,'Data Vlaue (Cr)'!$C:$FB,11)*100</f>
        <v>-0.44</v>
      </c>
      <c r="D81" s="50">
        <f>VLOOKUP($A81,'Data Vlaue (Cr)'!$C:$FB,143)</f>
        <v>10894.87</v>
      </c>
      <c r="E81" s="50">
        <f>VLOOKUP($A81,'Data Vlaue (Cr)'!$C:$FB,144)</f>
        <v>10461.6</v>
      </c>
      <c r="F81" s="50">
        <f>VLOOKUP($A81,'Data Vlaue (Cr)'!$C:$FB,146)*100</f>
        <v>4.1399999999999997</v>
      </c>
      <c r="G81" s="49">
        <f>VLOOKUP($A81,'Data Vlaue (Cr)'!$C:$FB,43)</f>
        <v>3211</v>
      </c>
      <c r="H81" s="49">
        <f>VLOOKUP($A81,'Data Vlaue (Cr)'!$C:$FB,44)</f>
        <v>1976</v>
      </c>
      <c r="I81" s="49">
        <f>VLOOKUP($A81,'Data Vlaue (Cr)'!$C:$FB,46)*100</f>
        <v>62.460000000000008</v>
      </c>
      <c r="J81" s="51">
        <f>VLOOKUP($A81,'Data Vlaue (Cr)'!$C:$FB,59)</f>
        <v>4718</v>
      </c>
      <c r="K81" s="51">
        <f>VLOOKUP($A81,'Data Vlaue (Cr)'!$C:$FB,60)</f>
        <v>5107</v>
      </c>
      <c r="L81" s="51">
        <f>VLOOKUP($A81,'Data Vlaue (Cr)'!$C:$FB,62)*100</f>
        <v>-7.62</v>
      </c>
      <c r="M81" s="51">
        <f>VLOOKUP($A81,'Data Vlaue (Cr)'!$C:$FB,63)</f>
        <v>2824</v>
      </c>
      <c r="N81" s="51">
        <f>VLOOKUP($A81,'Data Vlaue (Cr)'!$C:$FB,64)</f>
        <v>3181</v>
      </c>
      <c r="O81" s="51">
        <f>VLOOKUP($A81,'Data Vlaue (Cr)'!$C:$FB,66)*100</f>
        <v>-11.219999999999999</v>
      </c>
    </row>
    <row r="82" spans="1:15" x14ac:dyDescent="0.25">
      <c r="A82" s="101" t="str">
        <f>'Data Vlaue (Cr)'!C77</f>
        <v>HDFCLIFE</v>
      </c>
      <c r="B82" s="50">
        <f>VLOOKUP($A82,'Data Vlaue (Cr)'!$C:$FB,8)</f>
        <v>757</v>
      </c>
      <c r="C82" s="50">
        <f>VLOOKUP($A82,'Data Vlaue (Cr)'!$C:$FB,11)*100</f>
        <v>0.45999999999999996</v>
      </c>
      <c r="D82" s="50">
        <f>VLOOKUP($A82,'Data Vlaue (Cr)'!$C:$FB,143)</f>
        <v>1454.47</v>
      </c>
      <c r="E82" s="50">
        <f>VLOOKUP($A82,'Data Vlaue (Cr)'!$C:$FB,144)</f>
        <v>3452.29</v>
      </c>
      <c r="F82" s="50">
        <f>VLOOKUP($A82,'Data Vlaue (Cr)'!$C:$FB,146)*100</f>
        <v>-57.87</v>
      </c>
      <c r="G82" s="49">
        <f>VLOOKUP($A82,'Data Vlaue (Cr)'!$C:$FB,43)</f>
        <v>208</v>
      </c>
      <c r="H82" s="49">
        <f>VLOOKUP($A82,'Data Vlaue (Cr)'!$C:$FB,44)</f>
        <v>337</v>
      </c>
      <c r="I82" s="49">
        <f>VLOOKUP($A82,'Data Vlaue (Cr)'!$C:$FB,46)*100</f>
        <v>-38.299999999999997</v>
      </c>
      <c r="J82" s="51">
        <f>VLOOKUP($A82,'Data Vlaue (Cr)'!$C:$FB,59)</f>
        <v>915</v>
      </c>
      <c r="K82" s="51">
        <f>VLOOKUP($A82,'Data Vlaue (Cr)'!$C:$FB,60)</f>
        <v>2288</v>
      </c>
      <c r="L82" s="51">
        <f>VLOOKUP($A82,'Data Vlaue (Cr)'!$C:$FB,62)*100</f>
        <v>-60</v>
      </c>
      <c r="M82" s="51">
        <f>VLOOKUP($A82,'Data Vlaue (Cr)'!$C:$FB,63)</f>
        <v>307</v>
      </c>
      <c r="N82" s="51">
        <f>VLOOKUP($A82,'Data Vlaue (Cr)'!$C:$FB,64)</f>
        <v>739</v>
      </c>
      <c r="O82" s="51">
        <f>VLOOKUP($A82,'Data Vlaue (Cr)'!$C:$FB,66)*100</f>
        <v>-58.47</v>
      </c>
    </row>
    <row r="83" spans="1:15" x14ac:dyDescent="0.25">
      <c r="A83" s="101" t="str">
        <f>'Data Vlaue (Cr)'!C78</f>
        <v>HEROMOTOCO</v>
      </c>
      <c r="B83" s="50">
        <f>VLOOKUP($A83,'Data Vlaue (Cr)'!$C:$FB,8)</f>
        <v>5748.5</v>
      </c>
      <c r="C83" s="50">
        <f>VLOOKUP($A83,'Data Vlaue (Cr)'!$C:$FB,11)*100</f>
        <v>-1.18</v>
      </c>
      <c r="D83" s="50">
        <f>VLOOKUP($A83,'Data Vlaue (Cr)'!$C:$FB,143)</f>
        <v>15857.76</v>
      </c>
      <c r="E83" s="50">
        <f>VLOOKUP($A83,'Data Vlaue (Cr)'!$C:$FB,144)</f>
        <v>7814.66</v>
      </c>
      <c r="F83" s="50">
        <f>VLOOKUP($A83,'Data Vlaue (Cr)'!$C:$FB,146)*100</f>
        <v>102.91999999999999</v>
      </c>
      <c r="G83" s="49">
        <f>VLOOKUP($A83,'Data Vlaue (Cr)'!$C:$FB,43)</f>
        <v>1144</v>
      </c>
      <c r="H83" s="49">
        <f>VLOOKUP($A83,'Data Vlaue (Cr)'!$C:$FB,44)</f>
        <v>568</v>
      </c>
      <c r="I83" s="49">
        <f>VLOOKUP($A83,'Data Vlaue (Cr)'!$C:$FB,46)*100</f>
        <v>101.55000000000001</v>
      </c>
      <c r="J83" s="51">
        <f>VLOOKUP($A83,'Data Vlaue (Cr)'!$C:$FB,59)</f>
        <v>8600</v>
      </c>
      <c r="K83" s="51">
        <f>VLOOKUP($A83,'Data Vlaue (Cr)'!$C:$FB,60)</f>
        <v>3878</v>
      </c>
      <c r="L83" s="51">
        <f>VLOOKUP($A83,'Data Vlaue (Cr)'!$C:$FB,62)*100</f>
        <v>121.78</v>
      </c>
      <c r="M83" s="51">
        <f>VLOOKUP($A83,'Data Vlaue (Cr)'!$C:$FB,63)</f>
        <v>5757</v>
      </c>
      <c r="N83" s="51">
        <f>VLOOKUP($A83,'Data Vlaue (Cr)'!$C:$FB,64)</f>
        <v>3052</v>
      </c>
      <c r="O83" s="51">
        <f>VLOOKUP($A83,'Data Vlaue (Cr)'!$C:$FB,66)*100</f>
        <v>88.62</v>
      </c>
    </row>
    <row r="84" spans="1:15" x14ac:dyDescent="0.25">
      <c r="A84" s="101" t="str">
        <f>'Data Vlaue (Cr)'!C79</f>
        <v>HFCL</v>
      </c>
      <c r="B84" s="50">
        <f>VLOOKUP($A84,'Data Vlaue (Cr)'!$C:$FB,8)</f>
        <v>64.62</v>
      </c>
      <c r="C84" s="50">
        <f>VLOOKUP($A84,'Data Vlaue (Cr)'!$C:$FB,11)*100</f>
        <v>0.13999999999999999</v>
      </c>
      <c r="D84" s="50">
        <f>VLOOKUP($A84,'Data Vlaue (Cr)'!$C:$FB,143)</f>
        <v>328.73</v>
      </c>
      <c r="E84" s="50">
        <f>VLOOKUP($A84,'Data Vlaue (Cr)'!$C:$FB,144)</f>
        <v>385.08</v>
      </c>
      <c r="F84" s="50">
        <f>VLOOKUP($A84,'Data Vlaue (Cr)'!$C:$FB,146)*100</f>
        <v>-14.63</v>
      </c>
      <c r="G84" s="49">
        <f>VLOOKUP($A84,'Data Vlaue (Cr)'!$C:$FB,43)</f>
        <v>56</v>
      </c>
      <c r="H84" s="49">
        <f>VLOOKUP($A84,'Data Vlaue (Cr)'!$C:$FB,44)</f>
        <v>50</v>
      </c>
      <c r="I84" s="49">
        <f>VLOOKUP($A84,'Data Vlaue (Cr)'!$C:$FB,46)*100</f>
        <v>12.049999999999999</v>
      </c>
      <c r="J84" s="51">
        <f>VLOOKUP($A84,'Data Vlaue (Cr)'!$C:$FB,59)</f>
        <v>185</v>
      </c>
      <c r="K84" s="51">
        <f>VLOOKUP($A84,'Data Vlaue (Cr)'!$C:$FB,60)</f>
        <v>194</v>
      </c>
      <c r="L84" s="51">
        <f>VLOOKUP($A84,'Data Vlaue (Cr)'!$C:$FB,62)*100</f>
        <v>-4.66</v>
      </c>
      <c r="M84" s="51">
        <f>VLOOKUP($A84,'Data Vlaue (Cr)'!$C:$FB,63)</f>
        <v>72</v>
      </c>
      <c r="N84" s="51">
        <f>VLOOKUP($A84,'Data Vlaue (Cr)'!$C:$FB,64)</f>
        <v>124</v>
      </c>
      <c r="O84" s="51">
        <f>VLOOKUP($A84,'Data Vlaue (Cr)'!$C:$FB,66)*100</f>
        <v>-41.69</v>
      </c>
    </row>
    <row r="85" spans="1:15" x14ac:dyDescent="0.25">
      <c r="A85" s="101" t="str">
        <f>'Data Vlaue (Cr)'!C80</f>
        <v>HINDALCO</v>
      </c>
      <c r="B85" s="50">
        <f>VLOOKUP($A85,'Data Vlaue (Cr)'!$C:$FB,8)</f>
        <v>856.7</v>
      </c>
      <c r="C85" s="50">
        <f>VLOOKUP($A85,'Data Vlaue (Cr)'!$C:$FB,11)*100</f>
        <v>0.92999999999999994</v>
      </c>
      <c r="D85" s="50">
        <f>VLOOKUP($A85,'Data Vlaue (Cr)'!$C:$FB,143)</f>
        <v>6308.62</v>
      </c>
      <c r="E85" s="50">
        <f>VLOOKUP($A85,'Data Vlaue (Cr)'!$C:$FB,144)</f>
        <v>4002.54</v>
      </c>
      <c r="F85" s="50">
        <f>VLOOKUP($A85,'Data Vlaue (Cr)'!$C:$FB,146)*100</f>
        <v>57.620000000000005</v>
      </c>
      <c r="G85" s="49">
        <f>VLOOKUP($A85,'Data Vlaue (Cr)'!$C:$FB,43)</f>
        <v>1672</v>
      </c>
      <c r="H85" s="49">
        <f>VLOOKUP($A85,'Data Vlaue (Cr)'!$C:$FB,44)</f>
        <v>719</v>
      </c>
      <c r="I85" s="49">
        <f>VLOOKUP($A85,'Data Vlaue (Cr)'!$C:$FB,46)*100</f>
        <v>132.54999999999998</v>
      </c>
      <c r="J85" s="51">
        <f>VLOOKUP($A85,'Data Vlaue (Cr)'!$C:$FB,59)</f>
        <v>2987</v>
      </c>
      <c r="K85" s="51">
        <f>VLOOKUP($A85,'Data Vlaue (Cr)'!$C:$FB,60)</f>
        <v>2279</v>
      </c>
      <c r="L85" s="51">
        <f>VLOOKUP($A85,'Data Vlaue (Cr)'!$C:$FB,62)*100</f>
        <v>31.05</v>
      </c>
      <c r="M85" s="51">
        <f>VLOOKUP($A85,'Data Vlaue (Cr)'!$C:$FB,63)</f>
        <v>1603</v>
      </c>
      <c r="N85" s="51">
        <f>VLOOKUP($A85,'Data Vlaue (Cr)'!$C:$FB,64)</f>
        <v>1005</v>
      </c>
      <c r="O85" s="51">
        <f>VLOOKUP($A85,'Data Vlaue (Cr)'!$C:$FB,66)*100</f>
        <v>59.61</v>
      </c>
    </row>
    <row r="86" spans="1:15" x14ac:dyDescent="0.25">
      <c r="A86" s="101" t="str">
        <f>'Data Vlaue (Cr)'!C81</f>
        <v>HINDPETRO</v>
      </c>
      <c r="B86" s="50">
        <f>VLOOKUP($A86,'Data Vlaue (Cr)'!$C:$FB,8)</f>
        <v>464</v>
      </c>
      <c r="C86" s="50">
        <f>VLOOKUP($A86,'Data Vlaue (Cr)'!$C:$FB,11)*100</f>
        <v>-0.31</v>
      </c>
      <c r="D86" s="50">
        <f>VLOOKUP($A86,'Data Vlaue (Cr)'!$C:$FB,143)</f>
        <v>1017.81</v>
      </c>
      <c r="E86" s="50">
        <f>VLOOKUP($A86,'Data Vlaue (Cr)'!$C:$FB,144)</f>
        <v>1480.45</v>
      </c>
      <c r="F86" s="50">
        <f>VLOOKUP($A86,'Data Vlaue (Cr)'!$C:$FB,146)*100</f>
        <v>-31.25</v>
      </c>
      <c r="G86" s="49">
        <f>VLOOKUP($A86,'Data Vlaue (Cr)'!$C:$FB,43)</f>
        <v>189</v>
      </c>
      <c r="H86" s="49">
        <f>VLOOKUP($A86,'Data Vlaue (Cr)'!$C:$FB,44)</f>
        <v>200</v>
      </c>
      <c r="I86" s="49">
        <f>VLOOKUP($A86,'Data Vlaue (Cr)'!$C:$FB,46)*100</f>
        <v>-5.74</v>
      </c>
      <c r="J86" s="51">
        <f>VLOOKUP($A86,'Data Vlaue (Cr)'!$C:$FB,59)</f>
        <v>536</v>
      </c>
      <c r="K86" s="51">
        <f>VLOOKUP($A86,'Data Vlaue (Cr)'!$C:$FB,60)</f>
        <v>906</v>
      </c>
      <c r="L86" s="51">
        <f>VLOOKUP($A86,'Data Vlaue (Cr)'!$C:$FB,62)*100</f>
        <v>-40.81</v>
      </c>
      <c r="M86" s="51">
        <f>VLOOKUP($A86,'Data Vlaue (Cr)'!$C:$FB,63)</f>
        <v>279</v>
      </c>
      <c r="N86" s="51">
        <f>VLOOKUP($A86,'Data Vlaue (Cr)'!$C:$FB,64)</f>
        <v>341</v>
      </c>
      <c r="O86" s="51">
        <f>VLOOKUP($A86,'Data Vlaue (Cr)'!$C:$FB,66)*100</f>
        <v>-18.099999999999998</v>
      </c>
    </row>
    <row r="87" spans="1:15" x14ac:dyDescent="0.25">
      <c r="A87" s="101" t="str">
        <f>'Data Vlaue (Cr)'!C82</f>
        <v>HINDUNILVR</v>
      </c>
      <c r="B87" s="50">
        <f>VLOOKUP($A87,'Data Vlaue (Cr)'!$C:$FB,8)</f>
        <v>2265.5</v>
      </c>
      <c r="C87" s="50">
        <f>VLOOKUP($A87,'Data Vlaue (Cr)'!$C:$FB,11)*100</f>
        <v>-0.44</v>
      </c>
      <c r="D87" s="50">
        <f>VLOOKUP($A87,'Data Vlaue (Cr)'!$C:$FB,143)</f>
        <v>2322.46</v>
      </c>
      <c r="E87" s="50">
        <f>VLOOKUP($A87,'Data Vlaue (Cr)'!$C:$FB,144)</f>
        <v>1890.45</v>
      </c>
      <c r="F87" s="50">
        <f>VLOOKUP($A87,'Data Vlaue (Cr)'!$C:$FB,146)*100</f>
        <v>22.85</v>
      </c>
      <c r="G87" s="49">
        <f>VLOOKUP($A87,'Data Vlaue (Cr)'!$C:$FB,43)</f>
        <v>435</v>
      </c>
      <c r="H87" s="49">
        <f>VLOOKUP($A87,'Data Vlaue (Cr)'!$C:$FB,44)</f>
        <v>273</v>
      </c>
      <c r="I87" s="49">
        <f>VLOOKUP($A87,'Data Vlaue (Cr)'!$C:$FB,46)*100</f>
        <v>59.51</v>
      </c>
      <c r="J87" s="51">
        <f>VLOOKUP($A87,'Data Vlaue (Cr)'!$C:$FB,59)</f>
        <v>1348</v>
      </c>
      <c r="K87" s="51">
        <f>VLOOKUP($A87,'Data Vlaue (Cr)'!$C:$FB,60)</f>
        <v>1190</v>
      </c>
      <c r="L87" s="51">
        <f>VLOOKUP($A87,'Data Vlaue (Cr)'!$C:$FB,62)*100</f>
        <v>13.28</v>
      </c>
      <c r="M87" s="51">
        <f>VLOOKUP($A87,'Data Vlaue (Cr)'!$C:$FB,63)</f>
        <v>500</v>
      </c>
      <c r="N87" s="51">
        <f>VLOOKUP($A87,'Data Vlaue (Cr)'!$C:$FB,64)</f>
        <v>381</v>
      </c>
      <c r="O87" s="51">
        <f>VLOOKUP($A87,'Data Vlaue (Cr)'!$C:$FB,66)*100</f>
        <v>31.03</v>
      </c>
    </row>
    <row r="88" spans="1:15" x14ac:dyDescent="0.25">
      <c r="A88" s="101" t="str">
        <f>'Data Vlaue (Cr)'!C83</f>
        <v>HINDZINC</v>
      </c>
      <c r="B88" s="50">
        <f>VLOOKUP($A88,'Data Vlaue (Cr)'!$C:$FB,8)</f>
        <v>592.15</v>
      </c>
      <c r="C88" s="50">
        <f>VLOOKUP($A88,'Data Vlaue (Cr)'!$C:$FB,11)*100</f>
        <v>2.39</v>
      </c>
      <c r="D88" s="50">
        <f>VLOOKUP($A88,'Data Vlaue (Cr)'!$C:$FB,143)</f>
        <v>13193.09</v>
      </c>
      <c r="E88" s="50">
        <f>VLOOKUP($A88,'Data Vlaue (Cr)'!$C:$FB,144)</f>
        <v>18322.400000000001</v>
      </c>
      <c r="F88" s="50">
        <f>VLOOKUP($A88,'Data Vlaue (Cr)'!$C:$FB,146)*100</f>
        <v>-27.99</v>
      </c>
      <c r="G88" s="49">
        <f>VLOOKUP($A88,'Data Vlaue (Cr)'!$C:$FB,43)</f>
        <v>1157</v>
      </c>
      <c r="H88" s="49">
        <f>VLOOKUP($A88,'Data Vlaue (Cr)'!$C:$FB,44)</f>
        <v>1454</v>
      </c>
      <c r="I88" s="49">
        <f>VLOOKUP($A88,'Data Vlaue (Cr)'!$C:$FB,46)*100</f>
        <v>-20.39</v>
      </c>
      <c r="J88" s="51">
        <f>VLOOKUP($A88,'Data Vlaue (Cr)'!$C:$FB,59)</f>
        <v>8159</v>
      </c>
      <c r="K88" s="51">
        <f>VLOOKUP($A88,'Data Vlaue (Cr)'!$C:$FB,60)</f>
        <v>11899</v>
      </c>
      <c r="L88" s="51">
        <f>VLOOKUP($A88,'Data Vlaue (Cr)'!$C:$FB,62)*100</f>
        <v>-31.430000000000003</v>
      </c>
      <c r="M88" s="51">
        <f>VLOOKUP($A88,'Data Vlaue (Cr)'!$C:$FB,63)</f>
        <v>3725</v>
      </c>
      <c r="N88" s="51">
        <f>VLOOKUP($A88,'Data Vlaue (Cr)'!$C:$FB,64)</f>
        <v>4903</v>
      </c>
      <c r="O88" s="51">
        <f>VLOOKUP($A88,'Data Vlaue (Cr)'!$C:$FB,66)*100</f>
        <v>-24.02</v>
      </c>
    </row>
    <row r="89" spans="1:15" x14ac:dyDescent="0.25">
      <c r="A89" s="101" t="str">
        <f>'Data Vlaue (Cr)'!C84</f>
        <v>HUDCO</v>
      </c>
      <c r="B89" s="50">
        <f>VLOOKUP($A89,'Data Vlaue (Cr)'!$C:$FB,8)</f>
        <v>206.9</v>
      </c>
      <c r="C89" s="50">
        <f>VLOOKUP($A89,'Data Vlaue (Cr)'!$C:$FB,11)*100</f>
        <v>-0.49</v>
      </c>
      <c r="D89" s="50">
        <f>VLOOKUP($A89,'Data Vlaue (Cr)'!$C:$FB,143)</f>
        <v>1236.05</v>
      </c>
      <c r="E89" s="50">
        <f>VLOOKUP($A89,'Data Vlaue (Cr)'!$C:$FB,144)</f>
        <v>799.15</v>
      </c>
      <c r="F89" s="50">
        <f>VLOOKUP($A89,'Data Vlaue (Cr)'!$C:$FB,146)*100</f>
        <v>54.669999999999995</v>
      </c>
      <c r="G89" s="49">
        <f>VLOOKUP($A89,'Data Vlaue (Cr)'!$C:$FB,43)</f>
        <v>151</v>
      </c>
      <c r="H89" s="49">
        <f>VLOOKUP($A89,'Data Vlaue (Cr)'!$C:$FB,44)</f>
        <v>126</v>
      </c>
      <c r="I89" s="49">
        <f>VLOOKUP($A89,'Data Vlaue (Cr)'!$C:$FB,46)*100</f>
        <v>20.25</v>
      </c>
      <c r="J89" s="51">
        <f>VLOOKUP($A89,'Data Vlaue (Cr)'!$C:$FB,59)</f>
        <v>779</v>
      </c>
      <c r="K89" s="51">
        <f>VLOOKUP($A89,'Data Vlaue (Cr)'!$C:$FB,60)</f>
        <v>425</v>
      </c>
      <c r="L89" s="51">
        <f>VLOOKUP($A89,'Data Vlaue (Cr)'!$C:$FB,62)*100</f>
        <v>83.3</v>
      </c>
      <c r="M89" s="51">
        <f>VLOOKUP($A89,'Data Vlaue (Cr)'!$C:$FB,63)</f>
        <v>254</v>
      </c>
      <c r="N89" s="51">
        <f>VLOOKUP($A89,'Data Vlaue (Cr)'!$C:$FB,64)</f>
        <v>203</v>
      </c>
      <c r="O89" s="51">
        <f>VLOOKUP($A89,'Data Vlaue (Cr)'!$C:$FB,66)*100</f>
        <v>24.959999999999997</v>
      </c>
    </row>
    <row r="90" spans="1:15" x14ac:dyDescent="0.25">
      <c r="A90" s="101" t="str">
        <f>'Data Vlaue (Cr)'!C85</f>
        <v>ICICIBANK</v>
      </c>
      <c r="B90" s="50">
        <f>VLOOKUP($A90,'Data Vlaue (Cr)'!$C:$FB,8)</f>
        <v>1356.8</v>
      </c>
      <c r="C90" s="50">
        <f>VLOOKUP($A90,'Data Vlaue (Cr)'!$C:$FB,11)*100</f>
        <v>0.33</v>
      </c>
      <c r="D90" s="50">
        <f>VLOOKUP($A90,'Data Vlaue (Cr)'!$C:$FB,143)</f>
        <v>14770.48</v>
      </c>
      <c r="E90" s="50">
        <f>VLOOKUP($A90,'Data Vlaue (Cr)'!$C:$FB,144)</f>
        <v>14549.5</v>
      </c>
      <c r="F90" s="50">
        <f>VLOOKUP($A90,'Data Vlaue (Cr)'!$C:$FB,146)*100</f>
        <v>1.52</v>
      </c>
      <c r="G90" s="49">
        <f>VLOOKUP($A90,'Data Vlaue (Cr)'!$C:$FB,43)</f>
        <v>3731</v>
      </c>
      <c r="H90" s="49">
        <f>VLOOKUP($A90,'Data Vlaue (Cr)'!$C:$FB,44)</f>
        <v>2095</v>
      </c>
      <c r="I90" s="49">
        <f>VLOOKUP($A90,'Data Vlaue (Cr)'!$C:$FB,46)*100</f>
        <v>78.100000000000009</v>
      </c>
      <c r="J90" s="51">
        <f>VLOOKUP($A90,'Data Vlaue (Cr)'!$C:$FB,59)</f>
        <v>6723</v>
      </c>
      <c r="K90" s="51">
        <f>VLOOKUP($A90,'Data Vlaue (Cr)'!$C:$FB,60)</f>
        <v>7013</v>
      </c>
      <c r="L90" s="51">
        <f>VLOOKUP($A90,'Data Vlaue (Cr)'!$C:$FB,62)*100</f>
        <v>-4.1399999999999997</v>
      </c>
      <c r="M90" s="51">
        <f>VLOOKUP($A90,'Data Vlaue (Cr)'!$C:$FB,63)</f>
        <v>4167</v>
      </c>
      <c r="N90" s="51">
        <f>VLOOKUP($A90,'Data Vlaue (Cr)'!$C:$FB,64)</f>
        <v>5326</v>
      </c>
      <c r="O90" s="51">
        <f>VLOOKUP($A90,'Data Vlaue (Cr)'!$C:$FB,66)*100</f>
        <v>-21.759999999999998</v>
      </c>
    </row>
    <row r="91" spans="1:15" x14ac:dyDescent="0.25">
      <c r="A91" s="101" t="str">
        <f>'Data Vlaue (Cr)'!C86</f>
        <v>ICICIGI</v>
      </c>
      <c r="B91" s="50">
        <f>VLOOKUP($A91,'Data Vlaue (Cr)'!$C:$FB,8)</f>
        <v>1949.8</v>
      </c>
      <c r="C91" s="50">
        <f>VLOOKUP($A91,'Data Vlaue (Cr)'!$C:$FB,11)*100</f>
        <v>0.13999999999999999</v>
      </c>
      <c r="D91" s="50">
        <f>VLOOKUP($A91,'Data Vlaue (Cr)'!$C:$FB,143)</f>
        <v>328.08</v>
      </c>
      <c r="E91" s="50">
        <f>VLOOKUP($A91,'Data Vlaue (Cr)'!$C:$FB,144)</f>
        <v>339.4</v>
      </c>
      <c r="F91" s="50">
        <f>VLOOKUP($A91,'Data Vlaue (Cr)'!$C:$FB,146)*100</f>
        <v>-3.3300000000000005</v>
      </c>
      <c r="G91" s="49">
        <f>VLOOKUP($A91,'Data Vlaue (Cr)'!$C:$FB,43)</f>
        <v>99</v>
      </c>
      <c r="H91" s="49">
        <f>VLOOKUP($A91,'Data Vlaue (Cr)'!$C:$FB,44)</f>
        <v>130</v>
      </c>
      <c r="I91" s="49">
        <f>VLOOKUP($A91,'Data Vlaue (Cr)'!$C:$FB,46)*100</f>
        <v>-24.16</v>
      </c>
      <c r="J91" s="51">
        <f>VLOOKUP($A91,'Data Vlaue (Cr)'!$C:$FB,59)</f>
        <v>133</v>
      </c>
      <c r="K91" s="51">
        <f>VLOOKUP($A91,'Data Vlaue (Cr)'!$C:$FB,60)</f>
        <v>155</v>
      </c>
      <c r="L91" s="51">
        <f>VLOOKUP($A91,'Data Vlaue (Cr)'!$C:$FB,62)*100</f>
        <v>-13.99</v>
      </c>
      <c r="M91" s="51">
        <f>VLOOKUP($A91,'Data Vlaue (Cr)'!$C:$FB,63)</f>
        <v>94</v>
      </c>
      <c r="N91" s="51">
        <f>VLOOKUP($A91,'Data Vlaue (Cr)'!$C:$FB,64)</f>
        <v>49</v>
      </c>
      <c r="O91" s="51">
        <f>VLOOKUP($A91,'Data Vlaue (Cr)'!$C:$FB,66)*100</f>
        <v>91.31</v>
      </c>
    </row>
    <row r="92" spans="1:15" x14ac:dyDescent="0.25">
      <c r="A92" s="101" t="str">
        <f>'Data Vlaue (Cr)'!C87</f>
        <v>ICICIPRULI</v>
      </c>
      <c r="B92" s="50">
        <f>VLOOKUP($A92,'Data Vlaue (Cr)'!$C:$FB,8)</f>
        <v>645.65</v>
      </c>
      <c r="C92" s="50">
        <f>VLOOKUP($A92,'Data Vlaue (Cr)'!$C:$FB,11)*100</f>
        <v>2.4</v>
      </c>
      <c r="D92" s="50">
        <f>VLOOKUP($A92,'Data Vlaue (Cr)'!$C:$FB,143)</f>
        <v>674.88</v>
      </c>
      <c r="E92" s="50">
        <f>VLOOKUP($A92,'Data Vlaue (Cr)'!$C:$FB,144)</f>
        <v>373.95</v>
      </c>
      <c r="F92" s="50">
        <f>VLOOKUP($A92,'Data Vlaue (Cr)'!$C:$FB,146)*100</f>
        <v>80.47</v>
      </c>
      <c r="G92" s="49">
        <f>VLOOKUP($A92,'Data Vlaue (Cr)'!$C:$FB,43)</f>
        <v>132</v>
      </c>
      <c r="H92" s="49">
        <f>VLOOKUP($A92,'Data Vlaue (Cr)'!$C:$FB,44)</f>
        <v>98</v>
      </c>
      <c r="I92" s="49">
        <f>VLOOKUP($A92,'Data Vlaue (Cr)'!$C:$FB,46)*100</f>
        <v>35.520000000000003</v>
      </c>
      <c r="J92" s="51">
        <f>VLOOKUP($A92,'Data Vlaue (Cr)'!$C:$FB,59)</f>
        <v>394</v>
      </c>
      <c r="K92" s="51">
        <f>VLOOKUP($A92,'Data Vlaue (Cr)'!$C:$FB,60)</f>
        <v>198</v>
      </c>
      <c r="L92" s="51">
        <f>VLOOKUP($A92,'Data Vlaue (Cr)'!$C:$FB,62)*100</f>
        <v>98.94</v>
      </c>
      <c r="M92" s="51">
        <f>VLOOKUP($A92,'Data Vlaue (Cr)'!$C:$FB,63)</f>
        <v>148</v>
      </c>
      <c r="N92" s="51">
        <f>VLOOKUP($A92,'Data Vlaue (Cr)'!$C:$FB,64)</f>
        <v>77</v>
      </c>
      <c r="O92" s="51">
        <f>VLOOKUP($A92,'Data Vlaue (Cr)'!$C:$FB,66)*100</f>
        <v>92.69</v>
      </c>
    </row>
    <row r="93" spans="1:15" x14ac:dyDescent="0.25">
      <c r="A93" s="101" t="str">
        <f>'Data Vlaue (Cr)'!C88</f>
        <v>IDEA</v>
      </c>
      <c r="B93" s="50">
        <f>VLOOKUP($A93,'Data Vlaue (Cr)'!$C:$FB,8)</f>
        <v>11.3</v>
      </c>
      <c r="C93" s="50">
        <f>VLOOKUP($A93,'Data Vlaue (Cr)'!$C:$FB,11)*100</f>
        <v>1.53</v>
      </c>
      <c r="D93" s="50">
        <f>VLOOKUP($A93,'Data Vlaue (Cr)'!$C:$FB,143)</f>
        <v>7199.24</v>
      </c>
      <c r="E93" s="50">
        <f>VLOOKUP($A93,'Data Vlaue (Cr)'!$C:$FB,144)</f>
        <v>3917.36</v>
      </c>
      <c r="F93" s="50">
        <f>VLOOKUP($A93,'Data Vlaue (Cr)'!$C:$FB,146)*100</f>
        <v>83.78</v>
      </c>
      <c r="G93" s="49">
        <f>VLOOKUP($A93,'Data Vlaue (Cr)'!$C:$FB,43)</f>
        <v>1351</v>
      </c>
      <c r="H93" s="49">
        <f>VLOOKUP($A93,'Data Vlaue (Cr)'!$C:$FB,44)</f>
        <v>720</v>
      </c>
      <c r="I93" s="49">
        <f>VLOOKUP($A93,'Data Vlaue (Cr)'!$C:$FB,46)*100</f>
        <v>87.6</v>
      </c>
      <c r="J93" s="51">
        <f>VLOOKUP($A93,'Data Vlaue (Cr)'!$C:$FB,59)</f>
        <v>4179</v>
      </c>
      <c r="K93" s="51">
        <f>VLOOKUP($A93,'Data Vlaue (Cr)'!$C:$FB,60)</f>
        <v>2321</v>
      </c>
      <c r="L93" s="51">
        <f>VLOOKUP($A93,'Data Vlaue (Cr)'!$C:$FB,62)*100</f>
        <v>80.089999999999989</v>
      </c>
      <c r="M93" s="51">
        <f>VLOOKUP($A93,'Data Vlaue (Cr)'!$C:$FB,63)</f>
        <v>1157</v>
      </c>
      <c r="N93" s="51">
        <f>VLOOKUP($A93,'Data Vlaue (Cr)'!$C:$FB,64)</f>
        <v>604</v>
      </c>
      <c r="O93" s="51">
        <f>VLOOKUP($A93,'Data Vlaue (Cr)'!$C:$FB,66)*100</f>
        <v>91.58</v>
      </c>
    </row>
    <row r="94" spans="1:15" x14ac:dyDescent="0.25">
      <c r="A94" s="101" t="str">
        <f>'Data Vlaue (Cr)'!C89</f>
        <v>IDFCFIRSTB</v>
      </c>
      <c r="B94" s="50">
        <f>VLOOKUP($A94,'Data Vlaue (Cr)'!$C:$FB,8)</f>
        <v>83.79</v>
      </c>
      <c r="C94" s="50">
        <f>VLOOKUP($A94,'Data Vlaue (Cr)'!$C:$FB,11)*100</f>
        <v>-0.19</v>
      </c>
      <c r="D94" s="50">
        <f>VLOOKUP($A94,'Data Vlaue (Cr)'!$C:$FB,143)</f>
        <v>2038.59</v>
      </c>
      <c r="E94" s="50">
        <f>VLOOKUP($A94,'Data Vlaue (Cr)'!$C:$FB,144)</f>
        <v>1418.5</v>
      </c>
      <c r="F94" s="50">
        <f>VLOOKUP($A94,'Data Vlaue (Cr)'!$C:$FB,146)*100</f>
        <v>43.71</v>
      </c>
      <c r="G94" s="49">
        <f>VLOOKUP($A94,'Data Vlaue (Cr)'!$C:$FB,43)</f>
        <v>485</v>
      </c>
      <c r="H94" s="49">
        <f>VLOOKUP($A94,'Data Vlaue (Cr)'!$C:$FB,44)</f>
        <v>389</v>
      </c>
      <c r="I94" s="49">
        <f>VLOOKUP($A94,'Data Vlaue (Cr)'!$C:$FB,46)*100</f>
        <v>24.6</v>
      </c>
      <c r="J94" s="51">
        <f>VLOOKUP($A94,'Data Vlaue (Cr)'!$C:$FB,59)</f>
        <v>1006</v>
      </c>
      <c r="K94" s="51">
        <f>VLOOKUP($A94,'Data Vlaue (Cr)'!$C:$FB,60)</f>
        <v>683</v>
      </c>
      <c r="L94" s="51">
        <f>VLOOKUP($A94,'Data Vlaue (Cr)'!$C:$FB,62)*100</f>
        <v>47.33</v>
      </c>
      <c r="M94" s="51">
        <f>VLOOKUP($A94,'Data Vlaue (Cr)'!$C:$FB,63)</f>
        <v>525</v>
      </c>
      <c r="N94" s="51">
        <f>VLOOKUP($A94,'Data Vlaue (Cr)'!$C:$FB,64)</f>
        <v>334</v>
      </c>
      <c r="O94" s="51">
        <f>VLOOKUP($A94,'Data Vlaue (Cr)'!$C:$FB,66)*100</f>
        <v>57.29</v>
      </c>
    </row>
    <row r="95" spans="1:15" x14ac:dyDescent="0.25">
      <c r="A95" s="101" t="str">
        <f>'Data Vlaue (Cr)'!C90</f>
        <v>IEX</v>
      </c>
      <c r="B95" s="50">
        <f>VLOOKUP($A95,'Data Vlaue (Cr)'!$C:$FB,8)</f>
        <v>139.76</v>
      </c>
      <c r="C95" s="50">
        <f>VLOOKUP($A95,'Data Vlaue (Cr)'!$C:$FB,11)*100</f>
        <v>-0.33</v>
      </c>
      <c r="D95" s="50">
        <f>VLOOKUP($A95,'Data Vlaue (Cr)'!$C:$FB,143)</f>
        <v>529.20000000000005</v>
      </c>
      <c r="E95" s="50">
        <f>VLOOKUP($A95,'Data Vlaue (Cr)'!$C:$FB,144)</f>
        <v>334.85</v>
      </c>
      <c r="F95" s="50">
        <f>VLOOKUP($A95,'Data Vlaue (Cr)'!$C:$FB,146)*100</f>
        <v>58.040000000000006</v>
      </c>
      <c r="G95" s="49">
        <f>VLOOKUP($A95,'Data Vlaue (Cr)'!$C:$FB,43)</f>
        <v>122</v>
      </c>
      <c r="H95" s="49">
        <f>VLOOKUP($A95,'Data Vlaue (Cr)'!$C:$FB,44)</f>
        <v>58</v>
      </c>
      <c r="I95" s="49">
        <f>VLOOKUP($A95,'Data Vlaue (Cr)'!$C:$FB,46)*100</f>
        <v>112.88</v>
      </c>
      <c r="J95" s="51">
        <f>VLOOKUP($A95,'Data Vlaue (Cr)'!$C:$FB,59)</f>
        <v>274</v>
      </c>
      <c r="K95" s="51">
        <f>VLOOKUP($A95,'Data Vlaue (Cr)'!$C:$FB,60)</f>
        <v>200</v>
      </c>
      <c r="L95" s="51">
        <f>VLOOKUP($A95,'Data Vlaue (Cr)'!$C:$FB,62)*100</f>
        <v>37.19</v>
      </c>
      <c r="M95" s="51">
        <f>VLOOKUP($A95,'Data Vlaue (Cr)'!$C:$FB,63)</f>
        <v>118</v>
      </c>
      <c r="N95" s="51">
        <f>VLOOKUP($A95,'Data Vlaue (Cr)'!$C:$FB,64)</f>
        <v>63</v>
      </c>
      <c r="O95" s="51">
        <f>VLOOKUP($A95,'Data Vlaue (Cr)'!$C:$FB,66)*100</f>
        <v>89.24</v>
      </c>
    </row>
    <row r="96" spans="1:15" x14ac:dyDescent="0.25">
      <c r="A96" s="101" t="str">
        <f>'Data Vlaue (Cr)'!C91</f>
        <v>IIFL</v>
      </c>
      <c r="B96" s="50">
        <f>VLOOKUP($A96,'Data Vlaue (Cr)'!$C:$FB,8)</f>
        <v>560.5</v>
      </c>
      <c r="C96" s="50">
        <f>VLOOKUP($A96,'Data Vlaue (Cr)'!$C:$FB,11)*100</f>
        <v>-0.45999999999999996</v>
      </c>
      <c r="D96" s="50">
        <f>VLOOKUP($A96,'Data Vlaue (Cr)'!$C:$FB,143)</f>
        <v>755.52</v>
      </c>
      <c r="E96" s="50">
        <f>VLOOKUP($A96,'Data Vlaue (Cr)'!$C:$FB,144)</f>
        <v>787.37</v>
      </c>
      <c r="F96" s="50">
        <f>VLOOKUP($A96,'Data Vlaue (Cr)'!$C:$FB,146)*100</f>
        <v>-4.04</v>
      </c>
      <c r="G96" s="49">
        <f>VLOOKUP($A96,'Data Vlaue (Cr)'!$C:$FB,43)</f>
        <v>141</v>
      </c>
      <c r="H96" s="49">
        <f>VLOOKUP($A96,'Data Vlaue (Cr)'!$C:$FB,44)</f>
        <v>87</v>
      </c>
      <c r="I96" s="49">
        <f>VLOOKUP($A96,'Data Vlaue (Cr)'!$C:$FB,46)*100</f>
        <v>60.870000000000005</v>
      </c>
      <c r="J96" s="51">
        <f>VLOOKUP($A96,'Data Vlaue (Cr)'!$C:$FB,59)</f>
        <v>445</v>
      </c>
      <c r="K96" s="51">
        <f>VLOOKUP($A96,'Data Vlaue (Cr)'!$C:$FB,60)</f>
        <v>547</v>
      </c>
      <c r="L96" s="51">
        <f>VLOOKUP($A96,'Data Vlaue (Cr)'!$C:$FB,62)*100</f>
        <v>-18.490000000000002</v>
      </c>
      <c r="M96" s="51">
        <f>VLOOKUP($A96,'Data Vlaue (Cr)'!$C:$FB,63)</f>
        <v>149</v>
      </c>
      <c r="N96" s="51">
        <f>VLOOKUP($A96,'Data Vlaue (Cr)'!$C:$FB,64)</f>
        <v>120</v>
      </c>
      <c r="O96" s="51">
        <f>VLOOKUP($A96,'Data Vlaue (Cr)'!$C:$FB,66)*100</f>
        <v>24.42</v>
      </c>
    </row>
    <row r="97" spans="1:15" x14ac:dyDescent="0.25">
      <c r="A97" s="101" t="str">
        <f>'Data Vlaue (Cr)'!C92</f>
        <v>INDHOTEL</v>
      </c>
      <c r="B97" s="50">
        <f>VLOOKUP($A97,'Data Vlaue (Cr)'!$C:$FB,8)</f>
        <v>722</v>
      </c>
      <c r="C97" s="50">
        <f>VLOOKUP($A97,'Data Vlaue (Cr)'!$C:$FB,11)*100</f>
        <v>1.23</v>
      </c>
      <c r="D97" s="50">
        <f>VLOOKUP($A97,'Data Vlaue (Cr)'!$C:$FB,143)</f>
        <v>1284.18</v>
      </c>
      <c r="E97" s="50">
        <f>VLOOKUP($A97,'Data Vlaue (Cr)'!$C:$FB,144)</f>
        <v>1165.02</v>
      </c>
      <c r="F97" s="50">
        <f>VLOOKUP($A97,'Data Vlaue (Cr)'!$C:$FB,146)*100</f>
        <v>10.23</v>
      </c>
      <c r="G97" s="49">
        <f>VLOOKUP($A97,'Data Vlaue (Cr)'!$C:$FB,43)</f>
        <v>293</v>
      </c>
      <c r="H97" s="49">
        <f>VLOOKUP($A97,'Data Vlaue (Cr)'!$C:$FB,44)</f>
        <v>252</v>
      </c>
      <c r="I97" s="49">
        <f>VLOOKUP($A97,'Data Vlaue (Cr)'!$C:$FB,46)*100</f>
        <v>16.43</v>
      </c>
      <c r="J97" s="51">
        <f>VLOOKUP($A97,'Data Vlaue (Cr)'!$C:$FB,59)</f>
        <v>659</v>
      </c>
      <c r="K97" s="51">
        <f>VLOOKUP($A97,'Data Vlaue (Cr)'!$C:$FB,60)</f>
        <v>635</v>
      </c>
      <c r="L97" s="51">
        <f>VLOOKUP($A97,'Data Vlaue (Cr)'!$C:$FB,62)*100</f>
        <v>3.82</v>
      </c>
      <c r="M97" s="51">
        <f>VLOOKUP($A97,'Data Vlaue (Cr)'!$C:$FB,63)</f>
        <v>319</v>
      </c>
      <c r="N97" s="51">
        <f>VLOOKUP($A97,'Data Vlaue (Cr)'!$C:$FB,64)</f>
        <v>257</v>
      </c>
      <c r="O97" s="51">
        <f>VLOOKUP($A97,'Data Vlaue (Cr)'!$C:$FB,66)*100</f>
        <v>23.880000000000003</v>
      </c>
    </row>
    <row r="98" spans="1:15" x14ac:dyDescent="0.25">
      <c r="A98" s="101" t="str">
        <f>'Data Vlaue (Cr)'!C93</f>
        <v>INDIANB</v>
      </c>
      <c r="B98" s="50">
        <f>VLOOKUP($A98,'Data Vlaue (Cr)'!$C:$FB,8)</f>
        <v>777.85</v>
      </c>
      <c r="C98" s="50">
        <f>VLOOKUP($A98,'Data Vlaue (Cr)'!$C:$FB,11)*100</f>
        <v>0.37</v>
      </c>
      <c r="D98" s="50">
        <f>VLOOKUP($A98,'Data Vlaue (Cr)'!$C:$FB,143)</f>
        <v>652.85</v>
      </c>
      <c r="E98" s="50">
        <f>VLOOKUP($A98,'Data Vlaue (Cr)'!$C:$FB,144)</f>
        <v>643.05999999999995</v>
      </c>
      <c r="F98" s="50">
        <f>VLOOKUP($A98,'Data Vlaue (Cr)'!$C:$FB,146)*100</f>
        <v>1.52</v>
      </c>
      <c r="G98" s="49">
        <f>VLOOKUP($A98,'Data Vlaue (Cr)'!$C:$FB,43)</f>
        <v>113</v>
      </c>
      <c r="H98" s="49">
        <f>VLOOKUP($A98,'Data Vlaue (Cr)'!$C:$FB,44)</f>
        <v>119</v>
      </c>
      <c r="I98" s="49">
        <f>VLOOKUP($A98,'Data Vlaue (Cr)'!$C:$FB,46)*100</f>
        <v>-4.9799999999999995</v>
      </c>
      <c r="J98" s="51">
        <f>VLOOKUP($A98,'Data Vlaue (Cr)'!$C:$FB,59)</f>
        <v>409</v>
      </c>
      <c r="K98" s="51">
        <f>VLOOKUP($A98,'Data Vlaue (Cr)'!$C:$FB,60)</f>
        <v>372</v>
      </c>
      <c r="L98" s="51">
        <f>VLOOKUP($A98,'Data Vlaue (Cr)'!$C:$FB,62)*100</f>
        <v>9.94</v>
      </c>
      <c r="M98" s="51">
        <f>VLOOKUP($A98,'Data Vlaue (Cr)'!$C:$FB,63)</f>
        <v>106</v>
      </c>
      <c r="N98" s="51">
        <f>VLOOKUP($A98,'Data Vlaue (Cr)'!$C:$FB,64)</f>
        <v>134</v>
      </c>
      <c r="O98" s="51">
        <f>VLOOKUP($A98,'Data Vlaue (Cr)'!$C:$FB,66)*100</f>
        <v>-20.66</v>
      </c>
    </row>
    <row r="99" spans="1:15" x14ac:dyDescent="0.25">
      <c r="A99" s="101" t="str">
        <f>'Data Vlaue (Cr)'!C94</f>
        <v>INDIAVIX</v>
      </c>
      <c r="B99" s="50">
        <f>VLOOKUP($A99,'Data Vlaue (Cr)'!$C:$FB,8)</f>
        <v>9.7100000000000009</v>
      </c>
      <c r="C99" s="50">
        <f>VLOOKUP($A99,'Data Vlaue (Cr)'!$C:$FB,11)*100</f>
        <v>-1.35</v>
      </c>
      <c r="D99" s="50">
        <f>VLOOKUP($A99,'Data Vlaue (Cr)'!$C:$FB,143)</f>
        <v>0</v>
      </c>
      <c r="E99" s="50">
        <f>VLOOKUP($A99,'Data Vlaue (Cr)'!$C:$FB,144)</f>
        <v>0</v>
      </c>
      <c r="F99" s="50">
        <f>VLOOKUP($A99,'Data Vlaue (Cr)'!$C:$FB,146)*100</f>
        <v>0</v>
      </c>
      <c r="G99" s="49">
        <f>VLOOKUP($A99,'Data Vlaue (Cr)'!$C:$FB,43)</f>
        <v>0</v>
      </c>
      <c r="H99" s="49">
        <f>VLOOKUP($A99,'Data Vlaue (Cr)'!$C:$FB,44)</f>
        <v>0</v>
      </c>
      <c r="I99" s="49">
        <f>VLOOKUP($A99,'Data Vlaue (Cr)'!$C:$FB,46)*100</f>
        <v>0</v>
      </c>
      <c r="J99" s="51">
        <f>VLOOKUP($A99,'Data Vlaue (Cr)'!$C:$FB,59)</f>
        <v>0</v>
      </c>
      <c r="K99" s="51">
        <f>VLOOKUP($A99,'Data Vlaue (Cr)'!$C:$FB,60)</f>
        <v>0</v>
      </c>
      <c r="L99" s="51">
        <f>VLOOKUP($A99,'Data Vlaue (Cr)'!$C:$FB,62)*100</f>
        <v>0</v>
      </c>
      <c r="M99" s="51">
        <f>VLOOKUP($A99,'Data Vlaue (Cr)'!$C:$FB,63)</f>
        <v>0</v>
      </c>
      <c r="N99" s="51">
        <f>VLOOKUP($A99,'Data Vlaue (Cr)'!$C:$FB,64)</f>
        <v>0</v>
      </c>
      <c r="O99" s="51">
        <f>VLOOKUP($A99,'Data Vlaue (Cr)'!$C:$FB,66)*100</f>
        <v>0</v>
      </c>
    </row>
    <row r="100" spans="1:15" x14ac:dyDescent="0.25">
      <c r="A100" s="101" t="str">
        <f>'Data Vlaue (Cr)'!C95</f>
        <v>INDIGO</v>
      </c>
      <c r="B100" s="50">
        <f>VLOOKUP($A100,'Data Vlaue (Cr)'!$C:$FB,8)</f>
        <v>5115.5</v>
      </c>
      <c r="C100" s="50">
        <f>VLOOKUP($A100,'Data Vlaue (Cr)'!$C:$FB,11)*100</f>
        <v>2.71</v>
      </c>
      <c r="D100" s="50">
        <f>VLOOKUP($A100,'Data Vlaue (Cr)'!$C:$FB,143)</f>
        <v>29728.38</v>
      </c>
      <c r="E100" s="50">
        <f>VLOOKUP($A100,'Data Vlaue (Cr)'!$C:$FB,144)</f>
        <v>7204.94</v>
      </c>
      <c r="F100" s="50">
        <f>VLOOKUP($A100,'Data Vlaue (Cr)'!$C:$FB,146)*100</f>
        <v>312.61</v>
      </c>
      <c r="G100" s="49">
        <f>VLOOKUP($A100,'Data Vlaue (Cr)'!$C:$FB,43)</f>
        <v>2319</v>
      </c>
      <c r="H100" s="49">
        <f>VLOOKUP($A100,'Data Vlaue (Cr)'!$C:$FB,44)</f>
        <v>579</v>
      </c>
      <c r="I100" s="49">
        <f>VLOOKUP($A100,'Data Vlaue (Cr)'!$C:$FB,46)*100</f>
        <v>300.61</v>
      </c>
      <c r="J100" s="51">
        <f>VLOOKUP($A100,'Data Vlaue (Cr)'!$C:$FB,59)</f>
        <v>18325</v>
      </c>
      <c r="K100" s="51">
        <f>VLOOKUP($A100,'Data Vlaue (Cr)'!$C:$FB,60)</f>
        <v>4389</v>
      </c>
      <c r="L100" s="51">
        <f>VLOOKUP($A100,'Data Vlaue (Cr)'!$C:$FB,62)*100</f>
        <v>317.57</v>
      </c>
      <c r="M100" s="51">
        <f>VLOOKUP($A100,'Data Vlaue (Cr)'!$C:$FB,63)</f>
        <v>8781</v>
      </c>
      <c r="N100" s="51">
        <f>VLOOKUP($A100,'Data Vlaue (Cr)'!$C:$FB,64)</f>
        <v>2219</v>
      </c>
      <c r="O100" s="51">
        <f>VLOOKUP($A100,'Data Vlaue (Cr)'!$C:$FB,66)*100</f>
        <v>295.69</v>
      </c>
    </row>
    <row r="101" spans="1:15" x14ac:dyDescent="0.25">
      <c r="A101" s="101" t="str">
        <f>'Data Vlaue (Cr)'!C96</f>
        <v>INDUSINDBK</v>
      </c>
      <c r="B101" s="50">
        <f>VLOOKUP($A101,'Data Vlaue (Cr)'!$C:$FB,8)</f>
        <v>834.9</v>
      </c>
      <c r="C101" s="50">
        <f>VLOOKUP($A101,'Data Vlaue (Cr)'!$C:$FB,11)*100</f>
        <v>0.13</v>
      </c>
      <c r="D101" s="50">
        <f>VLOOKUP($A101,'Data Vlaue (Cr)'!$C:$FB,143)</f>
        <v>2169.59</v>
      </c>
      <c r="E101" s="50">
        <f>VLOOKUP($A101,'Data Vlaue (Cr)'!$C:$FB,144)</f>
        <v>3407.56</v>
      </c>
      <c r="F101" s="50">
        <f>VLOOKUP($A101,'Data Vlaue (Cr)'!$C:$FB,146)*100</f>
        <v>-36.33</v>
      </c>
      <c r="G101" s="49">
        <f>VLOOKUP($A101,'Data Vlaue (Cr)'!$C:$FB,43)</f>
        <v>435</v>
      </c>
      <c r="H101" s="49">
        <f>VLOOKUP($A101,'Data Vlaue (Cr)'!$C:$FB,44)</f>
        <v>588</v>
      </c>
      <c r="I101" s="49">
        <f>VLOOKUP($A101,'Data Vlaue (Cr)'!$C:$FB,46)*100</f>
        <v>-26.029999999999998</v>
      </c>
      <c r="J101" s="51">
        <f>VLOOKUP($A101,'Data Vlaue (Cr)'!$C:$FB,59)</f>
        <v>1002</v>
      </c>
      <c r="K101" s="51">
        <f>VLOOKUP($A101,'Data Vlaue (Cr)'!$C:$FB,60)</f>
        <v>1469</v>
      </c>
      <c r="L101" s="51">
        <f>VLOOKUP($A101,'Data Vlaue (Cr)'!$C:$FB,62)*100</f>
        <v>-31.790000000000003</v>
      </c>
      <c r="M101" s="51">
        <f>VLOOKUP($A101,'Data Vlaue (Cr)'!$C:$FB,63)</f>
        <v>702</v>
      </c>
      <c r="N101" s="51">
        <f>VLOOKUP($A101,'Data Vlaue (Cr)'!$C:$FB,64)</f>
        <v>1293</v>
      </c>
      <c r="O101" s="51">
        <f>VLOOKUP($A101,'Data Vlaue (Cr)'!$C:$FB,66)*100</f>
        <v>-45.7</v>
      </c>
    </row>
    <row r="102" spans="1:15" x14ac:dyDescent="0.25">
      <c r="A102" s="101" t="str">
        <f>'Data Vlaue (Cr)'!C97</f>
        <v>INDUSTOWER</v>
      </c>
      <c r="B102" s="50">
        <f>VLOOKUP($A102,'Data Vlaue (Cr)'!$C:$FB,8)</f>
        <v>408.75</v>
      </c>
      <c r="C102" s="50">
        <f>VLOOKUP($A102,'Data Vlaue (Cr)'!$C:$FB,11)*100</f>
        <v>0.38</v>
      </c>
      <c r="D102" s="50">
        <f>VLOOKUP($A102,'Data Vlaue (Cr)'!$C:$FB,143)</f>
        <v>1478.03</v>
      </c>
      <c r="E102" s="50">
        <f>VLOOKUP($A102,'Data Vlaue (Cr)'!$C:$FB,144)</f>
        <v>1166.6500000000001</v>
      </c>
      <c r="F102" s="50">
        <f>VLOOKUP($A102,'Data Vlaue (Cr)'!$C:$FB,146)*100</f>
        <v>26.69</v>
      </c>
      <c r="G102" s="49">
        <f>VLOOKUP($A102,'Data Vlaue (Cr)'!$C:$FB,43)</f>
        <v>358</v>
      </c>
      <c r="H102" s="49">
        <f>VLOOKUP($A102,'Data Vlaue (Cr)'!$C:$FB,44)</f>
        <v>243</v>
      </c>
      <c r="I102" s="49">
        <f>VLOOKUP($A102,'Data Vlaue (Cr)'!$C:$FB,46)*100</f>
        <v>47.08</v>
      </c>
      <c r="J102" s="51">
        <f>VLOOKUP($A102,'Data Vlaue (Cr)'!$C:$FB,59)</f>
        <v>810</v>
      </c>
      <c r="K102" s="51">
        <f>VLOOKUP($A102,'Data Vlaue (Cr)'!$C:$FB,60)</f>
        <v>718</v>
      </c>
      <c r="L102" s="51">
        <f>VLOOKUP($A102,'Data Vlaue (Cr)'!$C:$FB,62)*100</f>
        <v>12.809999999999999</v>
      </c>
      <c r="M102" s="51">
        <f>VLOOKUP($A102,'Data Vlaue (Cr)'!$C:$FB,63)</f>
        <v>283</v>
      </c>
      <c r="N102" s="51">
        <f>VLOOKUP($A102,'Data Vlaue (Cr)'!$C:$FB,64)</f>
        <v>177</v>
      </c>
      <c r="O102" s="51">
        <f>VLOOKUP($A102,'Data Vlaue (Cr)'!$C:$FB,66)*100</f>
        <v>59.540000000000006</v>
      </c>
    </row>
    <row r="103" spans="1:15" x14ac:dyDescent="0.25">
      <c r="A103" s="101" t="str">
        <f>'Data Vlaue (Cr)'!C98</f>
        <v>INFY</v>
      </c>
      <c r="B103" s="50">
        <f>VLOOKUP($A103,'Data Vlaue (Cr)'!$C:$FB,8)</f>
        <v>1626.8</v>
      </c>
      <c r="C103" s="50">
        <f>VLOOKUP($A103,'Data Vlaue (Cr)'!$C:$FB,11)*100</f>
        <v>1.55</v>
      </c>
      <c r="D103" s="50">
        <f>VLOOKUP($A103,'Data Vlaue (Cr)'!$C:$FB,143)</f>
        <v>14373.36</v>
      </c>
      <c r="E103" s="50">
        <f>VLOOKUP($A103,'Data Vlaue (Cr)'!$C:$FB,144)</f>
        <v>6968.01</v>
      </c>
      <c r="F103" s="50">
        <f>VLOOKUP($A103,'Data Vlaue (Cr)'!$C:$FB,146)*100</f>
        <v>106.28</v>
      </c>
      <c r="G103" s="49">
        <f>VLOOKUP($A103,'Data Vlaue (Cr)'!$C:$FB,43)</f>
        <v>2719</v>
      </c>
      <c r="H103" s="49">
        <f>VLOOKUP($A103,'Data Vlaue (Cr)'!$C:$FB,44)</f>
        <v>1475</v>
      </c>
      <c r="I103" s="49">
        <f>VLOOKUP($A103,'Data Vlaue (Cr)'!$C:$FB,46)*100</f>
        <v>84.26</v>
      </c>
      <c r="J103" s="51">
        <f>VLOOKUP($A103,'Data Vlaue (Cr)'!$C:$FB,59)</f>
        <v>7375</v>
      </c>
      <c r="K103" s="51">
        <f>VLOOKUP($A103,'Data Vlaue (Cr)'!$C:$FB,60)</f>
        <v>3590</v>
      </c>
      <c r="L103" s="51">
        <f>VLOOKUP($A103,'Data Vlaue (Cr)'!$C:$FB,62)*100</f>
        <v>105.43</v>
      </c>
      <c r="M103" s="51">
        <f>VLOOKUP($A103,'Data Vlaue (Cr)'!$C:$FB,63)</f>
        <v>4213</v>
      </c>
      <c r="N103" s="51">
        <f>VLOOKUP($A103,'Data Vlaue (Cr)'!$C:$FB,64)</f>
        <v>1937</v>
      </c>
      <c r="O103" s="51">
        <f>VLOOKUP($A103,'Data Vlaue (Cr)'!$C:$FB,66)*100</f>
        <v>117.44000000000001</v>
      </c>
    </row>
    <row r="104" spans="1:15" x14ac:dyDescent="0.25">
      <c r="A104" s="101" t="str">
        <f>'Data Vlaue (Cr)'!C99</f>
        <v>INOXWIND</v>
      </c>
      <c r="B104" s="50">
        <f>VLOOKUP($A104,'Data Vlaue (Cr)'!$C:$FB,8)</f>
        <v>124.21</v>
      </c>
      <c r="C104" s="50">
        <f>VLOOKUP($A104,'Data Vlaue (Cr)'!$C:$FB,11)*100</f>
        <v>-1.4500000000000002</v>
      </c>
      <c r="D104" s="50">
        <f>VLOOKUP($A104,'Data Vlaue (Cr)'!$C:$FB,143)</f>
        <v>464.72</v>
      </c>
      <c r="E104" s="50">
        <f>VLOOKUP($A104,'Data Vlaue (Cr)'!$C:$FB,144)</f>
        <v>312.89999999999998</v>
      </c>
      <c r="F104" s="50">
        <f>VLOOKUP($A104,'Data Vlaue (Cr)'!$C:$FB,146)*100</f>
        <v>48.52</v>
      </c>
      <c r="G104" s="49">
        <f>VLOOKUP($A104,'Data Vlaue (Cr)'!$C:$FB,43)</f>
        <v>99</v>
      </c>
      <c r="H104" s="49">
        <f>VLOOKUP($A104,'Data Vlaue (Cr)'!$C:$FB,44)</f>
        <v>94</v>
      </c>
      <c r="I104" s="49">
        <f>VLOOKUP($A104,'Data Vlaue (Cr)'!$C:$FB,46)*100</f>
        <v>5.72</v>
      </c>
      <c r="J104" s="51">
        <f>VLOOKUP($A104,'Data Vlaue (Cr)'!$C:$FB,59)</f>
        <v>205</v>
      </c>
      <c r="K104" s="51">
        <f>VLOOKUP($A104,'Data Vlaue (Cr)'!$C:$FB,60)</f>
        <v>127</v>
      </c>
      <c r="L104" s="51">
        <f>VLOOKUP($A104,'Data Vlaue (Cr)'!$C:$FB,62)*100</f>
        <v>60.699999999999996</v>
      </c>
      <c r="M104" s="51">
        <f>VLOOKUP($A104,'Data Vlaue (Cr)'!$C:$FB,63)</f>
        <v>142</v>
      </c>
      <c r="N104" s="51">
        <f>VLOOKUP($A104,'Data Vlaue (Cr)'!$C:$FB,64)</f>
        <v>76</v>
      </c>
      <c r="O104" s="51">
        <f>VLOOKUP($A104,'Data Vlaue (Cr)'!$C:$FB,66)*100</f>
        <v>87.22</v>
      </c>
    </row>
    <row r="105" spans="1:15" x14ac:dyDescent="0.25">
      <c r="A105" s="101" t="str">
        <f>'Data Vlaue (Cr)'!C100</f>
        <v>IOC</v>
      </c>
      <c r="B105" s="50">
        <f>VLOOKUP($A105,'Data Vlaue (Cr)'!$C:$FB,8)</f>
        <v>161.75</v>
      </c>
      <c r="C105" s="50">
        <f>VLOOKUP($A105,'Data Vlaue (Cr)'!$C:$FB,11)*100</f>
        <v>-3.81</v>
      </c>
      <c r="D105" s="50">
        <f>VLOOKUP($A105,'Data Vlaue (Cr)'!$C:$FB,143)</f>
        <v>2103.0500000000002</v>
      </c>
      <c r="E105" s="50">
        <f>VLOOKUP($A105,'Data Vlaue (Cr)'!$C:$FB,144)</f>
        <v>2908.83</v>
      </c>
      <c r="F105" s="50">
        <f>VLOOKUP($A105,'Data Vlaue (Cr)'!$C:$FB,146)*100</f>
        <v>-27.700000000000003</v>
      </c>
      <c r="G105" s="49">
        <f>VLOOKUP($A105,'Data Vlaue (Cr)'!$C:$FB,43)</f>
        <v>251</v>
      </c>
      <c r="H105" s="49">
        <f>VLOOKUP($A105,'Data Vlaue (Cr)'!$C:$FB,44)</f>
        <v>313</v>
      </c>
      <c r="I105" s="49">
        <f>VLOOKUP($A105,'Data Vlaue (Cr)'!$C:$FB,46)*100</f>
        <v>-19.82</v>
      </c>
      <c r="J105" s="51">
        <f>VLOOKUP($A105,'Data Vlaue (Cr)'!$C:$FB,59)</f>
        <v>1152</v>
      </c>
      <c r="K105" s="51">
        <f>VLOOKUP($A105,'Data Vlaue (Cr)'!$C:$FB,60)</f>
        <v>1552</v>
      </c>
      <c r="L105" s="51">
        <f>VLOOKUP($A105,'Data Vlaue (Cr)'!$C:$FB,62)*100</f>
        <v>-25.75</v>
      </c>
      <c r="M105" s="51">
        <f>VLOOKUP($A105,'Data Vlaue (Cr)'!$C:$FB,63)</f>
        <v>660</v>
      </c>
      <c r="N105" s="51">
        <f>VLOOKUP($A105,'Data Vlaue (Cr)'!$C:$FB,64)</f>
        <v>900</v>
      </c>
      <c r="O105" s="51">
        <f>VLOOKUP($A105,'Data Vlaue (Cr)'!$C:$FB,66)*100</f>
        <v>-26.66</v>
      </c>
    </row>
    <row r="106" spans="1:15" x14ac:dyDescent="0.25">
      <c r="A106" s="101" t="str">
        <f>'Data Vlaue (Cr)'!C101</f>
        <v>IRCTC</v>
      </c>
      <c r="B106" s="50">
        <f>VLOOKUP($A106,'Data Vlaue (Cr)'!$C:$FB,8)</f>
        <v>663.85</v>
      </c>
      <c r="C106" s="50">
        <f>VLOOKUP($A106,'Data Vlaue (Cr)'!$C:$FB,11)*100</f>
        <v>-0.33999999999999997</v>
      </c>
      <c r="D106" s="50">
        <f>VLOOKUP($A106,'Data Vlaue (Cr)'!$C:$FB,143)</f>
        <v>712.11</v>
      </c>
      <c r="E106" s="50">
        <f>VLOOKUP($A106,'Data Vlaue (Cr)'!$C:$FB,144)</f>
        <v>706.55</v>
      </c>
      <c r="F106" s="50">
        <f>VLOOKUP($A106,'Data Vlaue (Cr)'!$C:$FB,146)*100</f>
        <v>0.79</v>
      </c>
      <c r="G106" s="49">
        <f>VLOOKUP($A106,'Data Vlaue (Cr)'!$C:$FB,43)</f>
        <v>99</v>
      </c>
      <c r="H106" s="49">
        <f>VLOOKUP($A106,'Data Vlaue (Cr)'!$C:$FB,44)</f>
        <v>105</v>
      </c>
      <c r="I106" s="49">
        <f>VLOOKUP($A106,'Data Vlaue (Cr)'!$C:$FB,46)*100</f>
        <v>-5.4</v>
      </c>
      <c r="J106" s="51">
        <f>VLOOKUP($A106,'Data Vlaue (Cr)'!$C:$FB,59)</f>
        <v>443</v>
      </c>
      <c r="K106" s="51">
        <f>VLOOKUP($A106,'Data Vlaue (Cr)'!$C:$FB,60)</f>
        <v>359</v>
      </c>
      <c r="L106" s="51">
        <f>VLOOKUP($A106,'Data Vlaue (Cr)'!$C:$FB,62)*100</f>
        <v>23.35</v>
      </c>
      <c r="M106" s="51">
        <f>VLOOKUP($A106,'Data Vlaue (Cr)'!$C:$FB,63)</f>
        <v>155</v>
      </c>
      <c r="N106" s="51">
        <f>VLOOKUP($A106,'Data Vlaue (Cr)'!$C:$FB,64)</f>
        <v>225</v>
      </c>
      <c r="O106" s="51">
        <f>VLOOKUP($A106,'Data Vlaue (Cr)'!$C:$FB,66)*100</f>
        <v>-31.009999999999998</v>
      </c>
    </row>
    <row r="107" spans="1:15" x14ac:dyDescent="0.25">
      <c r="A107" s="101" t="str">
        <f>'Data Vlaue (Cr)'!C102</f>
        <v>IREDA</v>
      </c>
      <c r="B107" s="50">
        <f>VLOOKUP($A107,'Data Vlaue (Cr)'!$C:$FB,8)</f>
        <v>131.41999999999999</v>
      </c>
      <c r="C107" s="50">
        <f>VLOOKUP($A107,'Data Vlaue (Cr)'!$C:$FB,11)*100</f>
        <v>-0.01</v>
      </c>
      <c r="D107" s="50">
        <f>VLOOKUP($A107,'Data Vlaue (Cr)'!$C:$FB,143)</f>
        <v>467.94</v>
      </c>
      <c r="E107" s="50">
        <f>VLOOKUP($A107,'Data Vlaue (Cr)'!$C:$FB,144)</f>
        <v>403.09</v>
      </c>
      <c r="F107" s="50">
        <f>VLOOKUP($A107,'Data Vlaue (Cr)'!$C:$FB,146)*100</f>
        <v>16.09</v>
      </c>
      <c r="G107" s="49">
        <f>VLOOKUP($A107,'Data Vlaue (Cr)'!$C:$FB,43)</f>
        <v>137</v>
      </c>
      <c r="H107" s="49">
        <f>VLOOKUP($A107,'Data Vlaue (Cr)'!$C:$FB,44)</f>
        <v>139</v>
      </c>
      <c r="I107" s="49">
        <f>VLOOKUP($A107,'Data Vlaue (Cr)'!$C:$FB,46)*100</f>
        <v>-0.82000000000000006</v>
      </c>
      <c r="J107" s="51">
        <f>VLOOKUP($A107,'Data Vlaue (Cr)'!$C:$FB,59)</f>
        <v>227</v>
      </c>
      <c r="K107" s="51">
        <f>VLOOKUP($A107,'Data Vlaue (Cr)'!$C:$FB,60)</f>
        <v>187</v>
      </c>
      <c r="L107" s="51">
        <f>VLOOKUP($A107,'Data Vlaue (Cr)'!$C:$FB,62)*100</f>
        <v>21.6</v>
      </c>
      <c r="M107" s="51">
        <f>VLOOKUP($A107,'Data Vlaue (Cr)'!$C:$FB,63)</f>
        <v>90</v>
      </c>
      <c r="N107" s="51">
        <f>VLOOKUP($A107,'Data Vlaue (Cr)'!$C:$FB,64)</f>
        <v>60</v>
      </c>
      <c r="O107" s="51">
        <f>VLOOKUP($A107,'Data Vlaue (Cr)'!$C:$FB,66)*100</f>
        <v>48.870000000000005</v>
      </c>
    </row>
    <row r="108" spans="1:15" x14ac:dyDescent="0.25">
      <c r="A108" s="101" t="str">
        <f>'Data Vlaue (Cr)'!C103</f>
        <v>IRFC</v>
      </c>
      <c r="B108" s="50">
        <f>VLOOKUP($A108,'Data Vlaue (Cr)'!$C:$FB,8)</f>
        <v>110.81</v>
      </c>
      <c r="C108" s="50">
        <f>VLOOKUP($A108,'Data Vlaue (Cr)'!$C:$FB,11)*100</f>
        <v>-0.24</v>
      </c>
      <c r="D108" s="50">
        <f>VLOOKUP($A108,'Data Vlaue (Cr)'!$C:$FB,143)</f>
        <v>461.28</v>
      </c>
      <c r="E108" s="50">
        <f>VLOOKUP($A108,'Data Vlaue (Cr)'!$C:$FB,144)</f>
        <v>422.08</v>
      </c>
      <c r="F108" s="50">
        <f>VLOOKUP($A108,'Data Vlaue (Cr)'!$C:$FB,146)*100</f>
        <v>9.2899999999999991</v>
      </c>
      <c r="G108" s="49">
        <f>VLOOKUP($A108,'Data Vlaue (Cr)'!$C:$FB,43)</f>
        <v>65</v>
      </c>
      <c r="H108" s="49">
        <f>VLOOKUP($A108,'Data Vlaue (Cr)'!$C:$FB,44)</f>
        <v>60</v>
      </c>
      <c r="I108" s="49">
        <f>VLOOKUP($A108,'Data Vlaue (Cr)'!$C:$FB,46)*100</f>
        <v>8.83</v>
      </c>
      <c r="J108" s="51">
        <f>VLOOKUP($A108,'Data Vlaue (Cr)'!$C:$FB,59)</f>
        <v>261</v>
      </c>
      <c r="K108" s="51">
        <f>VLOOKUP($A108,'Data Vlaue (Cr)'!$C:$FB,60)</f>
        <v>243</v>
      </c>
      <c r="L108" s="51">
        <f>VLOOKUP($A108,'Data Vlaue (Cr)'!$C:$FB,62)*100</f>
        <v>7.3999999999999995</v>
      </c>
      <c r="M108" s="51">
        <f>VLOOKUP($A108,'Data Vlaue (Cr)'!$C:$FB,63)</f>
        <v>121</v>
      </c>
      <c r="N108" s="51">
        <f>VLOOKUP($A108,'Data Vlaue (Cr)'!$C:$FB,64)</f>
        <v>102</v>
      </c>
      <c r="O108" s="51">
        <f>VLOOKUP($A108,'Data Vlaue (Cr)'!$C:$FB,66)*100</f>
        <v>18.64</v>
      </c>
    </row>
    <row r="109" spans="1:15" x14ac:dyDescent="0.25">
      <c r="A109" s="101" t="str">
        <f>'Data Vlaue (Cr)'!C104</f>
        <v>ITC</v>
      </c>
      <c r="B109" s="50">
        <f>VLOOKUP($A109,'Data Vlaue (Cr)'!$C:$FB,8)</f>
        <v>400.4</v>
      </c>
      <c r="C109" s="50">
        <f>VLOOKUP($A109,'Data Vlaue (Cr)'!$C:$FB,11)*100</f>
        <v>0.15</v>
      </c>
      <c r="D109" s="50">
        <f>VLOOKUP($A109,'Data Vlaue (Cr)'!$C:$FB,143)</f>
        <v>2594.96</v>
      </c>
      <c r="E109" s="50">
        <f>VLOOKUP($A109,'Data Vlaue (Cr)'!$C:$FB,144)</f>
        <v>2956.95</v>
      </c>
      <c r="F109" s="50">
        <f>VLOOKUP($A109,'Data Vlaue (Cr)'!$C:$FB,146)*100</f>
        <v>-12.24</v>
      </c>
      <c r="G109" s="49">
        <f>VLOOKUP($A109,'Data Vlaue (Cr)'!$C:$FB,43)</f>
        <v>706</v>
      </c>
      <c r="H109" s="49">
        <f>VLOOKUP($A109,'Data Vlaue (Cr)'!$C:$FB,44)</f>
        <v>551</v>
      </c>
      <c r="I109" s="49">
        <f>VLOOKUP($A109,'Data Vlaue (Cr)'!$C:$FB,46)*100</f>
        <v>28.060000000000002</v>
      </c>
      <c r="J109" s="51">
        <f>VLOOKUP($A109,'Data Vlaue (Cr)'!$C:$FB,59)</f>
        <v>1197</v>
      </c>
      <c r="K109" s="51">
        <f>VLOOKUP($A109,'Data Vlaue (Cr)'!$C:$FB,60)</f>
        <v>1597</v>
      </c>
      <c r="L109" s="51">
        <f>VLOOKUP($A109,'Data Vlaue (Cr)'!$C:$FB,62)*100</f>
        <v>-25.040000000000003</v>
      </c>
      <c r="M109" s="51">
        <f>VLOOKUP($A109,'Data Vlaue (Cr)'!$C:$FB,63)</f>
        <v>668</v>
      </c>
      <c r="N109" s="51">
        <f>VLOOKUP($A109,'Data Vlaue (Cr)'!$C:$FB,64)</f>
        <v>768</v>
      </c>
      <c r="O109" s="51">
        <f>VLOOKUP($A109,'Data Vlaue (Cr)'!$C:$FB,66)*100</f>
        <v>-13.05</v>
      </c>
    </row>
    <row r="110" spans="1:15" x14ac:dyDescent="0.25">
      <c r="A110" s="101" t="str">
        <f>'Data Vlaue (Cr)'!C105</f>
        <v>JINDALSTEL</v>
      </c>
      <c r="B110" s="50">
        <f>VLOOKUP($A110,'Data Vlaue (Cr)'!$C:$FB,8)</f>
        <v>986</v>
      </c>
      <c r="C110" s="50">
        <f>VLOOKUP($A110,'Data Vlaue (Cr)'!$C:$FB,11)*100</f>
        <v>-1.55</v>
      </c>
      <c r="D110" s="50">
        <f>VLOOKUP($A110,'Data Vlaue (Cr)'!$C:$FB,143)</f>
        <v>1807.71</v>
      </c>
      <c r="E110" s="50">
        <f>VLOOKUP($A110,'Data Vlaue (Cr)'!$C:$FB,144)</f>
        <v>840.78</v>
      </c>
      <c r="F110" s="50">
        <f>VLOOKUP($A110,'Data Vlaue (Cr)'!$C:$FB,146)*100</f>
        <v>114.99999999999999</v>
      </c>
      <c r="G110" s="49">
        <f>VLOOKUP($A110,'Data Vlaue (Cr)'!$C:$FB,43)</f>
        <v>365</v>
      </c>
      <c r="H110" s="49">
        <f>VLOOKUP($A110,'Data Vlaue (Cr)'!$C:$FB,44)</f>
        <v>172</v>
      </c>
      <c r="I110" s="49">
        <f>VLOOKUP($A110,'Data Vlaue (Cr)'!$C:$FB,46)*100</f>
        <v>112.00000000000001</v>
      </c>
      <c r="J110" s="51">
        <f>VLOOKUP($A110,'Data Vlaue (Cr)'!$C:$FB,59)</f>
        <v>847</v>
      </c>
      <c r="K110" s="51">
        <f>VLOOKUP($A110,'Data Vlaue (Cr)'!$C:$FB,60)</f>
        <v>409</v>
      </c>
      <c r="L110" s="51">
        <f>VLOOKUP($A110,'Data Vlaue (Cr)'!$C:$FB,62)*100</f>
        <v>106.85</v>
      </c>
      <c r="M110" s="51">
        <f>VLOOKUP($A110,'Data Vlaue (Cr)'!$C:$FB,63)</f>
        <v>554</v>
      </c>
      <c r="N110" s="51">
        <f>VLOOKUP($A110,'Data Vlaue (Cr)'!$C:$FB,64)</f>
        <v>224</v>
      </c>
      <c r="O110" s="51">
        <f>VLOOKUP($A110,'Data Vlaue (Cr)'!$C:$FB,66)*100</f>
        <v>147.16999999999999</v>
      </c>
    </row>
    <row r="111" spans="1:15" x14ac:dyDescent="0.25">
      <c r="A111" s="101" t="str">
        <f>'Data Vlaue (Cr)'!C106</f>
        <v>JIOFIN</v>
      </c>
      <c r="B111" s="50">
        <f>VLOOKUP($A111,'Data Vlaue (Cr)'!$C:$FB,8)</f>
        <v>292.3</v>
      </c>
      <c r="C111" s="50">
        <f>VLOOKUP($A111,'Data Vlaue (Cr)'!$C:$FB,11)*100</f>
        <v>-0.28999999999999998</v>
      </c>
      <c r="D111" s="50">
        <f>VLOOKUP($A111,'Data Vlaue (Cr)'!$C:$FB,143)</f>
        <v>2274.2399999999998</v>
      </c>
      <c r="E111" s="50">
        <f>VLOOKUP($A111,'Data Vlaue (Cr)'!$C:$FB,144)</f>
        <v>1813.5</v>
      </c>
      <c r="F111" s="50">
        <f>VLOOKUP($A111,'Data Vlaue (Cr)'!$C:$FB,146)*100</f>
        <v>25.41</v>
      </c>
      <c r="G111" s="49">
        <f>VLOOKUP($A111,'Data Vlaue (Cr)'!$C:$FB,43)</f>
        <v>489</v>
      </c>
      <c r="H111" s="49">
        <f>VLOOKUP($A111,'Data Vlaue (Cr)'!$C:$FB,44)</f>
        <v>271</v>
      </c>
      <c r="I111" s="49">
        <f>VLOOKUP($A111,'Data Vlaue (Cr)'!$C:$FB,46)*100</f>
        <v>80.430000000000007</v>
      </c>
      <c r="J111" s="51">
        <f>VLOOKUP($A111,'Data Vlaue (Cr)'!$C:$FB,59)</f>
        <v>1256</v>
      </c>
      <c r="K111" s="51">
        <f>VLOOKUP($A111,'Data Vlaue (Cr)'!$C:$FB,60)</f>
        <v>1088</v>
      </c>
      <c r="L111" s="51">
        <f>VLOOKUP($A111,'Data Vlaue (Cr)'!$C:$FB,62)*100</f>
        <v>15.379999999999999</v>
      </c>
      <c r="M111" s="51">
        <f>VLOOKUP($A111,'Data Vlaue (Cr)'!$C:$FB,63)</f>
        <v>468</v>
      </c>
      <c r="N111" s="51">
        <f>VLOOKUP($A111,'Data Vlaue (Cr)'!$C:$FB,64)</f>
        <v>387</v>
      </c>
      <c r="O111" s="51">
        <f>VLOOKUP($A111,'Data Vlaue (Cr)'!$C:$FB,66)*100</f>
        <v>21.060000000000002</v>
      </c>
    </row>
    <row r="112" spans="1:15" x14ac:dyDescent="0.25">
      <c r="A112" s="101" t="str">
        <f>'Data Vlaue (Cr)'!C107</f>
        <v>JSWENERGY</v>
      </c>
      <c r="B112" s="50">
        <f>VLOOKUP($A112,'Data Vlaue (Cr)'!$C:$FB,8)</f>
        <v>472</v>
      </c>
      <c r="C112" s="50">
        <f>VLOOKUP($A112,'Data Vlaue (Cr)'!$C:$FB,11)*100</f>
        <v>-0.67999999999999994</v>
      </c>
      <c r="D112" s="50">
        <f>VLOOKUP($A112,'Data Vlaue (Cr)'!$C:$FB,143)</f>
        <v>863.43</v>
      </c>
      <c r="E112" s="50">
        <f>VLOOKUP($A112,'Data Vlaue (Cr)'!$C:$FB,144)</f>
        <v>930.36</v>
      </c>
      <c r="F112" s="50">
        <f>VLOOKUP($A112,'Data Vlaue (Cr)'!$C:$FB,146)*100</f>
        <v>-7.19</v>
      </c>
      <c r="G112" s="49">
        <f>VLOOKUP($A112,'Data Vlaue (Cr)'!$C:$FB,43)</f>
        <v>162</v>
      </c>
      <c r="H112" s="49">
        <f>VLOOKUP($A112,'Data Vlaue (Cr)'!$C:$FB,44)</f>
        <v>162</v>
      </c>
      <c r="I112" s="49">
        <f>VLOOKUP($A112,'Data Vlaue (Cr)'!$C:$FB,46)*100</f>
        <v>-0.44</v>
      </c>
      <c r="J112" s="51">
        <f>VLOOKUP($A112,'Data Vlaue (Cr)'!$C:$FB,59)</f>
        <v>415</v>
      </c>
      <c r="K112" s="51">
        <f>VLOOKUP($A112,'Data Vlaue (Cr)'!$C:$FB,60)</f>
        <v>460</v>
      </c>
      <c r="L112" s="51">
        <f>VLOOKUP($A112,'Data Vlaue (Cr)'!$C:$FB,62)*100</f>
        <v>-9.77</v>
      </c>
      <c r="M112" s="51">
        <f>VLOOKUP($A112,'Data Vlaue (Cr)'!$C:$FB,63)</f>
        <v>272</v>
      </c>
      <c r="N112" s="51">
        <f>VLOOKUP($A112,'Data Vlaue (Cr)'!$C:$FB,64)</f>
        <v>277</v>
      </c>
      <c r="O112" s="51">
        <f>VLOOKUP($A112,'Data Vlaue (Cr)'!$C:$FB,66)*100</f>
        <v>-2.11</v>
      </c>
    </row>
    <row r="113" spans="1:15" x14ac:dyDescent="0.25">
      <c r="A113" s="101" t="str">
        <f>'Data Vlaue (Cr)'!C108</f>
        <v>JSWSTEEL</v>
      </c>
      <c r="B113" s="50">
        <f>VLOOKUP($A113,'Data Vlaue (Cr)'!$C:$FB,8)</f>
        <v>1082.2</v>
      </c>
      <c r="C113" s="50">
        <f>VLOOKUP($A113,'Data Vlaue (Cr)'!$C:$FB,11)*100</f>
        <v>0.27</v>
      </c>
      <c r="D113" s="50">
        <f>VLOOKUP($A113,'Data Vlaue (Cr)'!$C:$FB,143)</f>
        <v>3172.93</v>
      </c>
      <c r="E113" s="50">
        <f>VLOOKUP($A113,'Data Vlaue (Cr)'!$C:$FB,144)</f>
        <v>2504.58</v>
      </c>
      <c r="F113" s="50">
        <f>VLOOKUP($A113,'Data Vlaue (Cr)'!$C:$FB,146)*100</f>
        <v>26.69</v>
      </c>
      <c r="G113" s="49">
        <f>VLOOKUP($A113,'Data Vlaue (Cr)'!$C:$FB,43)</f>
        <v>547</v>
      </c>
      <c r="H113" s="49">
        <f>VLOOKUP($A113,'Data Vlaue (Cr)'!$C:$FB,44)</f>
        <v>367</v>
      </c>
      <c r="I113" s="49">
        <f>VLOOKUP($A113,'Data Vlaue (Cr)'!$C:$FB,46)*100</f>
        <v>49.15</v>
      </c>
      <c r="J113" s="51">
        <f>VLOOKUP($A113,'Data Vlaue (Cr)'!$C:$FB,59)</f>
        <v>1807</v>
      </c>
      <c r="K113" s="51">
        <f>VLOOKUP($A113,'Data Vlaue (Cr)'!$C:$FB,60)</f>
        <v>1497</v>
      </c>
      <c r="L113" s="51">
        <f>VLOOKUP($A113,'Data Vlaue (Cr)'!$C:$FB,62)*100</f>
        <v>20.74</v>
      </c>
      <c r="M113" s="51">
        <f>VLOOKUP($A113,'Data Vlaue (Cr)'!$C:$FB,63)</f>
        <v>729</v>
      </c>
      <c r="N113" s="51">
        <f>VLOOKUP($A113,'Data Vlaue (Cr)'!$C:$FB,64)</f>
        <v>557</v>
      </c>
      <c r="O113" s="51">
        <f>VLOOKUP($A113,'Data Vlaue (Cr)'!$C:$FB,66)*100</f>
        <v>30.81</v>
      </c>
    </row>
    <row r="114" spans="1:15" x14ac:dyDescent="0.25">
      <c r="A114" s="101" t="str">
        <f>'Data Vlaue (Cr)'!C109</f>
        <v>JUBLFOOD</v>
      </c>
      <c r="B114" s="50">
        <f>VLOOKUP($A114,'Data Vlaue (Cr)'!$C:$FB,8)</f>
        <v>558.70000000000005</v>
      </c>
      <c r="C114" s="50">
        <f>VLOOKUP($A114,'Data Vlaue (Cr)'!$C:$FB,11)*100</f>
        <v>0.84</v>
      </c>
      <c r="D114" s="50">
        <f>VLOOKUP($A114,'Data Vlaue (Cr)'!$C:$FB,143)</f>
        <v>1092.01</v>
      </c>
      <c r="E114" s="50">
        <f>VLOOKUP($A114,'Data Vlaue (Cr)'!$C:$FB,144)</f>
        <v>1549.19</v>
      </c>
      <c r="F114" s="50">
        <f>VLOOKUP($A114,'Data Vlaue (Cr)'!$C:$FB,146)*100</f>
        <v>-29.509999999999998</v>
      </c>
      <c r="G114" s="49">
        <f>VLOOKUP($A114,'Data Vlaue (Cr)'!$C:$FB,43)</f>
        <v>205</v>
      </c>
      <c r="H114" s="49">
        <f>VLOOKUP($A114,'Data Vlaue (Cr)'!$C:$FB,44)</f>
        <v>276</v>
      </c>
      <c r="I114" s="49">
        <f>VLOOKUP($A114,'Data Vlaue (Cr)'!$C:$FB,46)*100</f>
        <v>-25.77</v>
      </c>
      <c r="J114" s="51">
        <f>VLOOKUP($A114,'Data Vlaue (Cr)'!$C:$FB,59)</f>
        <v>557</v>
      </c>
      <c r="K114" s="51">
        <f>VLOOKUP($A114,'Data Vlaue (Cr)'!$C:$FB,60)</f>
        <v>758</v>
      </c>
      <c r="L114" s="51">
        <f>VLOOKUP($A114,'Data Vlaue (Cr)'!$C:$FB,62)*100</f>
        <v>-26.58</v>
      </c>
      <c r="M114" s="51">
        <f>VLOOKUP($A114,'Data Vlaue (Cr)'!$C:$FB,63)</f>
        <v>304</v>
      </c>
      <c r="N114" s="51">
        <f>VLOOKUP($A114,'Data Vlaue (Cr)'!$C:$FB,64)</f>
        <v>479</v>
      </c>
      <c r="O114" s="51">
        <f>VLOOKUP($A114,'Data Vlaue (Cr)'!$C:$FB,66)*100</f>
        <v>-36.590000000000003</v>
      </c>
    </row>
    <row r="115" spans="1:15" x14ac:dyDescent="0.25">
      <c r="A115" s="101" t="str">
        <f>'Data Vlaue (Cr)'!C110</f>
        <v>KALYANKJIL</v>
      </c>
      <c r="B115" s="50">
        <f>VLOOKUP($A115,'Data Vlaue (Cr)'!$C:$FB,8)</f>
        <v>470.85</v>
      </c>
      <c r="C115" s="50">
        <f>VLOOKUP($A115,'Data Vlaue (Cr)'!$C:$FB,11)*100</f>
        <v>-0.84</v>
      </c>
      <c r="D115" s="50">
        <f>VLOOKUP($A115,'Data Vlaue (Cr)'!$C:$FB,143)</f>
        <v>639.42999999999995</v>
      </c>
      <c r="E115" s="50">
        <f>VLOOKUP($A115,'Data Vlaue (Cr)'!$C:$FB,144)</f>
        <v>945.43</v>
      </c>
      <c r="F115" s="50">
        <f>VLOOKUP($A115,'Data Vlaue (Cr)'!$C:$FB,146)*100</f>
        <v>-32.369999999999997</v>
      </c>
      <c r="G115" s="49">
        <f>VLOOKUP($A115,'Data Vlaue (Cr)'!$C:$FB,43)</f>
        <v>83</v>
      </c>
      <c r="H115" s="49">
        <f>VLOOKUP($A115,'Data Vlaue (Cr)'!$C:$FB,44)</f>
        <v>188</v>
      </c>
      <c r="I115" s="49">
        <f>VLOOKUP($A115,'Data Vlaue (Cr)'!$C:$FB,46)*100</f>
        <v>-56.08</v>
      </c>
      <c r="J115" s="51">
        <f>VLOOKUP($A115,'Data Vlaue (Cr)'!$C:$FB,59)</f>
        <v>411</v>
      </c>
      <c r="K115" s="51">
        <f>VLOOKUP($A115,'Data Vlaue (Cr)'!$C:$FB,60)</f>
        <v>472</v>
      </c>
      <c r="L115" s="51">
        <f>VLOOKUP($A115,'Data Vlaue (Cr)'!$C:$FB,62)*100</f>
        <v>-12.78</v>
      </c>
      <c r="M115" s="51">
        <f>VLOOKUP($A115,'Data Vlaue (Cr)'!$C:$FB,63)</f>
        <v>125</v>
      </c>
      <c r="N115" s="51">
        <f>VLOOKUP($A115,'Data Vlaue (Cr)'!$C:$FB,64)</f>
        <v>258</v>
      </c>
      <c r="O115" s="51">
        <f>VLOOKUP($A115,'Data Vlaue (Cr)'!$C:$FB,66)*100</f>
        <v>-51.51</v>
      </c>
    </row>
    <row r="116" spans="1:15" x14ac:dyDescent="0.25">
      <c r="A116" s="101" t="str">
        <f>'Data Vlaue (Cr)'!C111</f>
        <v>KAYNES</v>
      </c>
      <c r="B116" s="50">
        <f>VLOOKUP($A116,'Data Vlaue (Cr)'!$C:$FB,8)</f>
        <v>4046.5</v>
      </c>
      <c r="C116" s="50">
        <f>VLOOKUP($A116,'Data Vlaue (Cr)'!$C:$FB,11)*100</f>
        <v>-1.1499999999999999</v>
      </c>
      <c r="D116" s="50">
        <f>VLOOKUP($A116,'Data Vlaue (Cr)'!$C:$FB,143)</f>
        <v>7583.64</v>
      </c>
      <c r="E116" s="50">
        <f>VLOOKUP($A116,'Data Vlaue (Cr)'!$C:$FB,144)</f>
        <v>7333.15</v>
      </c>
      <c r="F116" s="50">
        <f>VLOOKUP($A116,'Data Vlaue (Cr)'!$C:$FB,146)*100</f>
        <v>3.42</v>
      </c>
      <c r="G116" s="49">
        <f>VLOOKUP($A116,'Data Vlaue (Cr)'!$C:$FB,43)</f>
        <v>483</v>
      </c>
      <c r="H116" s="49">
        <f>VLOOKUP($A116,'Data Vlaue (Cr)'!$C:$FB,44)</f>
        <v>527</v>
      </c>
      <c r="I116" s="49">
        <f>VLOOKUP($A116,'Data Vlaue (Cr)'!$C:$FB,46)*100</f>
        <v>-8.3800000000000008</v>
      </c>
      <c r="J116" s="51">
        <f>VLOOKUP($A116,'Data Vlaue (Cr)'!$C:$FB,59)</f>
        <v>4378</v>
      </c>
      <c r="K116" s="51">
        <f>VLOOKUP($A116,'Data Vlaue (Cr)'!$C:$FB,60)</f>
        <v>4150</v>
      </c>
      <c r="L116" s="51">
        <f>VLOOKUP($A116,'Data Vlaue (Cr)'!$C:$FB,62)*100</f>
        <v>5.4899999999999993</v>
      </c>
      <c r="M116" s="51">
        <f>VLOOKUP($A116,'Data Vlaue (Cr)'!$C:$FB,63)</f>
        <v>2213</v>
      </c>
      <c r="N116" s="51">
        <f>VLOOKUP($A116,'Data Vlaue (Cr)'!$C:$FB,64)</f>
        <v>2060</v>
      </c>
      <c r="O116" s="51">
        <f>VLOOKUP($A116,'Data Vlaue (Cr)'!$C:$FB,66)*100</f>
        <v>7.4399999999999995</v>
      </c>
    </row>
    <row r="117" spans="1:15" x14ac:dyDescent="0.25">
      <c r="A117" s="101" t="str">
        <f>'Data Vlaue (Cr)'!C112</f>
        <v>KEI</v>
      </c>
      <c r="B117" s="50">
        <f>VLOOKUP($A117,'Data Vlaue (Cr)'!$C:$FB,8)</f>
        <v>4086.8</v>
      </c>
      <c r="C117" s="50">
        <f>VLOOKUP($A117,'Data Vlaue (Cr)'!$C:$FB,11)*100</f>
        <v>-0.48</v>
      </c>
      <c r="D117" s="50">
        <f>VLOOKUP($A117,'Data Vlaue (Cr)'!$C:$FB,143)</f>
        <v>561.15</v>
      </c>
      <c r="E117" s="50">
        <f>VLOOKUP($A117,'Data Vlaue (Cr)'!$C:$FB,144)</f>
        <v>928.02</v>
      </c>
      <c r="F117" s="50">
        <f>VLOOKUP($A117,'Data Vlaue (Cr)'!$C:$FB,146)*100</f>
        <v>-39.53</v>
      </c>
      <c r="G117" s="49">
        <f>VLOOKUP($A117,'Data Vlaue (Cr)'!$C:$FB,43)</f>
        <v>119</v>
      </c>
      <c r="H117" s="49">
        <f>VLOOKUP($A117,'Data Vlaue (Cr)'!$C:$FB,44)</f>
        <v>151</v>
      </c>
      <c r="I117" s="49">
        <f>VLOOKUP($A117,'Data Vlaue (Cr)'!$C:$FB,46)*100</f>
        <v>-21.25</v>
      </c>
      <c r="J117" s="51">
        <f>VLOOKUP($A117,'Data Vlaue (Cr)'!$C:$FB,59)</f>
        <v>229</v>
      </c>
      <c r="K117" s="51">
        <f>VLOOKUP($A117,'Data Vlaue (Cr)'!$C:$FB,60)</f>
        <v>289</v>
      </c>
      <c r="L117" s="51">
        <f>VLOOKUP($A117,'Data Vlaue (Cr)'!$C:$FB,62)*100</f>
        <v>-20.75</v>
      </c>
      <c r="M117" s="51">
        <f>VLOOKUP($A117,'Data Vlaue (Cr)'!$C:$FB,63)</f>
        <v>207</v>
      </c>
      <c r="N117" s="51">
        <f>VLOOKUP($A117,'Data Vlaue (Cr)'!$C:$FB,64)</f>
        <v>482</v>
      </c>
      <c r="O117" s="51">
        <f>VLOOKUP($A117,'Data Vlaue (Cr)'!$C:$FB,66)*100</f>
        <v>-57.07</v>
      </c>
    </row>
    <row r="118" spans="1:15" x14ac:dyDescent="0.25">
      <c r="A118" s="101" t="str">
        <f>'Data Vlaue (Cr)'!C113</f>
        <v>KFINTECH</v>
      </c>
      <c r="B118" s="50">
        <f>VLOOKUP($A118,'Data Vlaue (Cr)'!$C:$FB,8)</f>
        <v>1069</v>
      </c>
      <c r="C118" s="50">
        <f>VLOOKUP($A118,'Data Vlaue (Cr)'!$C:$FB,11)*100</f>
        <v>3.66</v>
      </c>
      <c r="D118" s="50">
        <f>VLOOKUP($A118,'Data Vlaue (Cr)'!$C:$FB,143)</f>
        <v>1029.21</v>
      </c>
      <c r="E118" s="50">
        <f>VLOOKUP($A118,'Data Vlaue (Cr)'!$C:$FB,144)</f>
        <v>258.89</v>
      </c>
      <c r="F118" s="50">
        <f>VLOOKUP($A118,'Data Vlaue (Cr)'!$C:$FB,146)*100</f>
        <v>297.54999999999995</v>
      </c>
      <c r="G118" s="49">
        <f>VLOOKUP($A118,'Data Vlaue (Cr)'!$C:$FB,43)</f>
        <v>221</v>
      </c>
      <c r="H118" s="49">
        <f>VLOOKUP($A118,'Data Vlaue (Cr)'!$C:$FB,44)</f>
        <v>66</v>
      </c>
      <c r="I118" s="49">
        <f>VLOOKUP($A118,'Data Vlaue (Cr)'!$C:$FB,46)*100</f>
        <v>234.50000000000003</v>
      </c>
      <c r="J118" s="51">
        <f>VLOOKUP($A118,'Data Vlaue (Cr)'!$C:$FB,59)</f>
        <v>586</v>
      </c>
      <c r="K118" s="51">
        <f>VLOOKUP($A118,'Data Vlaue (Cr)'!$C:$FB,60)</f>
        <v>132</v>
      </c>
      <c r="L118" s="51">
        <f>VLOOKUP($A118,'Data Vlaue (Cr)'!$C:$FB,62)*100</f>
        <v>345.19</v>
      </c>
      <c r="M118" s="51">
        <f>VLOOKUP($A118,'Data Vlaue (Cr)'!$C:$FB,63)</f>
        <v>216</v>
      </c>
      <c r="N118" s="51">
        <f>VLOOKUP($A118,'Data Vlaue (Cr)'!$C:$FB,64)</f>
        <v>62</v>
      </c>
      <c r="O118" s="51">
        <f>VLOOKUP($A118,'Data Vlaue (Cr)'!$C:$FB,66)*100</f>
        <v>247.54999999999998</v>
      </c>
    </row>
    <row r="119" spans="1:15" x14ac:dyDescent="0.25">
      <c r="A119" s="101" t="str">
        <f>'Data Vlaue (Cr)'!C114</f>
        <v>KOTAKBANK</v>
      </c>
      <c r="B119" s="50">
        <f>VLOOKUP($A119,'Data Vlaue (Cr)'!$C:$FB,8)</f>
        <v>2164.6</v>
      </c>
      <c r="C119" s="50">
        <f>VLOOKUP($A119,'Data Vlaue (Cr)'!$C:$FB,11)*100</f>
        <v>-0.4</v>
      </c>
      <c r="D119" s="50">
        <f>VLOOKUP($A119,'Data Vlaue (Cr)'!$C:$FB,143)</f>
        <v>3806.28</v>
      </c>
      <c r="E119" s="50">
        <f>VLOOKUP($A119,'Data Vlaue (Cr)'!$C:$FB,144)</f>
        <v>3663.12</v>
      </c>
      <c r="F119" s="50">
        <f>VLOOKUP($A119,'Data Vlaue (Cr)'!$C:$FB,146)*100</f>
        <v>3.91</v>
      </c>
      <c r="G119" s="49">
        <f>VLOOKUP($A119,'Data Vlaue (Cr)'!$C:$FB,43)</f>
        <v>1122</v>
      </c>
      <c r="H119" s="49">
        <f>VLOOKUP($A119,'Data Vlaue (Cr)'!$C:$FB,44)</f>
        <v>965</v>
      </c>
      <c r="I119" s="49">
        <f>VLOOKUP($A119,'Data Vlaue (Cr)'!$C:$FB,46)*100</f>
        <v>16.189999999999998</v>
      </c>
      <c r="J119" s="51">
        <f>VLOOKUP($A119,'Data Vlaue (Cr)'!$C:$FB,59)</f>
        <v>1765</v>
      </c>
      <c r="K119" s="51">
        <f>VLOOKUP($A119,'Data Vlaue (Cr)'!$C:$FB,60)</f>
        <v>1600</v>
      </c>
      <c r="L119" s="51">
        <f>VLOOKUP($A119,'Data Vlaue (Cr)'!$C:$FB,62)*100</f>
        <v>10.35</v>
      </c>
      <c r="M119" s="51">
        <f>VLOOKUP($A119,'Data Vlaue (Cr)'!$C:$FB,63)</f>
        <v>878</v>
      </c>
      <c r="N119" s="51">
        <f>VLOOKUP($A119,'Data Vlaue (Cr)'!$C:$FB,64)</f>
        <v>1048</v>
      </c>
      <c r="O119" s="51">
        <f>VLOOKUP($A119,'Data Vlaue (Cr)'!$C:$FB,66)*100</f>
        <v>-16.239999999999998</v>
      </c>
    </row>
    <row r="120" spans="1:15" x14ac:dyDescent="0.25">
      <c r="A120" s="101" t="str">
        <f>'Data Vlaue (Cr)'!C115</f>
        <v>KPITTECH</v>
      </c>
      <c r="B120" s="50">
        <f>VLOOKUP($A120,'Data Vlaue (Cr)'!$C:$FB,8)</f>
        <v>1160.8</v>
      </c>
      <c r="C120" s="50">
        <f>VLOOKUP($A120,'Data Vlaue (Cr)'!$C:$FB,11)*100</f>
        <v>-0.69</v>
      </c>
      <c r="D120" s="50">
        <f>VLOOKUP($A120,'Data Vlaue (Cr)'!$C:$FB,143)</f>
        <v>471.9</v>
      </c>
      <c r="E120" s="50">
        <f>VLOOKUP($A120,'Data Vlaue (Cr)'!$C:$FB,144)</f>
        <v>359.26</v>
      </c>
      <c r="F120" s="50">
        <f>VLOOKUP($A120,'Data Vlaue (Cr)'!$C:$FB,146)*100</f>
        <v>31.35</v>
      </c>
      <c r="G120" s="49">
        <f>VLOOKUP($A120,'Data Vlaue (Cr)'!$C:$FB,43)</f>
        <v>66</v>
      </c>
      <c r="H120" s="49">
        <f>VLOOKUP($A120,'Data Vlaue (Cr)'!$C:$FB,44)</f>
        <v>58</v>
      </c>
      <c r="I120" s="49">
        <f>VLOOKUP($A120,'Data Vlaue (Cr)'!$C:$FB,46)*100</f>
        <v>14.46</v>
      </c>
      <c r="J120" s="51">
        <f>VLOOKUP($A120,'Data Vlaue (Cr)'!$C:$FB,59)</f>
        <v>291</v>
      </c>
      <c r="K120" s="51">
        <f>VLOOKUP($A120,'Data Vlaue (Cr)'!$C:$FB,60)</f>
        <v>174</v>
      </c>
      <c r="L120" s="51">
        <f>VLOOKUP($A120,'Data Vlaue (Cr)'!$C:$FB,62)*100</f>
        <v>67.510000000000005</v>
      </c>
      <c r="M120" s="51">
        <f>VLOOKUP($A120,'Data Vlaue (Cr)'!$C:$FB,63)</f>
        <v>97</v>
      </c>
      <c r="N120" s="51">
        <f>VLOOKUP($A120,'Data Vlaue (Cr)'!$C:$FB,64)</f>
        <v>114</v>
      </c>
      <c r="O120" s="51">
        <f>VLOOKUP($A120,'Data Vlaue (Cr)'!$C:$FB,66)*100</f>
        <v>-14.87</v>
      </c>
    </row>
    <row r="121" spans="1:15" x14ac:dyDescent="0.25">
      <c r="A121" s="101" t="str">
        <f>'Data Vlaue (Cr)'!C116</f>
        <v>LAURUSLABS</v>
      </c>
      <c r="B121" s="50">
        <f>VLOOKUP($A121,'Data Vlaue (Cr)'!$C:$FB,8)</f>
        <v>1015.5</v>
      </c>
      <c r="C121" s="50">
        <f>VLOOKUP($A121,'Data Vlaue (Cr)'!$C:$FB,11)*100</f>
        <v>0.54</v>
      </c>
      <c r="D121" s="50">
        <f>VLOOKUP($A121,'Data Vlaue (Cr)'!$C:$FB,143)</f>
        <v>1621.57</v>
      </c>
      <c r="E121" s="50">
        <f>VLOOKUP($A121,'Data Vlaue (Cr)'!$C:$FB,144)</f>
        <v>1404.8</v>
      </c>
      <c r="F121" s="50">
        <f>VLOOKUP($A121,'Data Vlaue (Cr)'!$C:$FB,146)*100</f>
        <v>15.43</v>
      </c>
      <c r="G121" s="49">
        <f>VLOOKUP($A121,'Data Vlaue (Cr)'!$C:$FB,43)</f>
        <v>308</v>
      </c>
      <c r="H121" s="49">
        <f>VLOOKUP($A121,'Data Vlaue (Cr)'!$C:$FB,44)</f>
        <v>258</v>
      </c>
      <c r="I121" s="49">
        <f>VLOOKUP($A121,'Data Vlaue (Cr)'!$C:$FB,46)*100</f>
        <v>19.489999999999998</v>
      </c>
      <c r="J121" s="51">
        <f>VLOOKUP($A121,'Data Vlaue (Cr)'!$C:$FB,59)</f>
        <v>885</v>
      </c>
      <c r="K121" s="51">
        <f>VLOOKUP($A121,'Data Vlaue (Cr)'!$C:$FB,60)</f>
        <v>818</v>
      </c>
      <c r="L121" s="51">
        <f>VLOOKUP($A121,'Data Vlaue (Cr)'!$C:$FB,62)*100</f>
        <v>8.23</v>
      </c>
      <c r="M121" s="51">
        <f>VLOOKUP($A121,'Data Vlaue (Cr)'!$C:$FB,63)</f>
        <v>415</v>
      </c>
      <c r="N121" s="51">
        <f>VLOOKUP($A121,'Data Vlaue (Cr)'!$C:$FB,64)</f>
        <v>313</v>
      </c>
      <c r="O121" s="51">
        <f>VLOOKUP($A121,'Data Vlaue (Cr)'!$C:$FB,66)*100</f>
        <v>32.35</v>
      </c>
    </row>
    <row r="122" spans="1:15" x14ac:dyDescent="0.25">
      <c r="A122" s="101" t="str">
        <f>'Data Vlaue (Cr)'!C117</f>
        <v>LICHSGFIN</v>
      </c>
      <c r="B122" s="50">
        <f>VLOOKUP($A122,'Data Vlaue (Cr)'!$C:$FB,8)</f>
        <v>528.1</v>
      </c>
      <c r="C122" s="50">
        <f>VLOOKUP($A122,'Data Vlaue (Cr)'!$C:$FB,11)*100</f>
        <v>0.63</v>
      </c>
      <c r="D122" s="50">
        <f>VLOOKUP($A122,'Data Vlaue (Cr)'!$C:$FB,143)</f>
        <v>597.47</v>
      </c>
      <c r="E122" s="50">
        <f>VLOOKUP($A122,'Data Vlaue (Cr)'!$C:$FB,144)</f>
        <v>492.46</v>
      </c>
      <c r="F122" s="50">
        <f>VLOOKUP($A122,'Data Vlaue (Cr)'!$C:$FB,146)*100</f>
        <v>21.32</v>
      </c>
      <c r="G122" s="49">
        <f>VLOOKUP($A122,'Data Vlaue (Cr)'!$C:$FB,43)</f>
        <v>179</v>
      </c>
      <c r="H122" s="49">
        <f>VLOOKUP($A122,'Data Vlaue (Cr)'!$C:$FB,44)</f>
        <v>103</v>
      </c>
      <c r="I122" s="49">
        <f>VLOOKUP($A122,'Data Vlaue (Cr)'!$C:$FB,46)*100</f>
        <v>74.290000000000006</v>
      </c>
      <c r="J122" s="51">
        <f>VLOOKUP($A122,'Data Vlaue (Cr)'!$C:$FB,59)</f>
        <v>305</v>
      </c>
      <c r="K122" s="51">
        <f>VLOOKUP($A122,'Data Vlaue (Cr)'!$C:$FB,60)</f>
        <v>288</v>
      </c>
      <c r="L122" s="51">
        <f>VLOOKUP($A122,'Data Vlaue (Cr)'!$C:$FB,62)*100</f>
        <v>5.87</v>
      </c>
      <c r="M122" s="51">
        <f>VLOOKUP($A122,'Data Vlaue (Cr)'!$C:$FB,63)</f>
        <v>105</v>
      </c>
      <c r="N122" s="51">
        <f>VLOOKUP($A122,'Data Vlaue (Cr)'!$C:$FB,64)</f>
        <v>93</v>
      </c>
      <c r="O122" s="51">
        <f>VLOOKUP($A122,'Data Vlaue (Cr)'!$C:$FB,66)*100</f>
        <v>12.809999999999999</v>
      </c>
    </row>
    <row r="123" spans="1:15" x14ac:dyDescent="0.25">
      <c r="A123" s="101" t="str">
        <f>'Data Vlaue (Cr)'!C118</f>
        <v>LICI</v>
      </c>
      <c r="B123" s="50">
        <f>VLOOKUP($A123,'Data Vlaue (Cr)'!$C:$FB,8)</f>
        <v>847.4</v>
      </c>
      <c r="C123" s="50">
        <f>VLOOKUP($A123,'Data Vlaue (Cr)'!$C:$FB,11)*100</f>
        <v>0.33999999999999997</v>
      </c>
      <c r="D123" s="50">
        <f>VLOOKUP($A123,'Data Vlaue (Cr)'!$C:$FB,143)</f>
        <v>1556.09</v>
      </c>
      <c r="E123" s="50">
        <f>VLOOKUP($A123,'Data Vlaue (Cr)'!$C:$FB,144)</f>
        <v>779.64</v>
      </c>
      <c r="F123" s="50">
        <f>VLOOKUP($A123,'Data Vlaue (Cr)'!$C:$FB,146)*100</f>
        <v>99.59</v>
      </c>
      <c r="G123" s="49">
        <f>VLOOKUP($A123,'Data Vlaue (Cr)'!$C:$FB,43)</f>
        <v>501</v>
      </c>
      <c r="H123" s="49">
        <f>VLOOKUP($A123,'Data Vlaue (Cr)'!$C:$FB,44)</f>
        <v>125</v>
      </c>
      <c r="I123" s="49">
        <f>VLOOKUP($A123,'Data Vlaue (Cr)'!$C:$FB,46)*100</f>
        <v>299.48</v>
      </c>
      <c r="J123" s="51">
        <f>VLOOKUP($A123,'Data Vlaue (Cr)'!$C:$FB,59)</f>
        <v>662</v>
      </c>
      <c r="K123" s="51">
        <f>VLOOKUP($A123,'Data Vlaue (Cr)'!$C:$FB,60)</f>
        <v>432</v>
      </c>
      <c r="L123" s="51">
        <f>VLOOKUP($A123,'Data Vlaue (Cr)'!$C:$FB,62)*100</f>
        <v>53.239999999999995</v>
      </c>
      <c r="M123" s="51">
        <f>VLOOKUP($A123,'Data Vlaue (Cr)'!$C:$FB,63)</f>
        <v>371</v>
      </c>
      <c r="N123" s="51">
        <f>VLOOKUP($A123,'Data Vlaue (Cr)'!$C:$FB,64)</f>
        <v>202</v>
      </c>
      <c r="O123" s="51">
        <f>VLOOKUP($A123,'Data Vlaue (Cr)'!$C:$FB,66)*100</f>
        <v>84.16</v>
      </c>
    </row>
    <row r="124" spans="1:15" x14ac:dyDescent="0.25">
      <c r="A124" s="101" t="str">
        <f>'Data Vlaue (Cr)'!C119</f>
        <v>LODHA</v>
      </c>
      <c r="B124" s="50">
        <f>VLOOKUP($A124,'Data Vlaue (Cr)'!$C:$FB,8)</f>
        <v>1069.0999999999999</v>
      </c>
      <c r="C124" s="50">
        <f>VLOOKUP($A124,'Data Vlaue (Cr)'!$C:$FB,11)*100</f>
        <v>0.5</v>
      </c>
      <c r="D124" s="50">
        <f>VLOOKUP($A124,'Data Vlaue (Cr)'!$C:$FB,143)</f>
        <v>806</v>
      </c>
      <c r="E124" s="50">
        <f>VLOOKUP($A124,'Data Vlaue (Cr)'!$C:$FB,144)</f>
        <v>1250.1500000000001</v>
      </c>
      <c r="F124" s="50">
        <f>VLOOKUP($A124,'Data Vlaue (Cr)'!$C:$FB,146)*100</f>
        <v>-35.53</v>
      </c>
      <c r="G124" s="49">
        <f>VLOOKUP($A124,'Data Vlaue (Cr)'!$C:$FB,43)</f>
        <v>141</v>
      </c>
      <c r="H124" s="49">
        <f>VLOOKUP($A124,'Data Vlaue (Cr)'!$C:$FB,44)</f>
        <v>223</v>
      </c>
      <c r="I124" s="49">
        <f>VLOOKUP($A124,'Data Vlaue (Cr)'!$C:$FB,46)*100</f>
        <v>-36.74</v>
      </c>
      <c r="J124" s="51">
        <f>VLOOKUP($A124,'Data Vlaue (Cr)'!$C:$FB,59)</f>
        <v>475</v>
      </c>
      <c r="K124" s="51">
        <f>VLOOKUP($A124,'Data Vlaue (Cr)'!$C:$FB,60)</f>
        <v>739</v>
      </c>
      <c r="L124" s="51">
        <f>VLOOKUP($A124,'Data Vlaue (Cr)'!$C:$FB,62)*100</f>
        <v>-35.699999999999996</v>
      </c>
      <c r="M124" s="51">
        <f>VLOOKUP($A124,'Data Vlaue (Cr)'!$C:$FB,63)</f>
        <v>167</v>
      </c>
      <c r="N124" s="51">
        <f>VLOOKUP($A124,'Data Vlaue (Cr)'!$C:$FB,64)</f>
        <v>244</v>
      </c>
      <c r="O124" s="51">
        <f>VLOOKUP($A124,'Data Vlaue (Cr)'!$C:$FB,66)*100</f>
        <v>-31.680000000000003</v>
      </c>
    </row>
    <row r="125" spans="1:15" x14ac:dyDescent="0.25">
      <c r="A125" s="101" t="str">
        <f>'Data Vlaue (Cr)'!C120</f>
        <v>LT</v>
      </c>
      <c r="B125" s="50">
        <f>VLOOKUP($A125,'Data Vlaue (Cr)'!$C:$FB,8)</f>
        <v>4031.1</v>
      </c>
      <c r="C125" s="50">
        <f>VLOOKUP($A125,'Data Vlaue (Cr)'!$C:$FB,11)*100</f>
        <v>-0.77</v>
      </c>
      <c r="D125" s="50">
        <f>VLOOKUP($A125,'Data Vlaue (Cr)'!$C:$FB,143)</f>
        <v>3732.39</v>
      </c>
      <c r="E125" s="50">
        <f>VLOOKUP($A125,'Data Vlaue (Cr)'!$C:$FB,144)</f>
        <v>2788.65</v>
      </c>
      <c r="F125" s="50">
        <f>VLOOKUP($A125,'Data Vlaue (Cr)'!$C:$FB,146)*100</f>
        <v>33.839999999999996</v>
      </c>
      <c r="G125" s="49">
        <f>VLOOKUP($A125,'Data Vlaue (Cr)'!$C:$FB,43)</f>
        <v>1064</v>
      </c>
      <c r="H125" s="49">
        <f>VLOOKUP($A125,'Data Vlaue (Cr)'!$C:$FB,44)</f>
        <v>409</v>
      </c>
      <c r="I125" s="49">
        <f>VLOOKUP($A125,'Data Vlaue (Cr)'!$C:$FB,46)*100</f>
        <v>160.28</v>
      </c>
      <c r="J125" s="51">
        <f>VLOOKUP($A125,'Data Vlaue (Cr)'!$C:$FB,59)</f>
        <v>1688</v>
      </c>
      <c r="K125" s="51">
        <f>VLOOKUP($A125,'Data Vlaue (Cr)'!$C:$FB,60)</f>
        <v>1393</v>
      </c>
      <c r="L125" s="51">
        <f>VLOOKUP($A125,'Data Vlaue (Cr)'!$C:$FB,62)*100</f>
        <v>21.23</v>
      </c>
      <c r="M125" s="51">
        <f>VLOOKUP($A125,'Data Vlaue (Cr)'!$C:$FB,63)</f>
        <v>938</v>
      </c>
      <c r="N125" s="51">
        <f>VLOOKUP($A125,'Data Vlaue (Cr)'!$C:$FB,64)</f>
        <v>945</v>
      </c>
      <c r="O125" s="51">
        <f>VLOOKUP($A125,'Data Vlaue (Cr)'!$C:$FB,66)*100</f>
        <v>-0.8</v>
      </c>
    </row>
    <row r="126" spans="1:15" x14ac:dyDescent="0.25">
      <c r="A126" s="101" t="str">
        <f>'Data Vlaue (Cr)'!C121</f>
        <v>LTF</v>
      </c>
      <c r="B126" s="50">
        <f>VLOOKUP($A126,'Data Vlaue (Cr)'!$C:$FB,8)</f>
        <v>299.85000000000002</v>
      </c>
      <c r="C126" s="50">
        <f>VLOOKUP($A126,'Data Vlaue (Cr)'!$C:$FB,11)*100</f>
        <v>-0.67999999999999994</v>
      </c>
      <c r="D126" s="50">
        <f>VLOOKUP($A126,'Data Vlaue (Cr)'!$C:$FB,143)</f>
        <v>2235.4699999999998</v>
      </c>
      <c r="E126" s="50">
        <f>VLOOKUP($A126,'Data Vlaue (Cr)'!$C:$FB,144)</f>
        <v>1949.57</v>
      </c>
      <c r="F126" s="50">
        <f>VLOOKUP($A126,'Data Vlaue (Cr)'!$C:$FB,146)*100</f>
        <v>14.66</v>
      </c>
      <c r="G126" s="49">
        <f>VLOOKUP($A126,'Data Vlaue (Cr)'!$C:$FB,43)</f>
        <v>396</v>
      </c>
      <c r="H126" s="49">
        <f>VLOOKUP($A126,'Data Vlaue (Cr)'!$C:$FB,44)</f>
        <v>359</v>
      </c>
      <c r="I126" s="49">
        <f>VLOOKUP($A126,'Data Vlaue (Cr)'!$C:$FB,46)*100</f>
        <v>10.24</v>
      </c>
      <c r="J126" s="51">
        <f>VLOOKUP($A126,'Data Vlaue (Cr)'!$C:$FB,59)</f>
        <v>1162</v>
      </c>
      <c r="K126" s="51">
        <f>VLOOKUP($A126,'Data Vlaue (Cr)'!$C:$FB,60)</f>
        <v>1092</v>
      </c>
      <c r="L126" s="51">
        <f>VLOOKUP($A126,'Data Vlaue (Cr)'!$C:$FB,62)*100</f>
        <v>6.419999999999999</v>
      </c>
      <c r="M126" s="51">
        <f>VLOOKUP($A126,'Data Vlaue (Cr)'!$C:$FB,63)</f>
        <v>707</v>
      </c>
      <c r="N126" s="51">
        <f>VLOOKUP($A126,'Data Vlaue (Cr)'!$C:$FB,64)</f>
        <v>508</v>
      </c>
      <c r="O126" s="51">
        <f>VLOOKUP($A126,'Data Vlaue (Cr)'!$C:$FB,66)*100</f>
        <v>39.300000000000004</v>
      </c>
    </row>
    <row r="127" spans="1:15" x14ac:dyDescent="0.25">
      <c r="A127" s="101" t="str">
        <f>'Data Vlaue (Cr)'!C122</f>
        <v>LTIM</v>
      </c>
      <c r="B127" s="50">
        <f>VLOOKUP($A127,'Data Vlaue (Cr)'!$C:$FB,8)</f>
        <v>6245</v>
      </c>
      <c r="C127" s="50">
        <f>VLOOKUP($A127,'Data Vlaue (Cr)'!$C:$FB,11)*100</f>
        <v>-0.12</v>
      </c>
      <c r="D127" s="50">
        <f>VLOOKUP($A127,'Data Vlaue (Cr)'!$C:$FB,143)</f>
        <v>2093.13</v>
      </c>
      <c r="E127" s="50">
        <f>VLOOKUP($A127,'Data Vlaue (Cr)'!$C:$FB,144)</f>
        <v>1660.93</v>
      </c>
      <c r="F127" s="50">
        <f>VLOOKUP($A127,'Data Vlaue (Cr)'!$C:$FB,146)*100</f>
        <v>26.02</v>
      </c>
      <c r="G127" s="49">
        <f>VLOOKUP($A127,'Data Vlaue (Cr)'!$C:$FB,43)</f>
        <v>328</v>
      </c>
      <c r="H127" s="49">
        <f>VLOOKUP($A127,'Data Vlaue (Cr)'!$C:$FB,44)</f>
        <v>257</v>
      </c>
      <c r="I127" s="49">
        <f>VLOOKUP($A127,'Data Vlaue (Cr)'!$C:$FB,46)*100</f>
        <v>27.889999999999997</v>
      </c>
      <c r="J127" s="51">
        <f>VLOOKUP($A127,'Data Vlaue (Cr)'!$C:$FB,59)</f>
        <v>1347</v>
      </c>
      <c r="K127" s="51">
        <f>VLOOKUP($A127,'Data Vlaue (Cr)'!$C:$FB,60)</f>
        <v>1052</v>
      </c>
      <c r="L127" s="51">
        <f>VLOOKUP($A127,'Data Vlaue (Cr)'!$C:$FB,62)*100</f>
        <v>28.110000000000003</v>
      </c>
      <c r="M127" s="51">
        <f>VLOOKUP($A127,'Data Vlaue (Cr)'!$C:$FB,63)</f>
        <v>383</v>
      </c>
      <c r="N127" s="51">
        <f>VLOOKUP($A127,'Data Vlaue (Cr)'!$C:$FB,64)</f>
        <v>329</v>
      </c>
      <c r="O127" s="51">
        <f>VLOOKUP($A127,'Data Vlaue (Cr)'!$C:$FB,66)*100</f>
        <v>16.39</v>
      </c>
    </row>
    <row r="128" spans="1:15" x14ac:dyDescent="0.25">
      <c r="A128" s="101" t="str">
        <f>'Data Vlaue (Cr)'!C123</f>
        <v>LUPIN</v>
      </c>
      <c r="B128" s="50">
        <f>VLOOKUP($A128,'Data Vlaue (Cr)'!$C:$FB,8)</f>
        <v>2119.1</v>
      </c>
      <c r="C128" s="50">
        <f>VLOOKUP($A128,'Data Vlaue (Cr)'!$C:$FB,11)*100</f>
        <v>0.27999999999999997</v>
      </c>
      <c r="D128" s="50">
        <f>VLOOKUP($A128,'Data Vlaue (Cr)'!$C:$FB,143)</f>
        <v>1434.17</v>
      </c>
      <c r="E128" s="50">
        <f>VLOOKUP($A128,'Data Vlaue (Cr)'!$C:$FB,144)</f>
        <v>1973.49</v>
      </c>
      <c r="F128" s="50">
        <f>VLOOKUP($A128,'Data Vlaue (Cr)'!$C:$FB,146)*100</f>
        <v>-27.33</v>
      </c>
      <c r="G128" s="49">
        <f>VLOOKUP($A128,'Data Vlaue (Cr)'!$C:$FB,43)</f>
        <v>239</v>
      </c>
      <c r="H128" s="49">
        <f>VLOOKUP($A128,'Data Vlaue (Cr)'!$C:$FB,44)</f>
        <v>286</v>
      </c>
      <c r="I128" s="49">
        <f>VLOOKUP($A128,'Data Vlaue (Cr)'!$C:$FB,46)*100</f>
        <v>-16.55</v>
      </c>
      <c r="J128" s="51">
        <f>VLOOKUP($A128,'Data Vlaue (Cr)'!$C:$FB,59)</f>
        <v>841</v>
      </c>
      <c r="K128" s="51">
        <f>VLOOKUP($A128,'Data Vlaue (Cr)'!$C:$FB,60)</f>
        <v>1278</v>
      </c>
      <c r="L128" s="51">
        <f>VLOOKUP($A128,'Data Vlaue (Cr)'!$C:$FB,62)*100</f>
        <v>-34.17</v>
      </c>
      <c r="M128" s="51">
        <f>VLOOKUP($A128,'Data Vlaue (Cr)'!$C:$FB,63)</f>
        <v>342</v>
      </c>
      <c r="N128" s="51">
        <f>VLOOKUP($A128,'Data Vlaue (Cr)'!$C:$FB,64)</f>
        <v>389</v>
      </c>
      <c r="O128" s="51">
        <f>VLOOKUP($A128,'Data Vlaue (Cr)'!$C:$FB,66)*100</f>
        <v>-12.120000000000001</v>
      </c>
    </row>
    <row r="129" spans="1:15" x14ac:dyDescent="0.25">
      <c r="A129" s="101" t="str">
        <f>'Data Vlaue (Cr)'!C124</f>
        <v>M&amp;M</v>
      </c>
      <c r="B129" s="50">
        <f>VLOOKUP($A129,'Data Vlaue (Cr)'!$C:$FB,8)</f>
        <v>3586.6</v>
      </c>
      <c r="C129" s="50">
        <f>VLOOKUP($A129,'Data Vlaue (Cr)'!$C:$FB,11)*100</f>
        <v>-0.73</v>
      </c>
      <c r="D129" s="50">
        <f>VLOOKUP($A129,'Data Vlaue (Cr)'!$C:$FB,143)</f>
        <v>6581.73</v>
      </c>
      <c r="E129" s="50">
        <f>VLOOKUP($A129,'Data Vlaue (Cr)'!$C:$FB,144)</f>
        <v>3146.22</v>
      </c>
      <c r="F129" s="50">
        <f>VLOOKUP($A129,'Data Vlaue (Cr)'!$C:$FB,146)*100</f>
        <v>109.2</v>
      </c>
      <c r="G129" s="49">
        <f>VLOOKUP($A129,'Data Vlaue (Cr)'!$C:$FB,43)</f>
        <v>1299</v>
      </c>
      <c r="H129" s="49">
        <f>VLOOKUP($A129,'Data Vlaue (Cr)'!$C:$FB,44)</f>
        <v>539</v>
      </c>
      <c r="I129" s="49">
        <f>VLOOKUP($A129,'Data Vlaue (Cr)'!$C:$FB,46)*100</f>
        <v>140.93</v>
      </c>
      <c r="J129" s="51">
        <f>VLOOKUP($A129,'Data Vlaue (Cr)'!$C:$FB,59)</f>
        <v>3066</v>
      </c>
      <c r="K129" s="51">
        <f>VLOOKUP($A129,'Data Vlaue (Cr)'!$C:$FB,60)</f>
        <v>1671</v>
      </c>
      <c r="L129" s="51">
        <f>VLOOKUP($A129,'Data Vlaue (Cr)'!$C:$FB,62)*100</f>
        <v>83.43</v>
      </c>
      <c r="M129" s="51">
        <f>VLOOKUP($A129,'Data Vlaue (Cr)'!$C:$FB,63)</f>
        <v>2136</v>
      </c>
      <c r="N129" s="51">
        <f>VLOOKUP($A129,'Data Vlaue (Cr)'!$C:$FB,64)</f>
        <v>856</v>
      </c>
      <c r="O129" s="51">
        <f>VLOOKUP($A129,'Data Vlaue (Cr)'!$C:$FB,66)*100</f>
        <v>149.66999999999999</v>
      </c>
    </row>
    <row r="130" spans="1:15" x14ac:dyDescent="0.25">
      <c r="A130" s="101" t="str">
        <f>'Data Vlaue (Cr)'!C125</f>
        <v>MANAPPURAM</v>
      </c>
      <c r="B130" s="50">
        <f>VLOOKUP($A130,'Data Vlaue (Cr)'!$C:$FB,8)</f>
        <v>287.05</v>
      </c>
      <c r="C130" s="50">
        <f>VLOOKUP($A130,'Data Vlaue (Cr)'!$C:$FB,11)*100</f>
        <v>0.27999999999999997</v>
      </c>
      <c r="D130" s="50">
        <f>VLOOKUP($A130,'Data Vlaue (Cr)'!$C:$FB,143)</f>
        <v>1852.06</v>
      </c>
      <c r="E130" s="50">
        <f>VLOOKUP($A130,'Data Vlaue (Cr)'!$C:$FB,144)</f>
        <v>771.23</v>
      </c>
      <c r="F130" s="50">
        <f>VLOOKUP($A130,'Data Vlaue (Cr)'!$C:$FB,146)*100</f>
        <v>140.13999999999999</v>
      </c>
      <c r="G130" s="49">
        <f>VLOOKUP($A130,'Data Vlaue (Cr)'!$C:$FB,43)</f>
        <v>321</v>
      </c>
      <c r="H130" s="49">
        <f>VLOOKUP($A130,'Data Vlaue (Cr)'!$C:$FB,44)</f>
        <v>221</v>
      </c>
      <c r="I130" s="49">
        <f>VLOOKUP($A130,'Data Vlaue (Cr)'!$C:$FB,46)*100</f>
        <v>45.37</v>
      </c>
      <c r="J130" s="51">
        <f>VLOOKUP($A130,'Data Vlaue (Cr)'!$C:$FB,59)</f>
        <v>1109</v>
      </c>
      <c r="K130" s="51">
        <f>VLOOKUP($A130,'Data Vlaue (Cr)'!$C:$FB,60)</f>
        <v>390</v>
      </c>
      <c r="L130" s="51">
        <f>VLOOKUP($A130,'Data Vlaue (Cr)'!$C:$FB,62)*100</f>
        <v>184.69</v>
      </c>
      <c r="M130" s="51">
        <f>VLOOKUP($A130,'Data Vlaue (Cr)'!$C:$FB,63)</f>
        <v>385</v>
      </c>
      <c r="N130" s="51">
        <f>VLOOKUP($A130,'Data Vlaue (Cr)'!$C:$FB,64)</f>
        <v>155</v>
      </c>
      <c r="O130" s="51">
        <f>VLOOKUP($A130,'Data Vlaue (Cr)'!$C:$FB,66)*100</f>
        <v>148.25</v>
      </c>
    </row>
    <row r="131" spans="1:15" x14ac:dyDescent="0.25">
      <c r="A131" s="101" t="str">
        <f>'Data Vlaue (Cr)'!C126</f>
        <v>MANKIND</v>
      </c>
      <c r="B131" s="50">
        <f>VLOOKUP($A131,'Data Vlaue (Cr)'!$C:$FB,8)</f>
        <v>2142</v>
      </c>
      <c r="C131" s="50">
        <f>VLOOKUP($A131,'Data Vlaue (Cr)'!$C:$FB,11)*100</f>
        <v>1.46</v>
      </c>
      <c r="D131" s="50">
        <f>VLOOKUP($A131,'Data Vlaue (Cr)'!$C:$FB,143)</f>
        <v>475.96</v>
      </c>
      <c r="E131" s="50">
        <f>VLOOKUP($A131,'Data Vlaue (Cr)'!$C:$FB,144)</f>
        <v>383.78</v>
      </c>
      <c r="F131" s="50">
        <f>VLOOKUP($A131,'Data Vlaue (Cr)'!$C:$FB,146)*100</f>
        <v>24.02</v>
      </c>
      <c r="G131" s="49">
        <f>VLOOKUP($A131,'Data Vlaue (Cr)'!$C:$FB,43)</f>
        <v>91</v>
      </c>
      <c r="H131" s="49">
        <f>VLOOKUP($A131,'Data Vlaue (Cr)'!$C:$FB,44)</f>
        <v>60</v>
      </c>
      <c r="I131" s="49">
        <f>VLOOKUP($A131,'Data Vlaue (Cr)'!$C:$FB,46)*100</f>
        <v>50.44</v>
      </c>
      <c r="J131" s="51">
        <f>VLOOKUP($A131,'Data Vlaue (Cr)'!$C:$FB,59)</f>
        <v>280</v>
      </c>
      <c r="K131" s="51">
        <f>VLOOKUP($A131,'Data Vlaue (Cr)'!$C:$FB,60)</f>
        <v>215</v>
      </c>
      <c r="L131" s="51">
        <f>VLOOKUP($A131,'Data Vlaue (Cr)'!$C:$FB,62)*100</f>
        <v>30.55</v>
      </c>
      <c r="M131" s="51">
        <f>VLOOKUP($A131,'Data Vlaue (Cr)'!$C:$FB,63)</f>
        <v>96</v>
      </c>
      <c r="N131" s="51">
        <f>VLOOKUP($A131,'Data Vlaue (Cr)'!$C:$FB,64)</f>
        <v>104</v>
      </c>
      <c r="O131" s="51">
        <f>VLOOKUP($A131,'Data Vlaue (Cr)'!$C:$FB,66)*100</f>
        <v>-7.7399999999999993</v>
      </c>
    </row>
    <row r="132" spans="1:15" x14ac:dyDescent="0.25">
      <c r="A132" s="101" t="str">
        <f>'Data Vlaue (Cr)'!C127</f>
        <v>MARICO</v>
      </c>
      <c r="B132" s="50">
        <f>VLOOKUP($A132,'Data Vlaue (Cr)'!$C:$FB,8)</f>
        <v>742.45</v>
      </c>
      <c r="C132" s="50">
        <f>VLOOKUP($A132,'Data Vlaue (Cr)'!$C:$FB,11)*100</f>
        <v>0.57999999999999996</v>
      </c>
      <c r="D132" s="50">
        <f>VLOOKUP($A132,'Data Vlaue (Cr)'!$C:$FB,143)</f>
        <v>631.87</v>
      </c>
      <c r="E132" s="50">
        <f>VLOOKUP($A132,'Data Vlaue (Cr)'!$C:$FB,144)</f>
        <v>556.55999999999995</v>
      </c>
      <c r="F132" s="50">
        <f>VLOOKUP($A132,'Data Vlaue (Cr)'!$C:$FB,146)*100</f>
        <v>13.530000000000001</v>
      </c>
      <c r="G132" s="49">
        <f>VLOOKUP($A132,'Data Vlaue (Cr)'!$C:$FB,43)</f>
        <v>134</v>
      </c>
      <c r="H132" s="49">
        <f>VLOOKUP($A132,'Data Vlaue (Cr)'!$C:$FB,44)</f>
        <v>82</v>
      </c>
      <c r="I132" s="49">
        <f>VLOOKUP($A132,'Data Vlaue (Cr)'!$C:$FB,46)*100</f>
        <v>63.72</v>
      </c>
      <c r="J132" s="51">
        <f>VLOOKUP($A132,'Data Vlaue (Cr)'!$C:$FB,59)</f>
        <v>351</v>
      </c>
      <c r="K132" s="51">
        <f>VLOOKUP($A132,'Data Vlaue (Cr)'!$C:$FB,60)</f>
        <v>359</v>
      </c>
      <c r="L132" s="51">
        <f>VLOOKUP($A132,'Data Vlaue (Cr)'!$C:$FB,62)*100</f>
        <v>-2.41</v>
      </c>
      <c r="M132" s="51">
        <f>VLOOKUP($A132,'Data Vlaue (Cr)'!$C:$FB,63)</f>
        <v>142</v>
      </c>
      <c r="N132" s="51">
        <f>VLOOKUP($A132,'Data Vlaue (Cr)'!$C:$FB,64)</f>
        <v>110</v>
      </c>
      <c r="O132" s="51">
        <f>VLOOKUP($A132,'Data Vlaue (Cr)'!$C:$FB,66)*100</f>
        <v>29.020000000000003</v>
      </c>
    </row>
    <row r="133" spans="1:15" x14ac:dyDescent="0.25">
      <c r="A133" s="101" t="str">
        <f>'Data Vlaue (Cr)'!C128</f>
        <v>MARUTI</v>
      </c>
      <c r="B133" s="50">
        <f>VLOOKUP($A133,'Data Vlaue (Cr)'!$C:$FB,8)</f>
        <v>16329</v>
      </c>
      <c r="C133" s="50">
        <f>VLOOKUP($A133,'Data Vlaue (Cr)'!$C:$FB,11)*100</f>
        <v>-0.42</v>
      </c>
      <c r="D133" s="50">
        <f>VLOOKUP($A133,'Data Vlaue (Cr)'!$C:$FB,143)</f>
        <v>9271.52</v>
      </c>
      <c r="E133" s="50">
        <f>VLOOKUP($A133,'Data Vlaue (Cr)'!$C:$FB,144)</f>
        <v>6182.08</v>
      </c>
      <c r="F133" s="50">
        <f>VLOOKUP($A133,'Data Vlaue (Cr)'!$C:$FB,146)*100</f>
        <v>49.97</v>
      </c>
      <c r="G133" s="49">
        <f>VLOOKUP($A133,'Data Vlaue (Cr)'!$C:$FB,43)</f>
        <v>643</v>
      </c>
      <c r="H133" s="49">
        <f>VLOOKUP($A133,'Data Vlaue (Cr)'!$C:$FB,44)</f>
        <v>427</v>
      </c>
      <c r="I133" s="49">
        <f>VLOOKUP($A133,'Data Vlaue (Cr)'!$C:$FB,46)*100</f>
        <v>50.51</v>
      </c>
      <c r="J133" s="51">
        <f>VLOOKUP($A133,'Data Vlaue (Cr)'!$C:$FB,59)</f>
        <v>4106</v>
      </c>
      <c r="K133" s="51">
        <f>VLOOKUP($A133,'Data Vlaue (Cr)'!$C:$FB,60)</f>
        <v>3216</v>
      </c>
      <c r="L133" s="51">
        <f>VLOOKUP($A133,'Data Vlaue (Cr)'!$C:$FB,62)*100</f>
        <v>27.66</v>
      </c>
      <c r="M133" s="51">
        <f>VLOOKUP($A133,'Data Vlaue (Cr)'!$C:$FB,63)</f>
        <v>4500</v>
      </c>
      <c r="N133" s="51">
        <f>VLOOKUP($A133,'Data Vlaue (Cr)'!$C:$FB,64)</f>
        <v>2484</v>
      </c>
      <c r="O133" s="51">
        <f>VLOOKUP($A133,'Data Vlaue (Cr)'!$C:$FB,66)*100</f>
        <v>81.16</v>
      </c>
    </row>
    <row r="134" spans="1:15" x14ac:dyDescent="0.25">
      <c r="A134" s="101" t="str">
        <f>'Data Vlaue (Cr)'!C129</f>
        <v>MAXHEALTH</v>
      </c>
      <c r="B134" s="50">
        <f>VLOOKUP($A134,'Data Vlaue (Cr)'!$C:$FB,8)</f>
        <v>1048.5</v>
      </c>
      <c r="C134" s="50">
        <f>VLOOKUP($A134,'Data Vlaue (Cr)'!$C:$FB,11)*100</f>
        <v>1.69</v>
      </c>
      <c r="D134" s="50">
        <f>VLOOKUP($A134,'Data Vlaue (Cr)'!$C:$FB,143)</f>
        <v>2603.1999999999998</v>
      </c>
      <c r="E134" s="50">
        <f>VLOOKUP($A134,'Data Vlaue (Cr)'!$C:$FB,144)</f>
        <v>3941.48</v>
      </c>
      <c r="F134" s="50">
        <f>VLOOKUP($A134,'Data Vlaue (Cr)'!$C:$FB,146)*100</f>
        <v>-33.950000000000003</v>
      </c>
      <c r="G134" s="49">
        <f>VLOOKUP($A134,'Data Vlaue (Cr)'!$C:$FB,43)</f>
        <v>485</v>
      </c>
      <c r="H134" s="49">
        <f>VLOOKUP($A134,'Data Vlaue (Cr)'!$C:$FB,44)</f>
        <v>389</v>
      </c>
      <c r="I134" s="49">
        <f>VLOOKUP($A134,'Data Vlaue (Cr)'!$C:$FB,46)*100</f>
        <v>24.67</v>
      </c>
      <c r="J134" s="51">
        <f>VLOOKUP($A134,'Data Vlaue (Cr)'!$C:$FB,59)</f>
        <v>1493</v>
      </c>
      <c r="K134" s="51">
        <f>VLOOKUP($A134,'Data Vlaue (Cr)'!$C:$FB,60)</f>
        <v>1518</v>
      </c>
      <c r="L134" s="51">
        <f>VLOOKUP($A134,'Data Vlaue (Cr)'!$C:$FB,62)*100</f>
        <v>-1.69</v>
      </c>
      <c r="M134" s="51">
        <f>VLOOKUP($A134,'Data Vlaue (Cr)'!$C:$FB,63)</f>
        <v>578</v>
      </c>
      <c r="N134" s="51">
        <f>VLOOKUP($A134,'Data Vlaue (Cr)'!$C:$FB,64)</f>
        <v>1991</v>
      </c>
      <c r="O134" s="51">
        <f>VLOOKUP($A134,'Data Vlaue (Cr)'!$C:$FB,66)*100</f>
        <v>-70.97</v>
      </c>
    </row>
    <row r="135" spans="1:15" x14ac:dyDescent="0.25">
      <c r="A135" s="101" t="str">
        <f>'Data Vlaue (Cr)'!C130</f>
        <v>MAZDOCK</v>
      </c>
      <c r="B135" s="50">
        <f>VLOOKUP($A135,'Data Vlaue (Cr)'!$C:$FB,8)</f>
        <v>2358</v>
      </c>
      <c r="C135" s="50">
        <f>VLOOKUP($A135,'Data Vlaue (Cr)'!$C:$FB,11)*100</f>
        <v>0.06</v>
      </c>
      <c r="D135" s="50">
        <f>VLOOKUP($A135,'Data Vlaue (Cr)'!$C:$FB,143)</f>
        <v>1366.49</v>
      </c>
      <c r="E135" s="50">
        <f>VLOOKUP($A135,'Data Vlaue (Cr)'!$C:$FB,144)</f>
        <v>1622.5</v>
      </c>
      <c r="F135" s="50">
        <f>VLOOKUP($A135,'Data Vlaue (Cr)'!$C:$FB,146)*100</f>
        <v>-15.78</v>
      </c>
      <c r="G135" s="49">
        <f>VLOOKUP($A135,'Data Vlaue (Cr)'!$C:$FB,43)</f>
        <v>152</v>
      </c>
      <c r="H135" s="49">
        <f>VLOOKUP($A135,'Data Vlaue (Cr)'!$C:$FB,44)</f>
        <v>177</v>
      </c>
      <c r="I135" s="49">
        <f>VLOOKUP($A135,'Data Vlaue (Cr)'!$C:$FB,46)*100</f>
        <v>-14.06</v>
      </c>
      <c r="J135" s="51">
        <f>VLOOKUP($A135,'Data Vlaue (Cr)'!$C:$FB,59)</f>
        <v>780</v>
      </c>
      <c r="K135" s="51">
        <f>VLOOKUP($A135,'Data Vlaue (Cr)'!$C:$FB,60)</f>
        <v>844</v>
      </c>
      <c r="L135" s="51">
        <f>VLOOKUP($A135,'Data Vlaue (Cr)'!$C:$FB,62)*100</f>
        <v>-7.57</v>
      </c>
      <c r="M135" s="51">
        <f>VLOOKUP($A135,'Data Vlaue (Cr)'!$C:$FB,63)</f>
        <v>366</v>
      </c>
      <c r="N135" s="51">
        <f>VLOOKUP($A135,'Data Vlaue (Cr)'!$C:$FB,64)</f>
        <v>509</v>
      </c>
      <c r="O135" s="51">
        <f>VLOOKUP($A135,'Data Vlaue (Cr)'!$C:$FB,66)*100</f>
        <v>-27.97</v>
      </c>
    </row>
    <row r="136" spans="1:15" x14ac:dyDescent="0.25">
      <c r="A136" s="101" t="str">
        <f>'Data Vlaue (Cr)'!C131</f>
        <v>MCX</v>
      </c>
      <c r="B136" s="50">
        <f>VLOOKUP($A136,'Data Vlaue (Cr)'!$C:$FB,8)</f>
        <v>10172</v>
      </c>
      <c r="C136" s="50">
        <f>VLOOKUP($A136,'Data Vlaue (Cr)'!$C:$FB,11)*100</f>
        <v>1.47</v>
      </c>
      <c r="D136" s="50">
        <f>VLOOKUP($A136,'Data Vlaue (Cr)'!$C:$FB,143)</f>
        <v>11148.22</v>
      </c>
      <c r="E136" s="50">
        <f>VLOOKUP($A136,'Data Vlaue (Cr)'!$C:$FB,144)</f>
        <v>6556.3</v>
      </c>
      <c r="F136" s="50">
        <f>VLOOKUP($A136,'Data Vlaue (Cr)'!$C:$FB,146)*100</f>
        <v>70.040000000000006</v>
      </c>
      <c r="G136" s="49">
        <f>VLOOKUP($A136,'Data Vlaue (Cr)'!$C:$FB,43)</f>
        <v>957</v>
      </c>
      <c r="H136" s="49">
        <f>VLOOKUP($A136,'Data Vlaue (Cr)'!$C:$FB,44)</f>
        <v>573</v>
      </c>
      <c r="I136" s="49">
        <f>VLOOKUP($A136,'Data Vlaue (Cr)'!$C:$FB,46)*100</f>
        <v>67.100000000000009</v>
      </c>
      <c r="J136" s="51">
        <f>VLOOKUP($A136,'Data Vlaue (Cr)'!$C:$FB,59)</f>
        <v>6058</v>
      </c>
      <c r="K136" s="51">
        <f>VLOOKUP($A136,'Data Vlaue (Cr)'!$C:$FB,60)</f>
        <v>3568</v>
      </c>
      <c r="L136" s="51">
        <f>VLOOKUP($A136,'Data Vlaue (Cr)'!$C:$FB,62)*100</f>
        <v>69.81</v>
      </c>
      <c r="M136" s="51">
        <f>VLOOKUP($A136,'Data Vlaue (Cr)'!$C:$FB,63)</f>
        <v>4030</v>
      </c>
      <c r="N136" s="51">
        <f>VLOOKUP($A136,'Data Vlaue (Cr)'!$C:$FB,64)</f>
        <v>2328</v>
      </c>
      <c r="O136" s="51">
        <f>VLOOKUP($A136,'Data Vlaue (Cr)'!$C:$FB,66)*100</f>
        <v>73.11999999999999</v>
      </c>
    </row>
    <row r="137" spans="1:15" x14ac:dyDescent="0.25">
      <c r="A137" s="101" t="str">
        <f>'Data Vlaue (Cr)'!C132</f>
        <v>MFSL</v>
      </c>
      <c r="B137" s="50">
        <f>VLOOKUP($A137,'Data Vlaue (Cr)'!$C:$FB,8)</f>
        <v>1686.6</v>
      </c>
      <c r="C137" s="50">
        <f>VLOOKUP($A137,'Data Vlaue (Cr)'!$C:$FB,11)*100</f>
        <v>1.3599999999999999</v>
      </c>
      <c r="D137" s="50">
        <f>VLOOKUP($A137,'Data Vlaue (Cr)'!$C:$FB,143)</f>
        <v>502.23</v>
      </c>
      <c r="E137" s="50">
        <f>VLOOKUP($A137,'Data Vlaue (Cr)'!$C:$FB,144)</f>
        <v>638.45000000000005</v>
      </c>
      <c r="F137" s="50">
        <f>VLOOKUP($A137,'Data Vlaue (Cr)'!$C:$FB,146)*100</f>
        <v>-21.34</v>
      </c>
      <c r="G137" s="49">
        <f>VLOOKUP($A137,'Data Vlaue (Cr)'!$C:$FB,43)</f>
        <v>109</v>
      </c>
      <c r="H137" s="49">
        <f>VLOOKUP($A137,'Data Vlaue (Cr)'!$C:$FB,44)</f>
        <v>136</v>
      </c>
      <c r="I137" s="49">
        <f>VLOOKUP($A137,'Data Vlaue (Cr)'!$C:$FB,46)*100</f>
        <v>-20.29</v>
      </c>
      <c r="J137" s="51">
        <f>VLOOKUP($A137,'Data Vlaue (Cr)'!$C:$FB,59)</f>
        <v>258</v>
      </c>
      <c r="K137" s="51">
        <f>VLOOKUP($A137,'Data Vlaue (Cr)'!$C:$FB,60)</f>
        <v>308</v>
      </c>
      <c r="L137" s="51">
        <f>VLOOKUP($A137,'Data Vlaue (Cr)'!$C:$FB,62)*100</f>
        <v>-16.45</v>
      </c>
      <c r="M137" s="51">
        <f>VLOOKUP($A137,'Data Vlaue (Cr)'!$C:$FB,63)</f>
        <v>129</v>
      </c>
      <c r="N137" s="51">
        <f>VLOOKUP($A137,'Data Vlaue (Cr)'!$C:$FB,64)</f>
        <v>189</v>
      </c>
      <c r="O137" s="51">
        <f>VLOOKUP($A137,'Data Vlaue (Cr)'!$C:$FB,66)*100</f>
        <v>-31.5</v>
      </c>
    </row>
    <row r="138" spans="1:15" x14ac:dyDescent="0.25">
      <c r="A138" s="101" t="str">
        <f>'Data Vlaue (Cr)'!C133</f>
        <v>MIDCPNIFTY</v>
      </c>
      <c r="B138" s="50">
        <f>VLOOKUP($A138,'Data Vlaue (Cr)'!$C:$FB,8)</f>
        <v>13745.15</v>
      </c>
      <c r="C138" s="50">
        <f>VLOOKUP($A138,'Data Vlaue (Cr)'!$C:$FB,11)*100</f>
        <v>0.67999999999999994</v>
      </c>
      <c r="D138" s="50">
        <f>VLOOKUP($A138,'Data Vlaue (Cr)'!$C:$FB,143)</f>
        <v>74454.47</v>
      </c>
      <c r="E138" s="50">
        <f>VLOOKUP($A138,'Data Vlaue (Cr)'!$C:$FB,144)</f>
        <v>60679.519999999997</v>
      </c>
      <c r="F138" s="50">
        <f>VLOOKUP($A138,'Data Vlaue (Cr)'!$C:$FB,146)*100</f>
        <v>22.7</v>
      </c>
      <c r="G138" s="49">
        <f>VLOOKUP($A138,'Data Vlaue (Cr)'!$C:$FB,43)</f>
        <v>1003</v>
      </c>
      <c r="H138" s="49">
        <f>VLOOKUP($A138,'Data Vlaue (Cr)'!$C:$FB,44)</f>
        <v>590</v>
      </c>
      <c r="I138" s="49">
        <f>VLOOKUP($A138,'Data Vlaue (Cr)'!$C:$FB,46)*100</f>
        <v>69.81</v>
      </c>
      <c r="J138" s="51">
        <f>VLOOKUP($A138,'Data Vlaue (Cr)'!$C:$FB,59)</f>
        <v>38626</v>
      </c>
      <c r="K138" s="51">
        <f>VLOOKUP($A138,'Data Vlaue (Cr)'!$C:$FB,60)</f>
        <v>34135</v>
      </c>
      <c r="L138" s="51">
        <f>VLOOKUP($A138,'Data Vlaue (Cr)'!$C:$FB,62)*100</f>
        <v>13.16</v>
      </c>
      <c r="M138" s="51">
        <f>VLOOKUP($A138,'Data Vlaue (Cr)'!$C:$FB,63)</f>
        <v>34726</v>
      </c>
      <c r="N138" s="51">
        <f>VLOOKUP($A138,'Data Vlaue (Cr)'!$C:$FB,64)</f>
        <v>25453</v>
      </c>
      <c r="O138" s="51">
        <f>VLOOKUP($A138,'Data Vlaue (Cr)'!$C:$FB,66)*100</f>
        <v>36.43</v>
      </c>
    </row>
    <row r="139" spans="1:15" x14ac:dyDescent="0.25">
      <c r="A139" s="101" t="str">
        <f>'Data Vlaue (Cr)'!C134</f>
        <v>MOTHERSON</v>
      </c>
      <c r="B139" s="50">
        <f>VLOOKUP($A139,'Data Vlaue (Cr)'!$C:$FB,8)</f>
        <v>117.15</v>
      </c>
      <c r="C139" s="50">
        <f>VLOOKUP($A139,'Data Vlaue (Cr)'!$C:$FB,11)*100</f>
        <v>-2.02</v>
      </c>
      <c r="D139" s="50">
        <f>VLOOKUP($A139,'Data Vlaue (Cr)'!$C:$FB,143)</f>
        <v>1855.55</v>
      </c>
      <c r="E139" s="50">
        <f>VLOOKUP($A139,'Data Vlaue (Cr)'!$C:$FB,144)</f>
        <v>867.83</v>
      </c>
      <c r="F139" s="50">
        <f>VLOOKUP($A139,'Data Vlaue (Cr)'!$C:$FB,146)*100</f>
        <v>113.82000000000001</v>
      </c>
      <c r="G139" s="49">
        <f>VLOOKUP($A139,'Data Vlaue (Cr)'!$C:$FB,43)</f>
        <v>342</v>
      </c>
      <c r="H139" s="49">
        <f>VLOOKUP($A139,'Data Vlaue (Cr)'!$C:$FB,44)</f>
        <v>179</v>
      </c>
      <c r="I139" s="49">
        <f>VLOOKUP($A139,'Data Vlaue (Cr)'!$C:$FB,46)*100</f>
        <v>91.28</v>
      </c>
      <c r="J139" s="51">
        <f>VLOOKUP($A139,'Data Vlaue (Cr)'!$C:$FB,59)</f>
        <v>818</v>
      </c>
      <c r="K139" s="51">
        <f>VLOOKUP($A139,'Data Vlaue (Cr)'!$C:$FB,60)</f>
        <v>449</v>
      </c>
      <c r="L139" s="51">
        <f>VLOOKUP($A139,'Data Vlaue (Cr)'!$C:$FB,62)*100</f>
        <v>82.09</v>
      </c>
      <c r="M139" s="51">
        <f>VLOOKUP($A139,'Data Vlaue (Cr)'!$C:$FB,63)</f>
        <v>662</v>
      </c>
      <c r="N139" s="51">
        <f>VLOOKUP($A139,'Data Vlaue (Cr)'!$C:$FB,64)</f>
        <v>209</v>
      </c>
      <c r="O139" s="51">
        <f>VLOOKUP($A139,'Data Vlaue (Cr)'!$C:$FB,66)*100</f>
        <v>217.62</v>
      </c>
    </row>
    <row r="140" spans="1:15" x14ac:dyDescent="0.25">
      <c r="A140" s="101" t="str">
        <f>'Data Vlaue (Cr)'!C135</f>
        <v>MPHASIS</v>
      </c>
      <c r="B140" s="50">
        <f>VLOOKUP($A140,'Data Vlaue (Cr)'!$C:$FB,8)</f>
        <v>2887.9</v>
      </c>
      <c r="C140" s="50">
        <f>VLOOKUP($A140,'Data Vlaue (Cr)'!$C:$FB,11)*100</f>
        <v>0.79</v>
      </c>
      <c r="D140" s="50">
        <f>VLOOKUP($A140,'Data Vlaue (Cr)'!$C:$FB,143)</f>
        <v>1544.19</v>
      </c>
      <c r="E140" s="50">
        <f>VLOOKUP($A140,'Data Vlaue (Cr)'!$C:$FB,144)</f>
        <v>623.58000000000004</v>
      </c>
      <c r="F140" s="50">
        <f>VLOOKUP($A140,'Data Vlaue (Cr)'!$C:$FB,146)*100</f>
        <v>147.63</v>
      </c>
      <c r="G140" s="49">
        <f>VLOOKUP($A140,'Data Vlaue (Cr)'!$C:$FB,43)</f>
        <v>269</v>
      </c>
      <c r="H140" s="49">
        <f>VLOOKUP($A140,'Data Vlaue (Cr)'!$C:$FB,44)</f>
        <v>165</v>
      </c>
      <c r="I140" s="49">
        <f>VLOOKUP($A140,'Data Vlaue (Cr)'!$C:$FB,46)*100</f>
        <v>63.239999999999995</v>
      </c>
      <c r="J140" s="51">
        <f>VLOOKUP($A140,'Data Vlaue (Cr)'!$C:$FB,59)</f>
        <v>1020</v>
      </c>
      <c r="K140" s="51">
        <f>VLOOKUP($A140,'Data Vlaue (Cr)'!$C:$FB,60)</f>
        <v>353</v>
      </c>
      <c r="L140" s="51">
        <f>VLOOKUP($A140,'Data Vlaue (Cr)'!$C:$FB,62)*100</f>
        <v>188.96</v>
      </c>
      <c r="M140" s="51">
        <f>VLOOKUP($A140,'Data Vlaue (Cr)'!$C:$FB,63)</f>
        <v>228</v>
      </c>
      <c r="N140" s="51">
        <f>VLOOKUP($A140,'Data Vlaue (Cr)'!$C:$FB,64)</f>
        <v>98</v>
      </c>
      <c r="O140" s="51">
        <f>VLOOKUP($A140,'Data Vlaue (Cr)'!$C:$FB,66)*100</f>
        <v>133.58000000000001</v>
      </c>
    </row>
    <row r="141" spans="1:15" x14ac:dyDescent="0.25">
      <c r="A141" s="101" t="str">
        <f>'Data Vlaue (Cr)'!C136</f>
        <v>MUTHOOTFIN</v>
      </c>
      <c r="B141" s="50">
        <f>VLOOKUP($A141,'Data Vlaue (Cr)'!$C:$FB,8)</f>
        <v>3749.9</v>
      </c>
      <c r="C141" s="50">
        <f>VLOOKUP($A141,'Data Vlaue (Cr)'!$C:$FB,11)*100</f>
        <v>-0.44</v>
      </c>
      <c r="D141" s="50">
        <f>VLOOKUP($A141,'Data Vlaue (Cr)'!$C:$FB,143)</f>
        <v>2821.67</v>
      </c>
      <c r="E141" s="50">
        <f>VLOOKUP($A141,'Data Vlaue (Cr)'!$C:$FB,144)</f>
        <v>4332.7299999999996</v>
      </c>
      <c r="F141" s="50">
        <f>VLOOKUP($A141,'Data Vlaue (Cr)'!$C:$FB,146)*100</f>
        <v>-34.880000000000003</v>
      </c>
      <c r="G141" s="49">
        <f>VLOOKUP($A141,'Data Vlaue (Cr)'!$C:$FB,43)</f>
        <v>433</v>
      </c>
      <c r="H141" s="49">
        <f>VLOOKUP($A141,'Data Vlaue (Cr)'!$C:$FB,44)</f>
        <v>518</v>
      </c>
      <c r="I141" s="49">
        <f>VLOOKUP($A141,'Data Vlaue (Cr)'!$C:$FB,46)*100</f>
        <v>-16.420000000000002</v>
      </c>
      <c r="J141" s="51">
        <f>VLOOKUP($A141,'Data Vlaue (Cr)'!$C:$FB,59)</f>
        <v>1383</v>
      </c>
      <c r="K141" s="51">
        <f>VLOOKUP($A141,'Data Vlaue (Cr)'!$C:$FB,60)</f>
        <v>2590</v>
      </c>
      <c r="L141" s="51">
        <f>VLOOKUP($A141,'Data Vlaue (Cr)'!$C:$FB,62)*100</f>
        <v>-46.589999999999996</v>
      </c>
      <c r="M141" s="51">
        <f>VLOOKUP($A141,'Data Vlaue (Cr)'!$C:$FB,63)</f>
        <v>959</v>
      </c>
      <c r="N141" s="51">
        <f>VLOOKUP($A141,'Data Vlaue (Cr)'!$C:$FB,64)</f>
        <v>1061</v>
      </c>
      <c r="O141" s="51">
        <f>VLOOKUP($A141,'Data Vlaue (Cr)'!$C:$FB,66)*100</f>
        <v>-9.65</v>
      </c>
    </row>
    <row r="142" spans="1:15" x14ac:dyDescent="0.25">
      <c r="A142" s="101" t="str">
        <f>'Data Vlaue (Cr)'!C137</f>
        <v>NATIONALUM</v>
      </c>
      <c r="B142" s="50">
        <f>VLOOKUP($A142,'Data Vlaue (Cr)'!$C:$FB,8)</f>
        <v>279.25</v>
      </c>
      <c r="C142" s="50">
        <f>VLOOKUP($A142,'Data Vlaue (Cr)'!$C:$FB,11)*100</f>
        <v>-6.9999999999999993E-2</v>
      </c>
      <c r="D142" s="50">
        <f>VLOOKUP($A142,'Data Vlaue (Cr)'!$C:$FB,143)</f>
        <v>2795.66</v>
      </c>
      <c r="E142" s="50">
        <f>VLOOKUP($A142,'Data Vlaue (Cr)'!$C:$FB,144)</f>
        <v>2787.95</v>
      </c>
      <c r="F142" s="50">
        <f>VLOOKUP($A142,'Data Vlaue (Cr)'!$C:$FB,146)*100</f>
        <v>0.27999999999999997</v>
      </c>
      <c r="G142" s="49">
        <f>VLOOKUP($A142,'Data Vlaue (Cr)'!$C:$FB,43)</f>
        <v>493</v>
      </c>
      <c r="H142" s="49">
        <f>VLOOKUP($A142,'Data Vlaue (Cr)'!$C:$FB,44)</f>
        <v>438</v>
      </c>
      <c r="I142" s="49">
        <f>VLOOKUP($A142,'Data Vlaue (Cr)'!$C:$FB,46)*100</f>
        <v>12.44</v>
      </c>
      <c r="J142" s="51">
        <f>VLOOKUP($A142,'Data Vlaue (Cr)'!$C:$FB,59)</f>
        <v>1418</v>
      </c>
      <c r="K142" s="51">
        <f>VLOOKUP($A142,'Data Vlaue (Cr)'!$C:$FB,60)</f>
        <v>1531</v>
      </c>
      <c r="L142" s="51">
        <f>VLOOKUP($A142,'Data Vlaue (Cr)'!$C:$FB,62)*100</f>
        <v>-7.3800000000000008</v>
      </c>
      <c r="M142" s="51">
        <f>VLOOKUP($A142,'Data Vlaue (Cr)'!$C:$FB,63)</f>
        <v>848</v>
      </c>
      <c r="N142" s="51">
        <f>VLOOKUP($A142,'Data Vlaue (Cr)'!$C:$FB,64)</f>
        <v>776</v>
      </c>
      <c r="O142" s="51">
        <f>VLOOKUP($A142,'Data Vlaue (Cr)'!$C:$FB,66)*100</f>
        <v>9.2799999999999994</v>
      </c>
    </row>
    <row r="143" spans="1:15" x14ac:dyDescent="0.25">
      <c r="A143" s="101" t="str">
        <f>'Data Vlaue (Cr)'!C138</f>
        <v>NAUKRI</v>
      </c>
      <c r="B143" s="50">
        <f>VLOOKUP($A143,'Data Vlaue (Cr)'!$C:$FB,8)</f>
        <v>1333.7</v>
      </c>
      <c r="C143" s="50">
        <f>VLOOKUP($A143,'Data Vlaue (Cr)'!$C:$FB,11)*100</f>
        <v>-0.33999999999999997</v>
      </c>
      <c r="D143" s="50">
        <f>VLOOKUP($A143,'Data Vlaue (Cr)'!$C:$FB,143)</f>
        <v>454.65</v>
      </c>
      <c r="E143" s="50">
        <f>VLOOKUP($A143,'Data Vlaue (Cr)'!$C:$FB,144)</f>
        <v>427.68</v>
      </c>
      <c r="F143" s="50">
        <f>VLOOKUP($A143,'Data Vlaue (Cr)'!$C:$FB,146)*100</f>
        <v>6.3100000000000005</v>
      </c>
      <c r="G143" s="49">
        <f>VLOOKUP($A143,'Data Vlaue (Cr)'!$C:$FB,43)</f>
        <v>110</v>
      </c>
      <c r="H143" s="49">
        <f>VLOOKUP($A143,'Data Vlaue (Cr)'!$C:$FB,44)</f>
        <v>92</v>
      </c>
      <c r="I143" s="49">
        <f>VLOOKUP($A143,'Data Vlaue (Cr)'!$C:$FB,46)*100</f>
        <v>19.41</v>
      </c>
      <c r="J143" s="51">
        <f>VLOOKUP($A143,'Data Vlaue (Cr)'!$C:$FB,59)</f>
        <v>271</v>
      </c>
      <c r="K143" s="51">
        <f>VLOOKUP($A143,'Data Vlaue (Cr)'!$C:$FB,60)</f>
        <v>247</v>
      </c>
      <c r="L143" s="51">
        <f>VLOOKUP($A143,'Data Vlaue (Cr)'!$C:$FB,62)*100</f>
        <v>9.86</v>
      </c>
      <c r="M143" s="51">
        <f>VLOOKUP($A143,'Data Vlaue (Cr)'!$C:$FB,63)</f>
        <v>59</v>
      </c>
      <c r="N143" s="51">
        <f>VLOOKUP($A143,'Data Vlaue (Cr)'!$C:$FB,64)</f>
        <v>76</v>
      </c>
      <c r="O143" s="51">
        <f>VLOOKUP($A143,'Data Vlaue (Cr)'!$C:$FB,66)*100</f>
        <v>-22.28</v>
      </c>
    </row>
    <row r="144" spans="1:15" x14ac:dyDescent="0.25">
      <c r="A144" s="101" t="str">
        <f>'Data Vlaue (Cr)'!C139</f>
        <v>NBCC</v>
      </c>
      <c r="B144" s="50">
        <f>VLOOKUP($A144,'Data Vlaue (Cr)'!$C:$FB,8)</f>
        <v>108.26</v>
      </c>
      <c r="C144" s="50">
        <f>VLOOKUP($A144,'Data Vlaue (Cr)'!$C:$FB,11)*100</f>
        <v>-1.1900000000000002</v>
      </c>
      <c r="D144" s="50">
        <f>VLOOKUP($A144,'Data Vlaue (Cr)'!$C:$FB,143)</f>
        <v>898.02</v>
      </c>
      <c r="E144" s="50">
        <f>VLOOKUP($A144,'Data Vlaue (Cr)'!$C:$FB,144)</f>
        <v>914.38</v>
      </c>
      <c r="F144" s="50">
        <f>VLOOKUP($A144,'Data Vlaue (Cr)'!$C:$FB,146)*100</f>
        <v>-1.79</v>
      </c>
      <c r="G144" s="49">
        <f>VLOOKUP($A144,'Data Vlaue (Cr)'!$C:$FB,43)</f>
        <v>150</v>
      </c>
      <c r="H144" s="49">
        <f>VLOOKUP($A144,'Data Vlaue (Cr)'!$C:$FB,44)</f>
        <v>170</v>
      </c>
      <c r="I144" s="49">
        <f>VLOOKUP($A144,'Data Vlaue (Cr)'!$C:$FB,46)*100</f>
        <v>-11.709999999999999</v>
      </c>
      <c r="J144" s="51">
        <f>VLOOKUP($A144,'Data Vlaue (Cr)'!$C:$FB,59)</f>
        <v>524</v>
      </c>
      <c r="K144" s="51">
        <f>VLOOKUP($A144,'Data Vlaue (Cr)'!$C:$FB,60)</f>
        <v>539</v>
      </c>
      <c r="L144" s="51">
        <f>VLOOKUP($A144,'Data Vlaue (Cr)'!$C:$FB,62)*100</f>
        <v>-2.67</v>
      </c>
      <c r="M144" s="51">
        <f>VLOOKUP($A144,'Data Vlaue (Cr)'!$C:$FB,63)</f>
        <v>184</v>
      </c>
      <c r="N144" s="51">
        <f>VLOOKUP($A144,'Data Vlaue (Cr)'!$C:$FB,64)</f>
        <v>151</v>
      </c>
      <c r="O144" s="51">
        <f>VLOOKUP($A144,'Data Vlaue (Cr)'!$C:$FB,66)*100</f>
        <v>21.51</v>
      </c>
    </row>
    <row r="145" spans="1:15" x14ac:dyDescent="0.25">
      <c r="A145" s="101" t="str">
        <f>'Data Vlaue (Cr)'!C140</f>
        <v>NCC</v>
      </c>
      <c r="B145" s="50">
        <f>VLOOKUP($A145,'Data Vlaue (Cr)'!$C:$FB,8)</f>
        <v>153.07</v>
      </c>
      <c r="C145" s="50">
        <f>VLOOKUP($A145,'Data Vlaue (Cr)'!$C:$FB,11)*100</f>
        <v>-1.4500000000000002</v>
      </c>
      <c r="D145" s="50">
        <f>VLOOKUP($A145,'Data Vlaue (Cr)'!$C:$FB,143)</f>
        <v>344.67</v>
      </c>
      <c r="E145" s="50">
        <f>VLOOKUP($A145,'Data Vlaue (Cr)'!$C:$FB,144)</f>
        <v>332.47</v>
      </c>
      <c r="F145" s="50">
        <f>VLOOKUP($A145,'Data Vlaue (Cr)'!$C:$FB,146)*100</f>
        <v>3.6700000000000004</v>
      </c>
      <c r="G145" s="49">
        <f>VLOOKUP($A145,'Data Vlaue (Cr)'!$C:$FB,43)</f>
        <v>57</v>
      </c>
      <c r="H145" s="49">
        <f>VLOOKUP($A145,'Data Vlaue (Cr)'!$C:$FB,44)</f>
        <v>49</v>
      </c>
      <c r="I145" s="49">
        <f>VLOOKUP($A145,'Data Vlaue (Cr)'!$C:$FB,46)*100</f>
        <v>16.470000000000002</v>
      </c>
      <c r="J145" s="51">
        <f>VLOOKUP($A145,'Data Vlaue (Cr)'!$C:$FB,59)</f>
        <v>176</v>
      </c>
      <c r="K145" s="51">
        <f>VLOOKUP($A145,'Data Vlaue (Cr)'!$C:$FB,60)</f>
        <v>180</v>
      </c>
      <c r="L145" s="51">
        <f>VLOOKUP($A145,'Data Vlaue (Cr)'!$C:$FB,62)*100</f>
        <v>-2.2999999999999998</v>
      </c>
      <c r="M145" s="51">
        <f>VLOOKUP($A145,'Data Vlaue (Cr)'!$C:$FB,63)</f>
        <v>96</v>
      </c>
      <c r="N145" s="51">
        <f>VLOOKUP($A145,'Data Vlaue (Cr)'!$C:$FB,64)</f>
        <v>80</v>
      </c>
      <c r="O145" s="51">
        <f>VLOOKUP($A145,'Data Vlaue (Cr)'!$C:$FB,66)*100</f>
        <v>20.399999999999999</v>
      </c>
    </row>
    <row r="146" spans="1:15" x14ac:dyDescent="0.25">
      <c r="A146" s="101" t="str">
        <f>'Data Vlaue (Cr)'!C141</f>
        <v>NESTLEIND</v>
      </c>
      <c r="B146" s="50">
        <f>VLOOKUP($A146,'Data Vlaue (Cr)'!$C:$FB,8)</f>
        <v>1233.5</v>
      </c>
      <c r="C146" s="50">
        <f>VLOOKUP($A146,'Data Vlaue (Cr)'!$C:$FB,11)*100</f>
        <v>-0.09</v>
      </c>
      <c r="D146" s="50">
        <f>VLOOKUP($A146,'Data Vlaue (Cr)'!$C:$FB,143)</f>
        <v>740.47</v>
      </c>
      <c r="E146" s="50">
        <f>VLOOKUP($A146,'Data Vlaue (Cr)'!$C:$FB,144)</f>
        <v>1067.58</v>
      </c>
      <c r="F146" s="50">
        <f>VLOOKUP($A146,'Data Vlaue (Cr)'!$C:$FB,146)*100</f>
        <v>-30.64</v>
      </c>
      <c r="G146" s="49">
        <f>VLOOKUP($A146,'Data Vlaue (Cr)'!$C:$FB,43)</f>
        <v>192</v>
      </c>
      <c r="H146" s="49">
        <f>VLOOKUP($A146,'Data Vlaue (Cr)'!$C:$FB,44)</f>
        <v>326</v>
      </c>
      <c r="I146" s="49">
        <f>VLOOKUP($A146,'Data Vlaue (Cr)'!$C:$FB,46)*100</f>
        <v>-40.98</v>
      </c>
      <c r="J146" s="51">
        <f>VLOOKUP($A146,'Data Vlaue (Cr)'!$C:$FB,59)</f>
        <v>425</v>
      </c>
      <c r="K146" s="51">
        <f>VLOOKUP($A146,'Data Vlaue (Cr)'!$C:$FB,60)</f>
        <v>529</v>
      </c>
      <c r="L146" s="51">
        <f>VLOOKUP($A146,'Data Vlaue (Cr)'!$C:$FB,62)*100</f>
        <v>-19.7</v>
      </c>
      <c r="M146" s="51">
        <f>VLOOKUP($A146,'Data Vlaue (Cr)'!$C:$FB,63)</f>
        <v>110</v>
      </c>
      <c r="N146" s="51">
        <f>VLOOKUP($A146,'Data Vlaue (Cr)'!$C:$FB,64)</f>
        <v>192</v>
      </c>
      <c r="O146" s="51">
        <f>VLOOKUP($A146,'Data Vlaue (Cr)'!$C:$FB,66)*100</f>
        <v>-42.72</v>
      </c>
    </row>
    <row r="147" spans="1:15" x14ac:dyDescent="0.25">
      <c r="A147" s="101" t="str">
        <f>'Data Vlaue (Cr)'!C142</f>
        <v>NHPC</v>
      </c>
      <c r="B147" s="50">
        <f>VLOOKUP($A147,'Data Vlaue (Cr)'!$C:$FB,8)</f>
        <v>75.040000000000006</v>
      </c>
      <c r="C147" s="50">
        <f>VLOOKUP($A147,'Data Vlaue (Cr)'!$C:$FB,11)*100</f>
        <v>-0.45999999999999996</v>
      </c>
      <c r="D147" s="50">
        <f>VLOOKUP($A147,'Data Vlaue (Cr)'!$C:$FB,143)</f>
        <v>332.36</v>
      </c>
      <c r="E147" s="50">
        <f>VLOOKUP($A147,'Data Vlaue (Cr)'!$C:$FB,144)</f>
        <v>298.72000000000003</v>
      </c>
      <c r="F147" s="50">
        <f>VLOOKUP($A147,'Data Vlaue (Cr)'!$C:$FB,146)*100</f>
        <v>11.26</v>
      </c>
      <c r="G147" s="49">
        <f>VLOOKUP($A147,'Data Vlaue (Cr)'!$C:$FB,43)</f>
        <v>82</v>
      </c>
      <c r="H147" s="49">
        <f>VLOOKUP($A147,'Data Vlaue (Cr)'!$C:$FB,44)</f>
        <v>76</v>
      </c>
      <c r="I147" s="49">
        <f>VLOOKUP($A147,'Data Vlaue (Cr)'!$C:$FB,46)*100</f>
        <v>7.9</v>
      </c>
      <c r="J147" s="51">
        <f>VLOOKUP($A147,'Data Vlaue (Cr)'!$C:$FB,59)</f>
        <v>188</v>
      </c>
      <c r="K147" s="51">
        <f>VLOOKUP($A147,'Data Vlaue (Cr)'!$C:$FB,60)</f>
        <v>164</v>
      </c>
      <c r="L147" s="51">
        <f>VLOOKUP($A147,'Data Vlaue (Cr)'!$C:$FB,62)*100</f>
        <v>14.56</v>
      </c>
      <c r="M147" s="51">
        <f>VLOOKUP($A147,'Data Vlaue (Cr)'!$C:$FB,63)</f>
        <v>51</v>
      </c>
      <c r="N147" s="51">
        <f>VLOOKUP($A147,'Data Vlaue (Cr)'!$C:$FB,64)</f>
        <v>49</v>
      </c>
      <c r="O147" s="51">
        <f>VLOOKUP($A147,'Data Vlaue (Cr)'!$C:$FB,66)*100</f>
        <v>4.91</v>
      </c>
    </row>
    <row r="148" spans="1:15" x14ac:dyDescent="0.25">
      <c r="A148" s="101" t="str">
        <f>'Data Vlaue (Cr)'!C143</f>
        <v>NIFTY</v>
      </c>
      <c r="B148" s="50">
        <f>VLOOKUP($A148,'Data Vlaue (Cr)'!$C:$FB,8)</f>
        <v>25815.55</v>
      </c>
      <c r="C148" s="50">
        <f>VLOOKUP($A148,'Data Vlaue (Cr)'!$C:$FB,11)*100</f>
        <v>-0.01</v>
      </c>
      <c r="D148" s="50">
        <f>VLOOKUP($A148,'Data Vlaue (Cr)'!$C:$FB,143)</f>
        <v>10865221.52</v>
      </c>
      <c r="E148" s="50">
        <f>VLOOKUP($A148,'Data Vlaue (Cr)'!$C:$FB,144)</f>
        <v>9199740.3200000003</v>
      </c>
      <c r="F148" s="50">
        <f>VLOOKUP($A148,'Data Vlaue (Cr)'!$C:$FB,146)*100</f>
        <v>18.099999999999998</v>
      </c>
      <c r="G148" s="49">
        <f>VLOOKUP($A148,'Data Vlaue (Cr)'!$C:$FB,43)</f>
        <v>14847</v>
      </c>
      <c r="H148" s="49">
        <f>VLOOKUP($A148,'Data Vlaue (Cr)'!$C:$FB,44)</f>
        <v>10648</v>
      </c>
      <c r="I148" s="49">
        <f>VLOOKUP($A148,'Data Vlaue (Cr)'!$C:$FB,46)*100</f>
        <v>39.44</v>
      </c>
      <c r="J148" s="51">
        <f>VLOOKUP($A148,'Data Vlaue (Cr)'!$C:$FB,59)</f>
        <v>5668392</v>
      </c>
      <c r="K148" s="51">
        <f>VLOOKUP($A148,'Data Vlaue (Cr)'!$C:$FB,60)</f>
        <v>4618690</v>
      </c>
      <c r="L148" s="51">
        <f>VLOOKUP($A148,'Data Vlaue (Cr)'!$C:$FB,62)*100</f>
        <v>22.73</v>
      </c>
      <c r="M148" s="51">
        <f>VLOOKUP($A148,'Data Vlaue (Cr)'!$C:$FB,63)</f>
        <v>5168137</v>
      </c>
      <c r="N148" s="51">
        <f>VLOOKUP($A148,'Data Vlaue (Cr)'!$C:$FB,64)</f>
        <v>4542029</v>
      </c>
      <c r="O148" s="51">
        <f>VLOOKUP($A148,'Data Vlaue (Cr)'!$C:$FB,66)*100</f>
        <v>13.780000000000001</v>
      </c>
    </row>
    <row r="149" spans="1:15" x14ac:dyDescent="0.25">
      <c r="A149" s="101" t="str">
        <f>'Data Vlaue (Cr)'!C144</f>
        <v>NIFTYNXT50</v>
      </c>
      <c r="B149" s="50">
        <f>VLOOKUP($A149,'Data Vlaue (Cr)'!$C:$FB,8)</f>
        <v>67830.25</v>
      </c>
      <c r="C149" s="50">
        <f>VLOOKUP($A149,'Data Vlaue (Cr)'!$C:$FB,11)*100</f>
        <v>-0.36</v>
      </c>
      <c r="D149" s="50">
        <f>VLOOKUP($A149,'Data Vlaue (Cr)'!$C:$FB,143)</f>
        <v>267.3</v>
      </c>
      <c r="E149" s="50">
        <f>VLOOKUP($A149,'Data Vlaue (Cr)'!$C:$FB,144)</f>
        <v>183.77</v>
      </c>
      <c r="F149" s="50">
        <f>VLOOKUP($A149,'Data Vlaue (Cr)'!$C:$FB,146)*100</f>
        <v>45.45</v>
      </c>
      <c r="G149" s="49">
        <f>VLOOKUP($A149,'Data Vlaue (Cr)'!$C:$FB,43)</f>
        <v>87</v>
      </c>
      <c r="H149" s="49">
        <f>VLOOKUP($A149,'Data Vlaue (Cr)'!$C:$FB,44)</f>
        <v>38</v>
      </c>
      <c r="I149" s="49">
        <f>VLOOKUP($A149,'Data Vlaue (Cr)'!$C:$FB,46)*100</f>
        <v>129.72999999999999</v>
      </c>
      <c r="J149" s="51">
        <f>VLOOKUP($A149,'Data Vlaue (Cr)'!$C:$FB,59)</f>
        <v>105</v>
      </c>
      <c r="K149" s="51">
        <f>VLOOKUP($A149,'Data Vlaue (Cr)'!$C:$FB,60)</f>
        <v>61</v>
      </c>
      <c r="L149" s="51">
        <f>VLOOKUP($A149,'Data Vlaue (Cr)'!$C:$FB,62)*100</f>
        <v>72.22</v>
      </c>
      <c r="M149" s="51">
        <f>VLOOKUP($A149,'Data Vlaue (Cr)'!$C:$FB,63)</f>
        <v>74</v>
      </c>
      <c r="N149" s="51">
        <f>VLOOKUP($A149,'Data Vlaue (Cr)'!$C:$FB,64)</f>
        <v>83</v>
      </c>
      <c r="O149" s="51">
        <f>VLOOKUP($A149,'Data Vlaue (Cr)'!$C:$FB,66)*100</f>
        <v>-11.04</v>
      </c>
    </row>
    <row r="150" spans="1:15" x14ac:dyDescent="0.25">
      <c r="A150" s="101" t="str">
        <f>'Data Vlaue (Cr)'!C145</f>
        <v>NMDC</v>
      </c>
      <c r="B150" s="50">
        <f>VLOOKUP($A150,'Data Vlaue (Cr)'!$C:$FB,8)</f>
        <v>76.510000000000005</v>
      </c>
      <c r="C150" s="50">
        <f>VLOOKUP($A150,'Data Vlaue (Cr)'!$C:$FB,11)*100</f>
        <v>-1</v>
      </c>
      <c r="D150" s="50">
        <f>VLOOKUP($A150,'Data Vlaue (Cr)'!$C:$FB,143)</f>
        <v>793.26</v>
      </c>
      <c r="E150" s="50">
        <f>VLOOKUP($A150,'Data Vlaue (Cr)'!$C:$FB,144)</f>
        <v>965.48</v>
      </c>
      <c r="F150" s="50">
        <f>VLOOKUP($A150,'Data Vlaue (Cr)'!$C:$FB,146)*100</f>
        <v>-17.84</v>
      </c>
      <c r="G150" s="49">
        <f>VLOOKUP($A150,'Data Vlaue (Cr)'!$C:$FB,43)</f>
        <v>208</v>
      </c>
      <c r="H150" s="49">
        <f>VLOOKUP($A150,'Data Vlaue (Cr)'!$C:$FB,44)</f>
        <v>222</v>
      </c>
      <c r="I150" s="49">
        <f>VLOOKUP($A150,'Data Vlaue (Cr)'!$C:$FB,46)*100</f>
        <v>-6.4600000000000009</v>
      </c>
      <c r="J150" s="51">
        <f>VLOOKUP($A150,'Data Vlaue (Cr)'!$C:$FB,59)</f>
        <v>371</v>
      </c>
      <c r="K150" s="51">
        <f>VLOOKUP($A150,'Data Vlaue (Cr)'!$C:$FB,60)</f>
        <v>544</v>
      </c>
      <c r="L150" s="51">
        <f>VLOOKUP($A150,'Data Vlaue (Cr)'!$C:$FB,62)*100</f>
        <v>-31.72</v>
      </c>
      <c r="M150" s="51">
        <f>VLOOKUP($A150,'Data Vlaue (Cr)'!$C:$FB,63)</f>
        <v>199</v>
      </c>
      <c r="N150" s="51">
        <f>VLOOKUP($A150,'Data Vlaue (Cr)'!$C:$FB,64)</f>
        <v>175</v>
      </c>
      <c r="O150" s="51">
        <f>VLOOKUP($A150,'Data Vlaue (Cr)'!$C:$FB,66)*100</f>
        <v>13.489999999999998</v>
      </c>
    </row>
    <row r="151" spans="1:15" x14ac:dyDescent="0.25">
      <c r="A151" s="101" t="str">
        <f>'Data Vlaue (Cr)'!C146</f>
        <v>NTPC</v>
      </c>
      <c r="B151" s="50">
        <f>VLOOKUP($A151,'Data Vlaue (Cr)'!$C:$FB,8)</f>
        <v>318.5</v>
      </c>
      <c r="C151" s="50">
        <f>VLOOKUP($A151,'Data Vlaue (Cr)'!$C:$FB,11)*100</f>
        <v>-0.86</v>
      </c>
      <c r="D151" s="50">
        <f>VLOOKUP($A151,'Data Vlaue (Cr)'!$C:$FB,143)</f>
        <v>1470.6</v>
      </c>
      <c r="E151" s="50">
        <f>VLOOKUP($A151,'Data Vlaue (Cr)'!$C:$FB,144)</f>
        <v>896.64</v>
      </c>
      <c r="F151" s="50">
        <f>VLOOKUP($A151,'Data Vlaue (Cr)'!$C:$FB,146)*100</f>
        <v>64.010000000000005</v>
      </c>
      <c r="G151" s="49">
        <f>VLOOKUP($A151,'Data Vlaue (Cr)'!$C:$FB,43)</f>
        <v>317</v>
      </c>
      <c r="H151" s="49">
        <f>VLOOKUP($A151,'Data Vlaue (Cr)'!$C:$FB,44)</f>
        <v>177</v>
      </c>
      <c r="I151" s="49">
        <f>VLOOKUP($A151,'Data Vlaue (Cr)'!$C:$FB,46)*100</f>
        <v>79.690000000000012</v>
      </c>
      <c r="J151" s="51">
        <f>VLOOKUP($A151,'Data Vlaue (Cr)'!$C:$FB,59)</f>
        <v>726</v>
      </c>
      <c r="K151" s="51">
        <f>VLOOKUP($A151,'Data Vlaue (Cr)'!$C:$FB,60)</f>
        <v>463</v>
      </c>
      <c r="L151" s="51">
        <f>VLOOKUP($A151,'Data Vlaue (Cr)'!$C:$FB,62)*100</f>
        <v>56.75</v>
      </c>
      <c r="M151" s="51">
        <f>VLOOKUP($A151,'Data Vlaue (Cr)'!$C:$FB,63)</f>
        <v>408</v>
      </c>
      <c r="N151" s="51">
        <f>VLOOKUP($A151,'Data Vlaue (Cr)'!$C:$FB,64)</f>
        <v>239</v>
      </c>
      <c r="O151" s="51">
        <f>VLOOKUP($A151,'Data Vlaue (Cr)'!$C:$FB,66)*100</f>
        <v>70.83</v>
      </c>
    </row>
    <row r="152" spans="1:15" x14ac:dyDescent="0.25">
      <c r="A152" s="101" t="str">
        <f>'Data Vlaue (Cr)'!C147</f>
        <v>NUVAMA</v>
      </c>
      <c r="B152" s="50">
        <f>VLOOKUP($A152,'Data Vlaue (Cr)'!$C:$FB,8)</f>
        <v>7301.5</v>
      </c>
      <c r="C152" s="50">
        <f>VLOOKUP($A152,'Data Vlaue (Cr)'!$C:$FB,11)*100</f>
        <v>1.82</v>
      </c>
      <c r="D152" s="50">
        <f>VLOOKUP($A152,'Data Vlaue (Cr)'!$C:$FB,143)</f>
        <v>4044.51</v>
      </c>
      <c r="E152" s="50">
        <f>VLOOKUP($A152,'Data Vlaue (Cr)'!$C:$FB,144)</f>
        <v>409.08</v>
      </c>
      <c r="F152" s="50">
        <f>VLOOKUP($A152,'Data Vlaue (Cr)'!$C:$FB,146)*100</f>
        <v>888.68</v>
      </c>
      <c r="G152" s="49">
        <f>VLOOKUP($A152,'Data Vlaue (Cr)'!$C:$FB,43)</f>
        <v>252</v>
      </c>
      <c r="H152" s="49">
        <f>VLOOKUP($A152,'Data Vlaue (Cr)'!$C:$FB,44)</f>
        <v>55</v>
      </c>
      <c r="I152" s="49">
        <f>VLOOKUP($A152,'Data Vlaue (Cr)'!$C:$FB,46)*100</f>
        <v>358.56</v>
      </c>
      <c r="J152" s="51">
        <f>VLOOKUP($A152,'Data Vlaue (Cr)'!$C:$FB,59)</f>
        <v>2793</v>
      </c>
      <c r="K152" s="51">
        <f>VLOOKUP($A152,'Data Vlaue (Cr)'!$C:$FB,60)</f>
        <v>182</v>
      </c>
      <c r="L152" s="51">
        <f>VLOOKUP($A152,'Data Vlaue (Cr)'!$C:$FB,62)*100</f>
        <v>1437.94</v>
      </c>
      <c r="M152" s="51">
        <f>VLOOKUP($A152,'Data Vlaue (Cr)'!$C:$FB,63)</f>
        <v>867</v>
      </c>
      <c r="N152" s="51">
        <f>VLOOKUP($A152,'Data Vlaue (Cr)'!$C:$FB,64)</f>
        <v>169</v>
      </c>
      <c r="O152" s="51">
        <f>VLOOKUP($A152,'Data Vlaue (Cr)'!$C:$FB,66)*100</f>
        <v>411.48999999999995</v>
      </c>
    </row>
    <row r="153" spans="1:15" x14ac:dyDescent="0.25">
      <c r="A153" s="101" t="str">
        <f>'Data Vlaue (Cr)'!C148</f>
        <v>NYKAA</v>
      </c>
      <c r="B153" s="50">
        <f>VLOOKUP($A153,'Data Vlaue (Cr)'!$C:$FB,8)</f>
        <v>244.1</v>
      </c>
      <c r="C153" s="50">
        <f>VLOOKUP($A153,'Data Vlaue (Cr)'!$C:$FB,11)*100</f>
        <v>-0.41000000000000003</v>
      </c>
      <c r="D153" s="50">
        <f>VLOOKUP($A153,'Data Vlaue (Cr)'!$C:$FB,143)</f>
        <v>874.67</v>
      </c>
      <c r="E153" s="50">
        <f>VLOOKUP($A153,'Data Vlaue (Cr)'!$C:$FB,144)</f>
        <v>537.34</v>
      </c>
      <c r="F153" s="50">
        <f>VLOOKUP($A153,'Data Vlaue (Cr)'!$C:$FB,146)*100</f>
        <v>62.78</v>
      </c>
      <c r="G153" s="49">
        <f>VLOOKUP($A153,'Data Vlaue (Cr)'!$C:$FB,43)</f>
        <v>182</v>
      </c>
      <c r="H153" s="49">
        <f>VLOOKUP($A153,'Data Vlaue (Cr)'!$C:$FB,44)</f>
        <v>125</v>
      </c>
      <c r="I153" s="49">
        <f>VLOOKUP($A153,'Data Vlaue (Cr)'!$C:$FB,46)*100</f>
        <v>44.93</v>
      </c>
      <c r="J153" s="51">
        <f>VLOOKUP($A153,'Data Vlaue (Cr)'!$C:$FB,59)</f>
        <v>458</v>
      </c>
      <c r="K153" s="51">
        <f>VLOOKUP($A153,'Data Vlaue (Cr)'!$C:$FB,60)</f>
        <v>269</v>
      </c>
      <c r="L153" s="51">
        <f>VLOOKUP($A153,'Data Vlaue (Cr)'!$C:$FB,62)*100</f>
        <v>70.59</v>
      </c>
      <c r="M153" s="51">
        <f>VLOOKUP($A153,'Data Vlaue (Cr)'!$C:$FB,63)</f>
        <v>208</v>
      </c>
      <c r="N153" s="51">
        <f>VLOOKUP($A153,'Data Vlaue (Cr)'!$C:$FB,64)</f>
        <v>126</v>
      </c>
      <c r="O153" s="51">
        <f>VLOOKUP($A153,'Data Vlaue (Cr)'!$C:$FB,66)*100</f>
        <v>65.53</v>
      </c>
    </row>
    <row r="154" spans="1:15" x14ac:dyDescent="0.25">
      <c r="A154" s="101" t="str">
        <f>'Data Vlaue (Cr)'!C149</f>
        <v>OBEROIRLTY</v>
      </c>
      <c r="B154" s="50">
        <f>VLOOKUP($A154,'Data Vlaue (Cr)'!$C:$FB,8)</f>
        <v>1658.2</v>
      </c>
      <c r="C154" s="50">
        <f>VLOOKUP($A154,'Data Vlaue (Cr)'!$C:$FB,11)*100</f>
        <v>3</v>
      </c>
      <c r="D154" s="50">
        <f>VLOOKUP($A154,'Data Vlaue (Cr)'!$C:$FB,143)</f>
        <v>1001.41</v>
      </c>
      <c r="E154" s="50">
        <f>VLOOKUP($A154,'Data Vlaue (Cr)'!$C:$FB,144)</f>
        <v>410.29</v>
      </c>
      <c r="F154" s="50">
        <f>VLOOKUP($A154,'Data Vlaue (Cr)'!$C:$FB,146)*100</f>
        <v>144.08000000000001</v>
      </c>
      <c r="G154" s="49">
        <f>VLOOKUP($A154,'Data Vlaue (Cr)'!$C:$FB,43)</f>
        <v>192</v>
      </c>
      <c r="H154" s="49">
        <f>VLOOKUP($A154,'Data Vlaue (Cr)'!$C:$FB,44)</f>
        <v>85</v>
      </c>
      <c r="I154" s="49">
        <f>VLOOKUP($A154,'Data Vlaue (Cr)'!$C:$FB,46)*100</f>
        <v>126.47999999999999</v>
      </c>
      <c r="J154" s="51">
        <f>VLOOKUP($A154,'Data Vlaue (Cr)'!$C:$FB,59)</f>
        <v>512</v>
      </c>
      <c r="K154" s="51">
        <f>VLOOKUP($A154,'Data Vlaue (Cr)'!$C:$FB,60)</f>
        <v>191</v>
      </c>
      <c r="L154" s="51">
        <f>VLOOKUP($A154,'Data Vlaue (Cr)'!$C:$FB,62)*100</f>
        <v>168.06</v>
      </c>
      <c r="M154" s="51">
        <f>VLOOKUP($A154,'Data Vlaue (Cr)'!$C:$FB,63)</f>
        <v>295</v>
      </c>
      <c r="N154" s="51">
        <f>VLOOKUP($A154,'Data Vlaue (Cr)'!$C:$FB,64)</f>
        <v>136</v>
      </c>
      <c r="O154" s="51">
        <f>VLOOKUP($A154,'Data Vlaue (Cr)'!$C:$FB,66)*100</f>
        <v>116.57</v>
      </c>
    </row>
    <row r="155" spans="1:15" x14ac:dyDescent="0.25">
      <c r="A155" s="101" t="str">
        <f>'Data Vlaue (Cr)'!C150</f>
        <v>OFSS</v>
      </c>
      <c r="B155" s="50">
        <f>VLOOKUP($A155,'Data Vlaue (Cr)'!$C:$FB,8)</f>
        <v>7662.5</v>
      </c>
      <c r="C155" s="50">
        <f>VLOOKUP($A155,'Data Vlaue (Cr)'!$C:$FB,11)*100</f>
        <v>-0.65</v>
      </c>
      <c r="D155" s="50">
        <f>VLOOKUP($A155,'Data Vlaue (Cr)'!$C:$FB,143)</f>
        <v>1627.86</v>
      </c>
      <c r="E155" s="50">
        <f>VLOOKUP($A155,'Data Vlaue (Cr)'!$C:$FB,144)</f>
        <v>1112.02</v>
      </c>
      <c r="F155" s="50">
        <f>VLOOKUP($A155,'Data Vlaue (Cr)'!$C:$FB,146)*100</f>
        <v>46.39</v>
      </c>
      <c r="G155" s="49">
        <f>VLOOKUP($A155,'Data Vlaue (Cr)'!$C:$FB,43)</f>
        <v>197</v>
      </c>
      <c r="H155" s="49">
        <f>VLOOKUP($A155,'Data Vlaue (Cr)'!$C:$FB,44)</f>
        <v>173</v>
      </c>
      <c r="I155" s="49">
        <f>VLOOKUP($A155,'Data Vlaue (Cr)'!$C:$FB,46)*100</f>
        <v>13.8</v>
      </c>
      <c r="J155" s="51">
        <f>VLOOKUP($A155,'Data Vlaue (Cr)'!$C:$FB,59)</f>
        <v>799</v>
      </c>
      <c r="K155" s="51">
        <f>VLOOKUP($A155,'Data Vlaue (Cr)'!$C:$FB,60)</f>
        <v>577</v>
      </c>
      <c r="L155" s="51">
        <f>VLOOKUP($A155,'Data Vlaue (Cr)'!$C:$FB,62)*100</f>
        <v>38.46</v>
      </c>
      <c r="M155" s="51">
        <f>VLOOKUP($A155,'Data Vlaue (Cr)'!$C:$FB,63)</f>
        <v>614</v>
      </c>
      <c r="N155" s="51">
        <f>VLOOKUP($A155,'Data Vlaue (Cr)'!$C:$FB,64)</f>
        <v>324</v>
      </c>
      <c r="O155" s="51">
        <f>VLOOKUP($A155,'Data Vlaue (Cr)'!$C:$FB,66)*100</f>
        <v>89.67</v>
      </c>
    </row>
    <row r="156" spans="1:15" x14ac:dyDescent="0.25">
      <c r="A156" s="101" t="str">
        <f>'Data Vlaue (Cr)'!C151</f>
        <v>OIL</v>
      </c>
      <c r="B156" s="50">
        <f>VLOOKUP($A156,'Data Vlaue (Cr)'!$C:$FB,8)</f>
        <v>399.85</v>
      </c>
      <c r="C156" s="50">
        <f>VLOOKUP($A156,'Data Vlaue (Cr)'!$C:$FB,11)*100</f>
        <v>0.43</v>
      </c>
      <c r="D156" s="50">
        <f>VLOOKUP($A156,'Data Vlaue (Cr)'!$C:$FB,143)</f>
        <v>225.7</v>
      </c>
      <c r="E156" s="50">
        <f>VLOOKUP($A156,'Data Vlaue (Cr)'!$C:$FB,144)</f>
        <v>257.52</v>
      </c>
      <c r="F156" s="50">
        <f>VLOOKUP($A156,'Data Vlaue (Cr)'!$C:$FB,146)*100</f>
        <v>-12.36</v>
      </c>
      <c r="G156" s="49">
        <f>VLOOKUP($A156,'Data Vlaue (Cr)'!$C:$FB,43)</f>
        <v>44</v>
      </c>
      <c r="H156" s="49">
        <f>VLOOKUP($A156,'Data Vlaue (Cr)'!$C:$FB,44)</f>
        <v>43</v>
      </c>
      <c r="I156" s="49">
        <f>VLOOKUP($A156,'Data Vlaue (Cr)'!$C:$FB,46)*100</f>
        <v>1.97</v>
      </c>
      <c r="J156" s="51">
        <f>VLOOKUP($A156,'Data Vlaue (Cr)'!$C:$FB,59)</f>
        <v>135</v>
      </c>
      <c r="K156" s="51">
        <f>VLOOKUP($A156,'Data Vlaue (Cr)'!$C:$FB,60)</f>
        <v>155</v>
      </c>
      <c r="L156" s="51">
        <f>VLOOKUP($A156,'Data Vlaue (Cr)'!$C:$FB,62)*100</f>
        <v>-12.809999999999999</v>
      </c>
      <c r="M156" s="51">
        <f>VLOOKUP($A156,'Data Vlaue (Cr)'!$C:$FB,63)</f>
        <v>41</v>
      </c>
      <c r="N156" s="51">
        <f>VLOOKUP($A156,'Data Vlaue (Cr)'!$C:$FB,64)</f>
        <v>53</v>
      </c>
      <c r="O156" s="51">
        <f>VLOOKUP($A156,'Data Vlaue (Cr)'!$C:$FB,66)*100</f>
        <v>-21.47</v>
      </c>
    </row>
    <row r="157" spans="1:15" x14ac:dyDescent="0.25">
      <c r="A157" s="101" t="str">
        <f>'Data Vlaue (Cr)'!C152</f>
        <v>ONGC</v>
      </c>
      <c r="B157" s="50">
        <f>VLOOKUP($A157,'Data Vlaue (Cr)'!$C:$FB,8)</f>
        <v>232</v>
      </c>
      <c r="C157" s="50">
        <f>VLOOKUP($A157,'Data Vlaue (Cr)'!$C:$FB,11)*100</f>
        <v>-0.38999999999999996</v>
      </c>
      <c r="D157" s="50">
        <f>VLOOKUP($A157,'Data Vlaue (Cr)'!$C:$FB,143)</f>
        <v>1295.1400000000001</v>
      </c>
      <c r="E157" s="50">
        <f>VLOOKUP($A157,'Data Vlaue (Cr)'!$C:$FB,144)</f>
        <v>1622.92</v>
      </c>
      <c r="F157" s="50">
        <f>VLOOKUP($A157,'Data Vlaue (Cr)'!$C:$FB,146)*100</f>
        <v>-20.200000000000003</v>
      </c>
      <c r="G157" s="49">
        <f>VLOOKUP($A157,'Data Vlaue (Cr)'!$C:$FB,43)</f>
        <v>215</v>
      </c>
      <c r="H157" s="49">
        <f>VLOOKUP($A157,'Data Vlaue (Cr)'!$C:$FB,44)</f>
        <v>251</v>
      </c>
      <c r="I157" s="49">
        <f>VLOOKUP($A157,'Data Vlaue (Cr)'!$C:$FB,46)*100</f>
        <v>-14.219999999999999</v>
      </c>
      <c r="J157" s="51">
        <f>VLOOKUP($A157,'Data Vlaue (Cr)'!$C:$FB,59)</f>
        <v>713</v>
      </c>
      <c r="K157" s="51">
        <f>VLOOKUP($A157,'Data Vlaue (Cr)'!$C:$FB,60)</f>
        <v>808</v>
      </c>
      <c r="L157" s="51">
        <f>VLOOKUP($A157,'Data Vlaue (Cr)'!$C:$FB,62)*100</f>
        <v>-11.83</v>
      </c>
      <c r="M157" s="51">
        <f>VLOOKUP($A157,'Data Vlaue (Cr)'!$C:$FB,63)</f>
        <v>346</v>
      </c>
      <c r="N157" s="51">
        <f>VLOOKUP($A157,'Data Vlaue (Cr)'!$C:$FB,64)</f>
        <v>541</v>
      </c>
      <c r="O157" s="51">
        <f>VLOOKUP($A157,'Data Vlaue (Cr)'!$C:$FB,66)*100</f>
        <v>-36.090000000000003</v>
      </c>
    </row>
    <row r="158" spans="1:15" x14ac:dyDescent="0.25">
      <c r="A158" s="101" t="str">
        <f>'Data Vlaue (Cr)'!C153</f>
        <v>PAGEIND</v>
      </c>
      <c r="B158" s="50">
        <f>VLOOKUP($A158,'Data Vlaue (Cr)'!$C:$FB,8)</f>
        <v>35695</v>
      </c>
      <c r="C158" s="50">
        <f>VLOOKUP($A158,'Data Vlaue (Cr)'!$C:$FB,11)*100</f>
        <v>-1</v>
      </c>
      <c r="D158" s="50">
        <f>VLOOKUP($A158,'Data Vlaue (Cr)'!$C:$FB,143)</f>
        <v>1065.1099999999999</v>
      </c>
      <c r="E158" s="50">
        <f>VLOOKUP($A158,'Data Vlaue (Cr)'!$C:$FB,144)</f>
        <v>819.45</v>
      </c>
      <c r="F158" s="50">
        <f>VLOOKUP($A158,'Data Vlaue (Cr)'!$C:$FB,146)*100</f>
        <v>29.98</v>
      </c>
      <c r="G158" s="49">
        <f>VLOOKUP($A158,'Data Vlaue (Cr)'!$C:$FB,43)</f>
        <v>138</v>
      </c>
      <c r="H158" s="49">
        <f>VLOOKUP($A158,'Data Vlaue (Cr)'!$C:$FB,44)</f>
        <v>119</v>
      </c>
      <c r="I158" s="49">
        <f>VLOOKUP($A158,'Data Vlaue (Cr)'!$C:$FB,46)*100</f>
        <v>15.770000000000001</v>
      </c>
      <c r="J158" s="51">
        <f>VLOOKUP($A158,'Data Vlaue (Cr)'!$C:$FB,59)</f>
        <v>478</v>
      </c>
      <c r="K158" s="51">
        <f>VLOOKUP($A158,'Data Vlaue (Cr)'!$C:$FB,60)</f>
        <v>529</v>
      </c>
      <c r="L158" s="51">
        <f>VLOOKUP($A158,'Data Vlaue (Cr)'!$C:$FB,62)*100</f>
        <v>-9.629999999999999</v>
      </c>
      <c r="M158" s="51">
        <f>VLOOKUP($A158,'Data Vlaue (Cr)'!$C:$FB,63)</f>
        <v>463</v>
      </c>
      <c r="N158" s="51">
        <f>VLOOKUP($A158,'Data Vlaue (Cr)'!$C:$FB,64)</f>
        <v>127</v>
      </c>
      <c r="O158" s="51">
        <f>VLOOKUP($A158,'Data Vlaue (Cr)'!$C:$FB,66)*100</f>
        <v>263.56</v>
      </c>
    </row>
    <row r="159" spans="1:15" x14ac:dyDescent="0.25">
      <c r="A159" s="101" t="str">
        <f>'Data Vlaue (Cr)'!C154</f>
        <v>PATANJALI</v>
      </c>
      <c r="B159" s="50">
        <f>VLOOKUP($A159,'Data Vlaue (Cr)'!$C:$FB,8)</f>
        <v>550.29999999999995</v>
      </c>
      <c r="C159" s="50">
        <f>VLOOKUP($A159,'Data Vlaue (Cr)'!$C:$FB,11)*100</f>
        <v>1.18</v>
      </c>
      <c r="D159" s="50">
        <f>VLOOKUP($A159,'Data Vlaue (Cr)'!$C:$FB,143)</f>
        <v>2244.81</v>
      </c>
      <c r="E159" s="50">
        <f>VLOOKUP($A159,'Data Vlaue (Cr)'!$C:$FB,144)</f>
        <v>1344.58</v>
      </c>
      <c r="F159" s="50">
        <f>VLOOKUP($A159,'Data Vlaue (Cr)'!$C:$FB,146)*100</f>
        <v>66.95</v>
      </c>
      <c r="G159" s="49">
        <f>VLOOKUP($A159,'Data Vlaue (Cr)'!$C:$FB,43)</f>
        <v>607</v>
      </c>
      <c r="H159" s="49">
        <f>VLOOKUP($A159,'Data Vlaue (Cr)'!$C:$FB,44)</f>
        <v>518</v>
      </c>
      <c r="I159" s="49">
        <f>VLOOKUP($A159,'Data Vlaue (Cr)'!$C:$FB,46)*100</f>
        <v>17.190000000000001</v>
      </c>
      <c r="J159" s="51">
        <f>VLOOKUP($A159,'Data Vlaue (Cr)'!$C:$FB,59)</f>
        <v>1093</v>
      </c>
      <c r="K159" s="51">
        <f>VLOOKUP($A159,'Data Vlaue (Cr)'!$C:$FB,60)</f>
        <v>631</v>
      </c>
      <c r="L159" s="51">
        <f>VLOOKUP($A159,'Data Vlaue (Cr)'!$C:$FB,62)*100</f>
        <v>73.240000000000009</v>
      </c>
      <c r="M159" s="51">
        <f>VLOOKUP($A159,'Data Vlaue (Cr)'!$C:$FB,63)</f>
        <v>503</v>
      </c>
      <c r="N159" s="51">
        <f>VLOOKUP($A159,'Data Vlaue (Cr)'!$C:$FB,64)</f>
        <v>203</v>
      </c>
      <c r="O159" s="51">
        <f>VLOOKUP($A159,'Data Vlaue (Cr)'!$C:$FB,66)*100</f>
        <v>148.06</v>
      </c>
    </row>
    <row r="160" spans="1:15" x14ac:dyDescent="0.25">
      <c r="A160" s="101" t="str">
        <f>'Data Vlaue (Cr)'!C155</f>
        <v>PAYTM</v>
      </c>
      <c r="B160" s="50">
        <f>VLOOKUP($A160,'Data Vlaue (Cr)'!$C:$FB,8)</f>
        <v>1286.0999999999999</v>
      </c>
      <c r="C160" s="50">
        <f>VLOOKUP($A160,'Data Vlaue (Cr)'!$C:$FB,11)*100</f>
        <v>1.38</v>
      </c>
      <c r="D160" s="50">
        <f>VLOOKUP($A160,'Data Vlaue (Cr)'!$C:$FB,143)</f>
        <v>3651.7</v>
      </c>
      <c r="E160" s="50">
        <f>VLOOKUP($A160,'Data Vlaue (Cr)'!$C:$FB,144)</f>
        <v>2045.03</v>
      </c>
      <c r="F160" s="50">
        <f>VLOOKUP($A160,'Data Vlaue (Cr)'!$C:$FB,146)*100</f>
        <v>78.56</v>
      </c>
      <c r="G160" s="49">
        <f>VLOOKUP($A160,'Data Vlaue (Cr)'!$C:$FB,43)</f>
        <v>468</v>
      </c>
      <c r="H160" s="49">
        <f>VLOOKUP($A160,'Data Vlaue (Cr)'!$C:$FB,44)</f>
        <v>307</v>
      </c>
      <c r="I160" s="49">
        <f>VLOOKUP($A160,'Data Vlaue (Cr)'!$C:$FB,46)*100</f>
        <v>52.44</v>
      </c>
      <c r="J160" s="51">
        <f>VLOOKUP($A160,'Data Vlaue (Cr)'!$C:$FB,59)</f>
        <v>2156</v>
      </c>
      <c r="K160" s="51">
        <f>VLOOKUP($A160,'Data Vlaue (Cr)'!$C:$FB,60)</f>
        <v>1185</v>
      </c>
      <c r="L160" s="51">
        <f>VLOOKUP($A160,'Data Vlaue (Cr)'!$C:$FB,62)*100</f>
        <v>82.02000000000001</v>
      </c>
      <c r="M160" s="51">
        <f>VLOOKUP($A160,'Data Vlaue (Cr)'!$C:$FB,63)</f>
        <v>969</v>
      </c>
      <c r="N160" s="51">
        <f>VLOOKUP($A160,'Data Vlaue (Cr)'!$C:$FB,64)</f>
        <v>517</v>
      </c>
      <c r="O160" s="51">
        <f>VLOOKUP($A160,'Data Vlaue (Cr)'!$C:$FB,66)*100</f>
        <v>87.48</v>
      </c>
    </row>
    <row r="161" spans="1:15" x14ac:dyDescent="0.25">
      <c r="A161" s="101" t="str">
        <f>'Data Vlaue (Cr)'!C156</f>
        <v>PERSISTENT</v>
      </c>
      <c r="B161" s="50">
        <f>VLOOKUP($A161,'Data Vlaue (Cr)'!$C:$FB,8)</f>
        <v>6318.5</v>
      </c>
      <c r="C161" s="50">
        <f>VLOOKUP($A161,'Data Vlaue (Cr)'!$C:$FB,11)*100</f>
        <v>0.57000000000000006</v>
      </c>
      <c r="D161" s="50">
        <f>VLOOKUP($A161,'Data Vlaue (Cr)'!$C:$FB,143)</f>
        <v>1819.67</v>
      </c>
      <c r="E161" s="50">
        <f>VLOOKUP($A161,'Data Vlaue (Cr)'!$C:$FB,144)</f>
        <v>1489.25</v>
      </c>
      <c r="F161" s="50">
        <f>VLOOKUP($A161,'Data Vlaue (Cr)'!$C:$FB,146)*100</f>
        <v>22.189999999999998</v>
      </c>
      <c r="G161" s="49">
        <f>VLOOKUP($A161,'Data Vlaue (Cr)'!$C:$FB,43)</f>
        <v>287</v>
      </c>
      <c r="H161" s="49">
        <f>VLOOKUP($A161,'Data Vlaue (Cr)'!$C:$FB,44)</f>
        <v>229</v>
      </c>
      <c r="I161" s="49">
        <f>VLOOKUP($A161,'Data Vlaue (Cr)'!$C:$FB,46)*100</f>
        <v>25.240000000000002</v>
      </c>
      <c r="J161" s="51">
        <f>VLOOKUP($A161,'Data Vlaue (Cr)'!$C:$FB,59)</f>
        <v>1029</v>
      </c>
      <c r="K161" s="51">
        <f>VLOOKUP($A161,'Data Vlaue (Cr)'!$C:$FB,60)</f>
        <v>846</v>
      </c>
      <c r="L161" s="51">
        <f>VLOOKUP($A161,'Data Vlaue (Cr)'!$C:$FB,62)*100</f>
        <v>21.709999999999997</v>
      </c>
      <c r="M161" s="51">
        <f>VLOOKUP($A161,'Data Vlaue (Cr)'!$C:$FB,63)</f>
        <v>487</v>
      </c>
      <c r="N161" s="51">
        <f>VLOOKUP($A161,'Data Vlaue (Cr)'!$C:$FB,64)</f>
        <v>394</v>
      </c>
      <c r="O161" s="51">
        <f>VLOOKUP($A161,'Data Vlaue (Cr)'!$C:$FB,66)*100</f>
        <v>23.799999999999997</v>
      </c>
    </row>
    <row r="162" spans="1:15" x14ac:dyDescent="0.25">
      <c r="A162" s="101" t="str">
        <f>'Data Vlaue (Cr)'!C157</f>
        <v>PETRONET</v>
      </c>
      <c r="B162" s="50">
        <f>VLOOKUP($A162,'Data Vlaue (Cr)'!$C:$FB,8)</f>
        <v>268.8</v>
      </c>
      <c r="C162" s="50">
        <f>VLOOKUP($A162,'Data Vlaue (Cr)'!$C:$FB,11)*100</f>
        <v>0.06</v>
      </c>
      <c r="D162" s="50">
        <f>VLOOKUP($A162,'Data Vlaue (Cr)'!$C:$FB,143)</f>
        <v>321.36</v>
      </c>
      <c r="E162" s="50">
        <f>VLOOKUP($A162,'Data Vlaue (Cr)'!$C:$FB,144)</f>
        <v>355.83</v>
      </c>
      <c r="F162" s="50">
        <f>VLOOKUP($A162,'Data Vlaue (Cr)'!$C:$FB,146)*100</f>
        <v>-9.69</v>
      </c>
      <c r="G162" s="49">
        <f>VLOOKUP($A162,'Data Vlaue (Cr)'!$C:$FB,43)</f>
        <v>99</v>
      </c>
      <c r="H162" s="49">
        <f>VLOOKUP($A162,'Data Vlaue (Cr)'!$C:$FB,44)</f>
        <v>82</v>
      </c>
      <c r="I162" s="49">
        <f>VLOOKUP($A162,'Data Vlaue (Cr)'!$C:$FB,46)*100</f>
        <v>21.63</v>
      </c>
      <c r="J162" s="51">
        <f>VLOOKUP($A162,'Data Vlaue (Cr)'!$C:$FB,59)</f>
        <v>142</v>
      </c>
      <c r="K162" s="51">
        <f>VLOOKUP($A162,'Data Vlaue (Cr)'!$C:$FB,60)</f>
        <v>159</v>
      </c>
      <c r="L162" s="51">
        <f>VLOOKUP($A162,'Data Vlaue (Cr)'!$C:$FB,62)*100</f>
        <v>-10.639999999999999</v>
      </c>
      <c r="M162" s="51">
        <f>VLOOKUP($A162,'Data Vlaue (Cr)'!$C:$FB,63)</f>
        <v>74</v>
      </c>
      <c r="N162" s="51">
        <f>VLOOKUP($A162,'Data Vlaue (Cr)'!$C:$FB,64)</f>
        <v>111</v>
      </c>
      <c r="O162" s="51">
        <f>VLOOKUP($A162,'Data Vlaue (Cr)'!$C:$FB,66)*100</f>
        <v>-33.479999999999997</v>
      </c>
    </row>
    <row r="163" spans="1:15" x14ac:dyDescent="0.25">
      <c r="A163" s="101" t="str">
        <f>'Data Vlaue (Cr)'!C158</f>
        <v>PFC</v>
      </c>
      <c r="B163" s="50">
        <f>VLOOKUP($A163,'Data Vlaue (Cr)'!$C:$FB,8)</f>
        <v>335.05</v>
      </c>
      <c r="C163" s="50">
        <f>VLOOKUP($A163,'Data Vlaue (Cr)'!$C:$FB,11)*100</f>
        <v>-0.18</v>
      </c>
      <c r="D163" s="50">
        <f>VLOOKUP($A163,'Data Vlaue (Cr)'!$C:$FB,143)</f>
        <v>2399.0100000000002</v>
      </c>
      <c r="E163" s="50">
        <f>VLOOKUP($A163,'Data Vlaue (Cr)'!$C:$FB,144)</f>
        <v>1448.51</v>
      </c>
      <c r="F163" s="50">
        <f>VLOOKUP($A163,'Data Vlaue (Cr)'!$C:$FB,146)*100</f>
        <v>65.62</v>
      </c>
      <c r="G163" s="49">
        <f>VLOOKUP($A163,'Data Vlaue (Cr)'!$C:$FB,43)</f>
        <v>333</v>
      </c>
      <c r="H163" s="49">
        <f>VLOOKUP($A163,'Data Vlaue (Cr)'!$C:$FB,44)</f>
        <v>199</v>
      </c>
      <c r="I163" s="49">
        <f>VLOOKUP($A163,'Data Vlaue (Cr)'!$C:$FB,46)*100</f>
        <v>67.62</v>
      </c>
      <c r="J163" s="51">
        <f>VLOOKUP($A163,'Data Vlaue (Cr)'!$C:$FB,59)</f>
        <v>1419</v>
      </c>
      <c r="K163" s="51">
        <f>VLOOKUP($A163,'Data Vlaue (Cr)'!$C:$FB,60)</f>
        <v>867</v>
      </c>
      <c r="L163" s="51">
        <f>VLOOKUP($A163,'Data Vlaue (Cr)'!$C:$FB,62)*100</f>
        <v>63.62</v>
      </c>
      <c r="M163" s="51">
        <f>VLOOKUP($A163,'Data Vlaue (Cr)'!$C:$FB,63)</f>
        <v>576</v>
      </c>
      <c r="N163" s="51">
        <f>VLOOKUP($A163,'Data Vlaue (Cr)'!$C:$FB,64)</f>
        <v>329</v>
      </c>
      <c r="O163" s="51">
        <f>VLOOKUP($A163,'Data Vlaue (Cr)'!$C:$FB,66)*100</f>
        <v>74.900000000000006</v>
      </c>
    </row>
    <row r="164" spans="1:15" x14ac:dyDescent="0.25">
      <c r="A164" s="101" t="str">
        <f>'Data Vlaue (Cr)'!C159</f>
        <v>PGEL</v>
      </c>
      <c r="B164" s="50">
        <f>VLOOKUP($A164,'Data Vlaue (Cr)'!$C:$FB,8)</f>
        <v>566.35</v>
      </c>
      <c r="C164" s="50">
        <f>VLOOKUP($A164,'Data Vlaue (Cr)'!$C:$FB,11)*100</f>
        <v>0.45999999999999996</v>
      </c>
      <c r="D164" s="50">
        <f>VLOOKUP($A164,'Data Vlaue (Cr)'!$C:$FB,143)</f>
        <v>630.38</v>
      </c>
      <c r="E164" s="50">
        <f>VLOOKUP($A164,'Data Vlaue (Cr)'!$C:$FB,144)</f>
        <v>701.76</v>
      </c>
      <c r="F164" s="50">
        <f>VLOOKUP($A164,'Data Vlaue (Cr)'!$C:$FB,146)*100</f>
        <v>-10.17</v>
      </c>
      <c r="G164" s="49">
        <f>VLOOKUP($A164,'Data Vlaue (Cr)'!$C:$FB,43)</f>
        <v>120</v>
      </c>
      <c r="H164" s="49">
        <f>VLOOKUP($A164,'Data Vlaue (Cr)'!$C:$FB,44)</f>
        <v>83</v>
      </c>
      <c r="I164" s="49">
        <f>VLOOKUP($A164,'Data Vlaue (Cr)'!$C:$FB,46)*100</f>
        <v>44.71</v>
      </c>
      <c r="J164" s="51">
        <f>VLOOKUP($A164,'Data Vlaue (Cr)'!$C:$FB,59)</f>
        <v>354</v>
      </c>
      <c r="K164" s="51">
        <f>VLOOKUP($A164,'Data Vlaue (Cr)'!$C:$FB,60)</f>
        <v>421</v>
      </c>
      <c r="L164" s="51">
        <f>VLOOKUP($A164,'Data Vlaue (Cr)'!$C:$FB,62)*100</f>
        <v>-15.97</v>
      </c>
      <c r="M164" s="51">
        <f>VLOOKUP($A164,'Data Vlaue (Cr)'!$C:$FB,63)</f>
        <v>126</v>
      </c>
      <c r="N164" s="51">
        <f>VLOOKUP($A164,'Data Vlaue (Cr)'!$C:$FB,64)</f>
        <v>174</v>
      </c>
      <c r="O164" s="51">
        <f>VLOOKUP($A164,'Data Vlaue (Cr)'!$C:$FB,66)*100</f>
        <v>-27.57</v>
      </c>
    </row>
    <row r="165" spans="1:15" x14ac:dyDescent="0.25">
      <c r="A165" s="101" t="str">
        <f>'Data Vlaue (Cr)'!C160</f>
        <v>PHOENIXLTD</v>
      </c>
      <c r="B165" s="50">
        <f>VLOOKUP($A165,'Data Vlaue (Cr)'!$C:$FB,8)</f>
        <v>1798</v>
      </c>
      <c r="C165" s="50">
        <f>VLOOKUP($A165,'Data Vlaue (Cr)'!$C:$FB,11)*100</f>
        <v>0.92999999999999994</v>
      </c>
      <c r="D165" s="50">
        <f>VLOOKUP($A165,'Data Vlaue (Cr)'!$C:$FB,143)</f>
        <v>292.24</v>
      </c>
      <c r="E165" s="50">
        <f>VLOOKUP($A165,'Data Vlaue (Cr)'!$C:$FB,144)</f>
        <v>223.67</v>
      </c>
      <c r="F165" s="50">
        <f>VLOOKUP($A165,'Data Vlaue (Cr)'!$C:$FB,146)*100</f>
        <v>30.659999999999997</v>
      </c>
      <c r="G165" s="49">
        <f>VLOOKUP($A165,'Data Vlaue (Cr)'!$C:$FB,43)</f>
        <v>85</v>
      </c>
      <c r="H165" s="49">
        <f>VLOOKUP($A165,'Data Vlaue (Cr)'!$C:$FB,44)</f>
        <v>65</v>
      </c>
      <c r="I165" s="49">
        <f>VLOOKUP($A165,'Data Vlaue (Cr)'!$C:$FB,46)*100</f>
        <v>30.14</v>
      </c>
      <c r="J165" s="51">
        <f>VLOOKUP($A165,'Data Vlaue (Cr)'!$C:$FB,59)</f>
        <v>152</v>
      </c>
      <c r="K165" s="51">
        <f>VLOOKUP($A165,'Data Vlaue (Cr)'!$C:$FB,60)</f>
        <v>112</v>
      </c>
      <c r="L165" s="51">
        <f>VLOOKUP($A165,'Data Vlaue (Cr)'!$C:$FB,62)*100</f>
        <v>35.92</v>
      </c>
      <c r="M165" s="51">
        <f>VLOOKUP($A165,'Data Vlaue (Cr)'!$C:$FB,63)</f>
        <v>55</v>
      </c>
      <c r="N165" s="51">
        <f>VLOOKUP($A165,'Data Vlaue (Cr)'!$C:$FB,64)</f>
        <v>47</v>
      </c>
      <c r="O165" s="51">
        <f>VLOOKUP($A165,'Data Vlaue (Cr)'!$C:$FB,66)*100</f>
        <v>19.11</v>
      </c>
    </row>
    <row r="166" spans="1:15" x14ac:dyDescent="0.25">
      <c r="A166" s="101" t="str">
        <f>'Data Vlaue (Cr)'!C161</f>
        <v>PIDILITIND</v>
      </c>
      <c r="B166" s="50">
        <f>VLOOKUP($A166,'Data Vlaue (Cr)'!$C:$FB,8)</f>
        <v>1451.6</v>
      </c>
      <c r="C166" s="50">
        <f>VLOOKUP($A166,'Data Vlaue (Cr)'!$C:$FB,11)*100</f>
        <v>0.06</v>
      </c>
      <c r="D166" s="50">
        <f>VLOOKUP($A166,'Data Vlaue (Cr)'!$C:$FB,143)</f>
        <v>309.94</v>
      </c>
      <c r="E166" s="50">
        <f>VLOOKUP($A166,'Data Vlaue (Cr)'!$C:$FB,144)</f>
        <v>523.11</v>
      </c>
      <c r="F166" s="50">
        <f>VLOOKUP($A166,'Data Vlaue (Cr)'!$C:$FB,146)*100</f>
        <v>-40.75</v>
      </c>
      <c r="G166" s="49">
        <f>VLOOKUP($A166,'Data Vlaue (Cr)'!$C:$FB,43)</f>
        <v>144</v>
      </c>
      <c r="H166" s="49">
        <f>VLOOKUP($A166,'Data Vlaue (Cr)'!$C:$FB,44)</f>
        <v>205</v>
      </c>
      <c r="I166" s="49">
        <f>VLOOKUP($A166,'Data Vlaue (Cr)'!$C:$FB,46)*100</f>
        <v>-29.520000000000003</v>
      </c>
      <c r="J166" s="51">
        <f>VLOOKUP($A166,'Data Vlaue (Cr)'!$C:$FB,59)</f>
        <v>109</v>
      </c>
      <c r="K166" s="51">
        <f>VLOOKUP($A166,'Data Vlaue (Cr)'!$C:$FB,60)</f>
        <v>179</v>
      </c>
      <c r="L166" s="51">
        <f>VLOOKUP($A166,'Data Vlaue (Cr)'!$C:$FB,62)*100</f>
        <v>-39.11</v>
      </c>
      <c r="M166" s="51">
        <f>VLOOKUP($A166,'Data Vlaue (Cr)'!$C:$FB,63)</f>
        <v>54</v>
      </c>
      <c r="N166" s="51">
        <f>VLOOKUP($A166,'Data Vlaue (Cr)'!$C:$FB,64)</f>
        <v>134</v>
      </c>
      <c r="O166" s="51">
        <f>VLOOKUP($A166,'Data Vlaue (Cr)'!$C:$FB,66)*100</f>
        <v>-59.48</v>
      </c>
    </row>
    <row r="167" spans="1:15" x14ac:dyDescent="0.25">
      <c r="A167" s="101" t="str">
        <f>'Data Vlaue (Cr)'!C162</f>
        <v>PIIND</v>
      </c>
      <c r="B167" s="50">
        <f>VLOOKUP($A167,'Data Vlaue (Cr)'!$C:$FB,8)</f>
        <v>3213.8</v>
      </c>
      <c r="C167" s="50">
        <f>VLOOKUP($A167,'Data Vlaue (Cr)'!$C:$FB,11)*100</f>
        <v>0.24</v>
      </c>
      <c r="D167" s="50">
        <f>VLOOKUP($A167,'Data Vlaue (Cr)'!$C:$FB,143)</f>
        <v>448.62</v>
      </c>
      <c r="E167" s="50">
        <f>VLOOKUP($A167,'Data Vlaue (Cr)'!$C:$FB,144)</f>
        <v>585.48</v>
      </c>
      <c r="F167" s="50">
        <f>VLOOKUP($A167,'Data Vlaue (Cr)'!$C:$FB,146)*100</f>
        <v>-23.380000000000003</v>
      </c>
      <c r="G167" s="49">
        <f>VLOOKUP($A167,'Data Vlaue (Cr)'!$C:$FB,43)</f>
        <v>104</v>
      </c>
      <c r="H167" s="49">
        <f>VLOOKUP($A167,'Data Vlaue (Cr)'!$C:$FB,44)</f>
        <v>111</v>
      </c>
      <c r="I167" s="49">
        <f>VLOOKUP($A167,'Data Vlaue (Cr)'!$C:$FB,46)*100</f>
        <v>-5.82</v>
      </c>
      <c r="J167" s="51">
        <f>VLOOKUP($A167,'Data Vlaue (Cr)'!$C:$FB,59)</f>
        <v>192</v>
      </c>
      <c r="K167" s="51">
        <f>VLOOKUP($A167,'Data Vlaue (Cr)'!$C:$FB,60)</f>
        <v>279</v>
      </c>
      <c r="L167" s="51">
        <f>VLOOKUP($A167,'Data Vlaue (Cr)'!$C:$FB,62)*100</f>
        <v>-31.2</v>
      </c>
      <c r="M167" s="51">
        <f>VLOOKUP($A167,'Data Vlaue (Cr)'!$C:$FB,63)</f>
        <v>149</v>
      </c>
      <c r="N167" s="51">
        <f>VLOOKUP($A167,'Data Vlaue (Cr)'!$C:$FB,64)</f>
        <v>184</v>
      </c>
      <c r="O167" s="51">
        <f>VLOOKUP($A167,'Data Vlaue (Cr)'!$C:$FB,66)*100</f>
        <v>-19.07</v>
      </c>
    </row>
    <row r="168" spans="1:15" x14ac:dyDescent="0.25">
      <c r="A168" s="101" t="str">
        <f>'Data Vlaue (Cr)'!C163</f>
        <v>PNB</v>
      </c>
      <c r="B168" s="50">
        <f>VLOOKUP($A168,'Data Vlaue (Cr)'!$C:$FB,8)</f>
        <v>118.9</v>
      </c>
      <c r="C168" s="50">
        <f>VLOOKUP($A168,'Data Vlaue (Cr)'!$C:$FB,11)*100</f>
        <v>-0.36</v>
      </c>
      <c r="D168" s="50">
        <f>VLOOKUP($A168,'Data Vlaue (Cr)'!$C:$FB,143)</f>
        <v>2818.97</v>
      </c>
      <c r="E168" s="50">
        <f>VLOOKUP($A168,'Data Vlaue (Cr)'!$C:$FB,144)</f>
        <v>4105.92</v>
      </c>
      <c r="F168" s="50">
        <f>VLOOKUP($A168,'Data Vlaue (Cr)'!$C:$FB,146)*100</f>
        <v>-31.34</v>
      </c>
      <c r="G168" s="49">
        <f>VLOOKUP($A168,'Data Vlaue (Cr)'!$C:$FB,43)</f>
        <v>441</v>
      </c>
      <c r="H168" s="49">
        <f>VLOOKUP($A168,'Data Vlaue (Cr)'!$C:$FB,44)</f>
        <v>593</v>
      </c>
      <c r="I168" s="49">
        <f>VLOOKUP($A168,'Data Vlaue (Cr)'!$C:$FB,46)*100</f>
        <v>-25.66</v>
      </c>
      <c r="J168" s="51">
        <f>VLOOKUP($A168,'Data Vlaue (Cr)'!$C:$FB,59)</f>
        <v>1554</v>
      </c>
      <c r="K168" s="51">
        <f>VLOOKUP($A168,'Data Vlaue (Cr)'!$C:$FB,60)</f>
        <v>2413</v>
      </c>
      <c r="L168" s="51">
        <f>VLOOKUP($A168,'Data Vlaue (Cr)'!$C:$FB,62)*100</f>
        <v>-35.6</v>
      </c>
      <c r="M168" s="51">
        <f>VLOOKUP($A168,'Data Vlaue (Cr)'!$C:$FB,63)</f>
        <v>770</v>
      </c>
      <c r="N168" s="51">
        <f>VLOOKUP($A168,'Data Vlaue (Cr)'!$C:$FB,64)</f>
        <v>1011</v>
      </c>
      <c r="O168" s="51">
        <f>VLOOKUP($A168,'Data Vlaue (Cr)'!$C:$FB,66)*100</f>
        <v>-23.810000000000002</v>
      </c>
    </row>
    <row r="169" spans="1:15" x14ac:dyDescent="0.25">
      <c r="A169" s="101" t="str">
        <f>'Data Vlaue (Cr)'!C164</f>
        <v>PNBHOUSING</v>
      </c>
      <c r="B169" s="50">
        <f>VLOOKUP($A169,'Data Vlaue (Cr)'!$C:$FB,8)</f>
        <v>896.15</v>
      </c>
      <c r="C169" s="50">
        <f>VLOOKUP($A169,'Data Vlaue (Cr)'!$C:$FB,11)*100</f>
        <v>0.15</v>
      </c>
      <c r="D169" s="50">
        <f>VLOOKUP($A169,'Data Vlaue (Cr)'!$C:$FB,143)</f>
        <v>1230.33</v>
      </c>
      <c r="E169" s="50">
        <f>VLOOKUP($A169,'Data Vlaue (Cr)'!$C:$FB,144)</f>
        <v>993.76</v>
      </c>
      <c r="F169" s="50">
        <f>VLOOKUP($A169,'Data Vlaue (Cr)'!$C:$FB,146)*100</f>
        <v>23.810000000000002</v>
      </c>
      <c r="G169" s="49">
        <f>VLOOKUP($A169,'Data Vlaue (Cr)'!$C:$FB,43)</f>
        <v>199</v>
      </c>
      <c r="H169" s="49">
        <f>VLOOKUP($A169,'Data Vlaue (Cr)'!$C:$FB,44)</f>
        <v>153</v>
      </c>
      <c r="I169" s="49">
        <f>VLOOKUP($A169,'Data Vlaue (Cr)'!$C:$FB,46)*100</f>
        <v>29.87</v>
      </c>
      <c r="J169" s="51">
        <f>VLOOKUP($A169,'Data Vlaue (Cr)'!$C:$FB,59)</f>
        <v>658</v>
      </c>
      <c r="K169" s="51">
        <f>VLOOKUP($A169,'Data Vlaue (Cr)'!$C:$FB,60)</f>
        <v>543</v>
      </c>
      <c r="L169" s="51">
        <f>VLOOKUP($A169,'Data Vlaue (Cr)'!$C:$FB,62)*100</f>
        <v>21.099999999999998</v>
      </c>
      <c r="M169" s="51">
        <f>VLOOKUP($A169,'Data Vlaue (Cr)'!$C:$FB,63)</f>
        <v>349</v>
      </c>
      <c r="N169" s="51">
        <f>VLOOKUP($A169,'Data Vlaue (Cr)'!$C:$FB,64)</f>
        <v>264</v>
      </c>
      <c r="O169" s="51">
        <f>VLOOKUP($A169,'Data Vlaue (Cr)'!$C:$FB,66)*100</f>
        <v>32.29</v>
      </c>
    </row>
    <row r="170" spans="1:15" x14ac:dyDescent="0.25">
      <c r="A170" s="101" t="str">
        <f>'Data Vlaue (Cr)'!C165</f>
        <v>POLICYBZR</v>
      </c>
      <c r="B170" s="50">
        <f>VLOOKUP($A170,'Data Vlaue (Cr)'!$C:$FB,8)</f>
        <v>1834.4</v>
      </c>
      <c r="C170" s="50">
        <f>VLOOKUP($A170,'Data Vlaue (Cr)'!$C:$FB,11)*100</f>
        <v>3.93</v>
      </c>
      <c r="D170" s="50">
        <f>VLOOKUP($A170,'Data Vlaue (Cr)'!$C:$FB,143)</f>
        <v>2667.95</v>
      </c>
      <c r="E170" s="50">
        <f>VLOOKUP($A170,'Data Vlaue (Cr)'!$C:$FB,144)</f>
        <v>4441.38</v>
      </c>
      <c r="F170" s="50">
        <f>VLOOKUP($A170,'Data Vlaue (Cr)'!$C:$FB,146)*100</f>
        <v>-39.93</v>
      </c>
      <c r="G170" s="49">
        <f>VLOOKUP($A170,'Data Vlaue (Cr)'!$C:$FB,43)</f>
        <v>282</v>
      </c>
      <c r="H170" s="49">
        <f>VLOOKUP($A170,'Data Vlaue (Cr)'!$C:$FB,44)</f>
        <v>544</v>
      </c>
      <c r="I170" s="49">
        <f>VLOOKUP($A170,'Data Vlaue (Cr)'!$C:$FB,46)*100</f>
        <v>-48.209999999999994</v>
      </c>
      <c r="J170" s="51">
        <f>VLOOKUP($A170,'Data Vlaue (Cr)'!$C:$FB,59)</f>
        <v>1483</v>
      </c>
      <c r="K170" s="51">
        <f>VLOOKUP($A170,'Data Vlaue (Cr)'!$C:$FB,60)</f>
        <v>1855</v>
      </c>
      <c r="L170" s="51">
        <f>VLOOKUP($A170,'Data Vlaue (Cr)'!$C:$FB,62)*100</f>
        <v>-20.059999999999999</v>
      </c>
      <c r="M170" s="51">
        <f>VLOOKUP($A170,'Data Vlaue (Cr)'!$C:$FB,63)</f>
        <v>896</v>
      </c>
      <c r="N170" s="51">
        <f>VLOOKUP($A170,'Data Vlaue (Cr)'!$C:$FB,64)</f>
        <v>2053</v>
      </c>
      <c r="O170" s="51">
        <f>VLOOKUP($A170,'Data Vlaue (Cr)'!$C:$FB,66)*100</f>
        <v>-56.34</v>
      </c>
    </row>
    <row r="171" spans="1:15" x14ac:dyDescent="0.25">
      <c r="A171" s="101" t="str">
        <f>'Data Vlaue (Cr)'!C166</f>
        <v>POLYCAB</v>
      </c>
      <c r="B171" s="50">
        <f>VLOOKUP($A171,'Data Vlaue (Cr)'!$C:$FB,8)</f>
        <v>7099</v>
      </c>
      <c r="C171" s="50">
        <f>VLOOKUP($A171,'Data Vlaue (Cr)'!$C:$FB,11)*100</f>
        <v>0.27999999999999997</v>
      </c>
      <c r="D171" s="50">
        <f>VLOOKUP($A171,'Data Vlaue (Cr)'!$C:$FB,143)</f>
        <v>2563.9</v>
      </c>
      <c r="E171" s="50">
        <f>VLOOKUP($A171,'Data Vlaue (Cr)'!$C:$FB,144)</f>
        <v>8065.68</v>
      </c>
      <c r="F171" s="50">
        <f>VLOOKUP($A171,'Data Vlaue (Cr)'!$C:$FB,146)*100</f>
        <v>-68.210000000000008</v>
      </c>
      <c r="G171" s="49">
        <f>VLOOKUP($A171,'Data Vlaue (Cr)'!$C:$FB,43)</f>
        <v>312</v>
      </c>
      <c r="H171" s="49">
        <f>VLOOKUP($A171,'Data Vlaue (Cr)'!$C:$FB,44)</f>
        <v>819</v>
      </c>
      <c r="I171" s="49">
        <f>VLOOKUP($A171,'Data Vlaue (Cr)'!$C:$FB,46)*100</f>
        <v>-61.9</v>
      </c>
      <c r="J171" s="51">
        <f>VLOOKUP($A171,'Data Vlaue (Cr)'!$C:$FB,59)</f>
        <v>1240</v>
      </c>
      <c r="K171" s="51">
        <f>VLOOKUP($A171,'Data Vlaue (Cr)'!$C:$FB,60)</f>
        <v>3237</v>
      </c>
      <c r="L171" s="51">
        <f>VLOOKUP($A171,'Data Vlaue (Cr)'!$C:$FB,62)*100</f>
        <v>-61.69</v>
      </c>
      <c r="M171" s="51">
        <f>VLOOKUP($A171,'Data Vlaue (Cr)'!$C:$FB,63)</f>
        <v>988</v>
      </c>
      <c r="N171" s="51">
        <f>VLOOKUP($A171,'Data Vlaue (Cr)'!$C:$FB,64)</f>
        <v>3916</v>
      </c>
      <c r="O171" s="51">
        <f>VLOOKUP($A171,'Data Vlaue (Cr)'!$C:$FB,66)*100</f>
        <v>-74.77000000000001</v>
      </c>
    </row>
    <row r="172" spans="1:15" x14ac:dyDescent="0.25">
      <c r="A172" s="101" t="str">
        <f>'Data Vlaue (Cr)'!C167</f>
        <v>POWERGRID</v>
      </c>
      <c r="B172" s="50">
        <f>VLOOKUP($A172,'Data Vlaue (Cr)'!$C:$FB,8)</f>
        <v>257.95</v>
      </c>
      <c r="C172" s="50">
        <f>VLOOKUP($A172,'Data Vlaue (Cr)'!$C:$FB,11)*100</f>
        <v>-1.21</v>
      </c>
      <c r="D172" s="50">
        <f>VLOOKUP($A172,'Data Vlaue (Cr)'!$C:$FB,143)</f>
        <v>1729.45</v>
      </c>
      <c r="E172" s="50">
        <f>VLOOKUP($A172,'Data Vlaue (Cr)'!$C:$FB,144)</f>
        <v>769.21</v>
      </c>
      <c r="F172" s="50">
        <f>VLOOKUP($A172,'Data Vlaue (Cr)'!$C:$FB,146)*100</f>
        <v>124.83</v>
      </c>
      <c r="G172" s="49">
        <f>VLOOKUP($A172,'Data Vlaue (Cr)'!$C:$FB,43)</f>
        <v>483</v>
      </c>
      <c r="H172" s="49">
        <f>VLOOKUP($A172,'Data Vlaue (Cr)'!$C:$FB,44)</f>
        <v>192</v>
      </c>
      <c r="I172" s="49">
        <f>VLOOKUP($A172,'Data Vlaue (Cr)'!$C:$FB,46)*100</f>
        <v>151.54000000000002</v>
      </c>
      <c r="J172" s="51">
        <f>VLOOKUP($A172,'Data Vlaue (Cr)'!$C:$FB,59)</f>
        <v>813</v>
      </c>
      <c r="K172" s="51">
        <f>VLOOKUP($A172,'Data Vlaue (Cr)'!$C:$FB,60)</f>
        <v>412</v>
      </c>
      <c r="L172" s="51">
        <f>VLOOKUP($A172,'Data Vlaue (Cr)'!$C:$FB,62)*100</f>
        <v>97.31</v>
      </c>
      <c r="M172" s="51">
        <f>VLOOKUP($A172,'Data Vlaue (Cr)'!$C:$FB,63)</f>
        <v>405</v>
      </c>
      <c r="N172" s="51">
        <f>VLOOKUP($A172,'Data Vlaue (Cr)'!$C:$FB,64)</f>
        <v>142</v>
      </c>
      <c r="O172" s="51">
        <f>VLOOKUP($A172,'Data Vlaue (Cr)'!$C:$FB,66)*100</f>
        <v>184.02</v>
      </c>
    </row>
    <row r="173" spans="1:15" x14ac:dyDescent="0.25">
      <c r="A173" s="101" t="str">
        <f>'Data Vlaue (Cr)'!C168</f>
        <v>POWERINDIA</v>
      </c>
      <c r="B173" s="50">
        <f>VLOOKUP($A173,'Data Vlaue (Cr)'!$C:$FB,8)</f>
        <v>18160</v>
      </c>
      <c r="C173" s="50">
        <f>VLOOKUP($A173,'Data Vlaue (Cr)'!$C:$FB,11)*100</f>
        <v>-5.17</v>
      </c>
      <c r="D173" s="50">
        <f>VLOOKUP($A173,'Data Vlaue (Cr)'!$C:$FB,143)</f>
        <v>5898.63</v>
      </c>
      <c r="E173" s="50">
        <f>VLOOKUP($A173,'Data Vlaue (Cr)'!$C:$FB,144)</f>
        <v>1266.33</v>
      </c>
      <c r="F173" s="50">
        <f>VLOOKUP($A173,'Data Vlaue (Cr)'!$C:$FB,146)*100</f>
        <v>365.8</v>
      </c>
      <c r="G173" s="49">
        <f>VLOOKUP($A173,'Data Vlaue (Cr)'!$C:$FB,43)</f>
        <v>312</v>
      </c>
      <c r="H173" s="49">
        <f>VLOOKUP($A173,'Data Vlaue (Cr)'!$C:$FB,44)</f>
        <v>120</v>
      </c>
      <c r="I173" s="49">
        <f>VLOOKUP($A173,'Data Vlaue (Cr)'!$C:$FB,46)*100</f>
        <v>161.31</v>
      </c>
      <c r="J173" s="51">
        <f>VLOOKUP($A173,'Data Vlaue (Cr)'!$C:$FB,59)</f>
        <v>2921</v>
      </c>
      <c r="K173" s="51">
        <f>VLOOKUP($A173,'Data Vlaue (Cr)'!$C:$FB,60)</f>
        <v>780</v>
      </c>
      <c r="L173" s="51">
        <f>VLOOKUP($A173,'Data Vlaue (Cr)'!$C:$FB,62)*100</f>
        <v>274.25</v>
      </c>
      <c r="M173" s="51">
        <f>VLOOKUP($A173,'Data Vlaue (Cr)'!$C:$FB,63)</f>
        <v>2298</v>
      </c>
      <c r="N173" s="51">
        <f>VLOOKUP($A173,'Data Vlaue (Cr)'!$C:$FB,64)</f>
        <v>217</v>
      </c>
      <c r="O173" s="51">
        <f>VLOOKUP($A173,'Data Vlaue (Cr)'!$C:$FB,66)*100</f>
        <v>960.95</v>
      </c>
    </row>
    <row r="174" spans="1:15" x14ac:dyDescent="0.25">
      <c r="A174" s="101" t="str">
        <f>'Data Vlaue (Cr)'!C169</f>
        <v>PPLPHARMA</v>
      </c>
      <c r="B174" s="50">
        <f>VLOOKUP($A174,'Data Vlaue (Cr)'!$C:$FB,8)</f>
        <v>166.52</v>
      </c>
      <c r="C174" s="50">
        <f>VLOOKUP($A174,'Data Vlaue (Cr)'!$C:$FB,11)*100</f>
        <v>-0.82000000000000006</v>
      </c>
      <c r="D174" s="50">
        <f>VLOOKUP($A174,'Data Vlaue (Cr)'!$C:$FB,143)</f>
        <v>292.39999999999998</v>
      </c>
      <c r="E174" s="50">
        <f>VLOOKUP($A174,'Data Vlaue (Cr)'!$C:$FB,144)</f>
        <v>271.62</v>
      </c>
      <c r="F174" s="50">
        <f>VLOOKUP($A174,'Data Vlaue (Cr)'!$C:$FB,146)*100</f>
        <v>7.6499999999999995</v>
      </c>
      <c r="G174" s="49">
        <f>VLOOKUP($A174,'Data Vlaue (Cr)'!$C:$FB,43)</f>
        <v>63</v>
      </c>
      <c r="H174" s="49">
        <f>VLOOKUP($A174,'Data Vlaue (Cr)'!$C:$FB,44)</f>
        <v>67</v>
      </c>
      <c r="I174" s="49">
        <f>VLOOKUP($A174,'Data Vlaue (Cr)'!$C:$FB,46)*100</f>
        <v>-5.75</v>
      </c>
      <c r="J174" s="51">
        <f>VLOOKUP($A174,'Data Vlaue (Cr)'!$C:$FB,59)</f>
        <v>171</v>
      </c>
      <c r="K174" s="51">
        <f>VLOOKUP($A174,'Data Vlaue (Cr)'!$C:$FB,60)</f>
        <v>136</v>
      </c>
      <c r="L174" s="51">
        <f>VLOOKUP($A174,'Data Vlaue (Cr)'!$C:$FB,62)*100</f>
        <v>25.380000000000003</v>
      </c>
      <c r="M174" s="51">
        <f>VLOOKUP($A174,'Data Vlaue (Cr)'!$C:$FB,63)</f>
        <v>45</v>
      </c>
      <c r="N174" s="51">
        <f>VLOOKUP($A174,'Data Vlaue (Cr)'!$C:$FB,64)</f>
        <v>54</v>
      </c>
      <c r="O174" s="51">
        <f>VLOOKUP($A174,'Data Vlaue (Cr)'!$C:$FB,66)*100</f>
        <v>-16.420000000000002</v>
      </c>
    </row>
    <row r="175" spans="1:15" x14ac:dyDescent="0.25">
      <c r="A175" s="101" t="str">
        <f>'Data Vlaue (Cr)'!C170</f>
        <v>PRESTIGE</v>
      </c>
      <c r="B175" s="50">
        <f>VLOOKUP($A175,'Data Vlaue (Cr)'!$C:$FB,8)</f>
        <v>1600.2</v>
      </c>
      <c r="C175" s="50">
        <f>VLOOKUP($A175,'Data Vlaue (Cr)'!$C:$FB,11)*100</f>
        <v>-0.44999999999999996</v>
      </c>
      <c r="D175" s="50">
        <f>VLOOKUP($A175,'Data Vlaue (Cr)'!$C:$FB,143)</f>
        <v>429.37</v>
      </c>
      <c r="E175" s="50">
        <f>VLOOKUP($A175,'Data Vlaue (Cr)'!$C:$FB,144)</f>
        <v>293.98</v>
      </c>
      <c r="F175" s="50">
        <f>VLOOKUP($A175,'Data Vlaue (Cr)'!$C:$FB,146)*100</f>
        <v>46.06</v>
      </c>
      <c r="G175" s="49">
        <f>VLOOKUP($A175,'Data Vlaue (Cr)'!$C:$FB,43)</f>
        <v>104</v>
      </c>
      <c r="H175" s="49">
        <f>VLOOKUP($A175,'Data Vlaue (Cr)'!$C:$FB,44)</f>
        <v>61</v>
      </c>
      <c r="I175" s="49">
        <f>VLOOKUP($A175,'Data Vlaue (Cr)'!$C:$FB,46)*100</f>
        <v>69.66</v>
      </c>
      <c r="J175" s="51">
        <f>VLOOKUP($A175,'Data Vlaue (Cr)'!$C:$FB,59)</f>
        <v>222</v>
      </c>
      <c r="K175" s="51">
        <f>VLOOKUP($A175,'Data Vlaue (Cr)'!$C:$FB,60)</f>
        <v>147</v>
      </c>
      <c r="L175" s="51">
        <f>VLOOKUP($A175,'Data Vlaue (Cr)'!$C:$FB,62)*100</f>
        <v>50.470000000000006</v>
      </c>
      <c r="M175" s="51">
        <f>VLOOKUP($A175,'Data Vlaue (Cr)'!$C:$FB,63)</f>
        <v>91</v>
      </c>
      <c r="N175" s="51">
        <f>VLOOKUP($A175,'Data Vlaue (Cr)'!$C:$FB,64)</f>
        <v>75</v>
      </c>
      <c r="O175" s="51">
        <f>VLOOKUP($A175,'Data Vlaue (Cr)'!$C:$FB,66)*100</f>
        <v>21.52</v>
      </c>
    </row>
    <row r="176" spans="1:15" x14ac:dyDescent="0.25">
      <c r="A176" s="101" t="str">
        <f>'Data Vlaue (Cr)'!C171</f>
        <v>RBLBANK</v>
      </c>
      <c r="B176" s="50">
        <f>VLOOKUP($A176,'Data Vlaue (Cr)'!$C:$FB,8)</f>
        <v>298.75</v>
      </c>
      <c r="C176" s="50">
        <f>VLOOKUP($A176,'Data Vlaue (Cr)'!$C:$FB,11)*100</f>
        <v>0.61</v>
      </c>
      <c r="D176" s="50">
        <f>VLOOKUP($A176,'Data Vlaue (Cr)'!$C:$FB,143)</f>
        <v>690.45</v>
      </c>
      <c r="E176" s="50">
        <f>VLOOKUP($A176,'Data Vlaue (Cr)'!$C:$FB,144)</f>
        <v>1379.03</v>
      </c>
      <c r="F176" s="50">
        <f>VLOOKUP($A176,'Data Vlaue (Cr)'!$C:$FB,146)*100</f>
        <v>-49.93</v>
      </c>
      <c r="G176" s="49">
        <f>VLOOKUP($A176,'Data Vlaue (Cr)'!$C:$FB,43)</f>
        <v>245</v>
      </c>
      <c r="H176" s="49">
        <f>VLOOKUP($A176,'Data Vlaue (Cr)'!$C:$FB,44)</f>
        <v>474</v>
      </c>
      <c r="I176" s="49">
        <f>VLOOKUP($A176,'Data Vlaue (Cr)'!$C:$FB,46)*100</f>
        <v>-48.22</v>
      </c>
      <c r="J176" s="51">
        <f>VLOOKUP($A176,'Data Vlaue (Cr)'!$C:$FB,59)</f>
        <v>291</v>
      </c>
      <c r="K176" s="51">
        <f>VLOOKUP($A176,'Data Vlaue (Cr)'!$C:$FB,60)</f>
        <v>451</v>
      </c>
      <c r="L176" s="51">
        <f>VLOOKUP($A176,'Data Vlaue (Cr)'!$C:$FB,62)*100</f>
        <v>-35.4</v>
      </c>
      <c r="M176" s="51">
        <f>VLOOKUP($A176,'Data Vlaue (Cr)'!$C:$FB,63)</f>
        <v>142</v>
      </c>
      <c r="N176" s="51">
        <f>VLOOKUP($A176,'Data Vlaue (Cr)'!$C:$FB,64)</f>
        <v>437</v>
      </c>
      <c r="O176" s="51">
        <f>VLOOKUP($A176,'Data Vlaue (Cr)'!$C:$FB,66)*100</f>
        <v>-67.41</v>
      </c>
    </row>
    <row r="177" spans="1:15" x14ac:dyDescent="0.25">
      <c r="A177" s="101" t="str">
        <f>'Data Vlaue (Cr)'!C172</f>
        <v>RECLTD</v>
      </c>
      <c r="B177" s="50">
        <f>VLOOKUP($A177,'Data Vlaue (Cr)'!$C:$FB,8)</f>
        <v>337</v>
      </c>
      <c r="C177" s="50">
        <f>VLOOKUP($A177,'Data Vlaue (Cr)'!$C:$FB,11)*100</f>
        <v>0.91</v>
      </c>
      <c r="D177" s="50">
        <f>VLOOKUP($A177,'Data Vlaue (Cr)'!$C:$FB,143)</f>
        <v>1840.91</v>
      </c>
      <c r="E177" s="50">
        <f>VLOOKUP($A177,'Data Vlaue (Cr)'!$C:$FB,144)</f>
        <v>1841.39</v>
      </c>
      <c r="F177" s="50">
        <f>VLOOKUP($A177,'Data Vlaue (Cr)'!$C:$FB,146)*100</f>
        <v>-0.03</v>
      </c>
      <c r="G177" s="49">
        <f>VLOOKUP($A177,'Data Vlaue (Cr)'!$C:$FB,43)</f>
        <v>266</v>
      </c>
      <c r="H177" s="49">
        <f>VLOOKUP($A177,'Data Vlaue (Cr)'!$C:$FB,44)</f>
        <v>237</v>
      </c>
      <c r="I177" s="49">
        <f>VLOOKUP($A177,'Data Vlaue (Cr)'!$C:$FB,46)*100</f>
        <v>12.139999999999999</v>
      </c>
      <c r="J177" s="51">
        <f>VLOOKUP($A177,'Data Vlaue (Cr)'!$C:$FB,59)</f>
        <v>1073</v>
      </c>
      <c r="K177" s="51">
        <f>VLOOKUP($A177,'Data Vlaue (Cr)'!$C:$FB,60)</f>
        <v>1055</v>
      </c>
      <c r="L177" s="51">
        <f>VLOOKUP($A177,'Data Vlaue (Cr)'!$C:$FB,62)*100</f>
        <v>1.71</v>
      </c>
      <c r="M177" s="51">
        <f>VLOOKUP($A177,'Data Vlaue (Cr)'!$C:$FB,63)</f>
        <v>448</v>
      </c>
      <c r="N177" s="51">
        <f>VLOOKUP($A177,'Data Vlaue (Cr)'!$C:$FB,64)</f>
        <v>478</v>
      </c>
      <c r="O177" s="51">
        <f>VLOOKUP($A177,'Data Vlaue (Cr)'!$C:$FB,66)*100</f>
        <v>-6.22</v>
      </c>
    </row>
    <row r="178" spans="1:15" x14ac:dyDescent="0.25">
      <c r="A178" s="101" t="str">
        <f>'Data Vlaue (Cr)'!C173</f>
        <v>RELIANCE</v>
      </c>
      <c r="B178" s="50">
        <f>VLOOKUP($A178,'Data Vlaue (Cr)'!$C:$FB,8)</f>
        <v>1544.4</v>
      </c>
      <c r="C178" s="50">
        <f>VLOOKUP($A178,'Data Vlaue (Cr)'!$C:$FB,11)*100</f>
        <v>0</v>
      </c>
      <c r="D178" s="50">
        <f>VLOOKUP($A178,'Data Vlaue (Cr)'!$C:$FB,143)</f>
        <v>12630.72</v>
      </c>
      <c r="E178" s="50">
        <f>VLOOKUP($A178,'Data Vlaue (Cr)'!$C:$FB,144)</f>
        <v>9554.7900000000009</v>
      </c>
      <c r="F178" s="50">
        <f>VLOOKUP($A178,'Data Vlaue (Cr)'!$C:$FB,146)*100</f>
        <v>32.190000000000005</v>
      </c>
      <c r="G178" s="49">
        <f>VLOOKUP($A178,'Data Vlaue (Cr)'!$C:$FB,43)</f>
        <v>2313</v>
      </c>
      <c r="H178" s="49">
        <f>VLOOKUP($A178,'Data Vlaue (Cr)'!$C:$FB,44)</f>
        <v>1171</v>
      </c>
      <c r="I178" s="49">
        <f>VLOOKUP($A178,'Data Vlaue (Cr)'!$C:$FB,46)*100</f>
        <v>97.570000000000007</v>
      </c>
      <c r="J178" s="51">
        <f>VLOOKUP($A178,'Data Vlaue (Cr)'!$C:$FB,59)</f>
        <v>6440</v>
      </c>
      <c r="K178" s="51">
        <f>VLOOKUP($A178,'Data Vlaue (Cr)'!$C:$FB,60)</f>
        <v>5158</v>
      </c>
      <c r="L178" s="51">
        <f>VLOOKUP($A178,'Data Vlaue (Cr)'!$C:$FB,62)*100</f>
        <v>24.85</v>
      </c>
      <c r="M178" s="51">
        <f>VLOOKUP($A178,'Data Vlaue (Cr)'!$C:$FB,63)</f>
        <v>3752</v>
      </c>
      <c r="N178" s="51">
        <f>VLOOKUP($A178,'Data Vlaue (Cr)'!$C:$FB,64)</f>
        <v>3130</v>
      </c>
      <c r="O178" s="51">
        <f>VLOOKUP($A178,'Data Vlaue (Cr)'!$C:$FB,66)*100</f>
        <v>19.869999999999997</v>
      </c>
    </row>
    <row r="179" spans="1:15" x14ac:dyDescent="0.25">
      <c r="A179" s="101" t="str">
        <f>'Data Vlaue (Cr)'!C174</f>
        <v>RVNL</v>
      </c>
      <c r="B179" s="50">
        <f>VLOOKUP($A179,'Data Vlaue (Cr)'!$C:$FB,8)</f>
        <v>305.95</v>
      </c>
      <c r="C179" s="50">
        <f>VLOOKUP($A179,'Data Vlaue (Cr)'!$C:$FB,11)*100</f>
        <v>-0.42</v>
      </c>
      <c r="D179" s="50">
        <f>VLOOKUP($A179,'Data Vlaue (Cr)'!$C:$FB,143)</f>
        <v>518.78</v>
      </c>
      <c r="E179" s="50">
        <f>VLOOKUP($A179,'Data Vlaue (Cr)'!$C:$FB,144)</f>
        <v>501.18</v>
      </c>
      <c r="F179" s="50">
        <f>VLOOKUP($A179,'Data Vlaue (Cr)'!$C:$FB,146)*100</f>
        <v>3.51</v>
      </c>
      <c r="G179" s="49">
        <f>VLOOKUP($A179,'Data Vlaue (Cr)'!$C:$FB,43)</f>
        <v>135</v>
      </c>
      <c r="H179" s="49">
        <f>VLOOKUP($A179,'Data Vlaue (Cr)'!$C:$FB,44)</f>
        <v>135</v>
      </c>
      <c r="I179" s="49">
        <f>VLOOKUP($A179,'Data Vlaue (Cr)'!$C:$FB,46)*100</f>
        <v>-0.09</v>
      </c>
      <c r="J179" s="51">
        <f>VLOOKUP($A179,'Data Vlaue (Cr)'!$C:$FB,59)</f>
        <v>282</v>
      </c>
      <c r="K179" s="51">
        <f>VLOOKUP($A179,'Data Vlaue (Cr)'!$C:$FB,60)</f>
        <v>277</v>
      </c>
      <c r="L179" s="51">
        <f>VLOOKUP($A179,'Data Vlaue (Cr)'!$C:$FB,62)*100</f>
        <v>1.87</v>
      </c>
      <c r="M179" s="51">
        <f>VLOOKUP($A179,'Data Vlaue (Cr)'!$C:$FB,63)</f>
        <v>77</v>
      </c>
      <c r="N179" s="51">
        <f>VLOOKUP($A179,'Data Vlaue (Cr)'!$C:$FB,64)</f>
        <v>61</v>
      </c>
      <c r="O179" s="51">
        <f>VLOOKUP($A179,'Data Vlaue (Cr)'!$C:$FB,66)*100</f>
        <v>27.250000000000004</v>
      </c>
    </row>
    <row r="180" spans="1:15" x14ac:dyDescent="0.25">
      <c r="A180" s="101" t="str">
        <f>'Data Vlaue (Cr)'!C175</f>
        <v>SAIL</v>
      </c>
      <c r="B180" s="50">
        <f>VLOOKUP($A180,'Data Vlaue (Cr)'!$C:$FB,8)</f>
        <v>127.27</v>
      </c>
      <c r="C180" s="50">
        <f>VLOOKUP($A180,'Data Vlaue (Cr)'!$C:$FB,11)*100</f>
        <v>-2.25</v>
      </c>
      <c r="D180" s="50">
        <f>VLOOKUP($A180,'Data Vlaue (Cr)'!$C:$FB,143)</f>
        <v>1177.32</v>
      </c>
      <c r="E180" s="50">
        <f>VLOOKUP($A180,'Data Vlaue (Cr)'!$C:$FB,144)</f>
        <v>568.70000000000005</v>
      </c>
      <c r="F180" s="50">
        <f>VLOOKUP($A180,'Data Vlaue (Cr)'!$C:$FB,146)*100</f>
        <v>107.02000000000001</v>
      </c>
      <c r="G180" s="49">
        <f>VLOOKUP($A180,'Data Vlaue (Cr)'!$C:$FB,43)</f>
        <v>297</v>
      </c>
      <c r="H180" s="49">
        <f>VLOOKUP($A180,'Data Vlaue (Cr)'!$C:$FB,44)</f>
        <v>181</v>
      </c>
      <c r="I180" s="49">
        <f>VLOOKUP($A180,'Data Vlaue (Cr)'!$C:$FB,46)*100</f>
        <v>64.070000000000007</v>
      </c>
      <c r="J180" s="51">
        <f>VLOOKUP($A180,'Data Vlaue (Cr)'!$C:$FB,59)</f>
        <v>571</v>
      </c>
      <c r="K180" s="51">
        <f>VLOOKUP($A180,'Data Vlaue (Cr)'!$C:$FB,60)</f>
        <v>276</v>
      </c>
      <c r="L180" s="51">
        <f>VLOOKUP($A180,'Data Vlaue (Cr)'!$C:$FB,62)*100</f>
        <v>106.91</v>
      </c>
      <c r="M180" s="51">
        <f>VLOOKUP($A180,'Data Vlaue (Cr)'!$C:$FB,63)</f>
        <v>268</v>
      </c>
      <c r="N180" s="51">
        <f>VLOOKUP($A180,'Data Vlaue (Cr)'!$C:$FB,64)</f>
        <v>85</v>
      </c>
      <c r="O180" s="51">
        <f>VLOOKUP($A180,'Data Vlaue (Cr)'!$C:$FB,66)*100</f>
        <v>214.41</v>
      </c>
    </row>
    <row r="181" spans="1:15" x14ac:dyDescent="0.25">
      <c r="A181" s="101" t="str">
        <f>'Data Vlaue (Cr)'!C176</f>
        <v>SAMMAANCAP</v>
      </c>
      <c r="B181" s="50">
        <f>VLOOKUP($A181,'Data Vlaue (Cr)'!$C:$FB,8)</f>
        <v>143.47999999999999</v>
      </c>
      <c r="C181" s="50">
        <f>VLOOKUP($A181,'Data Vlaue (Cr)'!$C:$FB,11)*100</f>
        <v>-1.58</v>
      </c>
      <c r="D181" s="50">
        <f>VLOOKUP($A181,'Data Vlaue (Cr)'!$C:$FB,143)</f>
        <v>4207.01</v>
      </c>
      <c r="E181" s="50">
        <f>VLOOKUP($A181,'Data Vlaue (Cr)'!$C:$FB,144)</f>
        <v>6455.2</v>
      </c>
      <c r="F181" s="50">
        <f>VLOOKUP($A181,'Data Vlaue (Cr)'!$C:$FB,146)*100</f>
        <v>-34.83</v>
      </c>
      <c r="G181" s="49">
        <f>VLOOKUP($A181,'Data Vlaue (Cr)'!$C:$FB,43)</f>
        <v>785</v>
      </c>
      <c r="H181" s="49">
        <f>VLOOKUP($A181,'Data Vlaue (Cr)'!$C:$FB,44)</f>
        <v>1181</v>
      </c>
      <c r="I181" s="49">
        <f>VLOOKUP($A181,'Data Vlaue (Cr)'!$C:$FB,46)*100</f>
        <v>-33.51</v>
      </c>
      <c r="J181" s="51">
        <f>VLOOKUP($A181,'Data Vlaue (Cr)'!$C:$FB,59)</f>
        <v>1685</v>
      </c>
      <c r="K181" s="51">
        <f>VLOOKUP($A181,'Data Vlaue (Cr)'!$C:$FB,60)</f>
        <v>3098</v>
      </c>
      <c r="L181" s="51">
        <f>VLOOKUP($A181,'Data Vlaue (Cr)'!$C:$FB,62)*100</f>
        <v>-45.61</v>
      </c>
      <c r="M181" s="51">
        <f>VLOOKUP($A181,'Data Vlaue (Cr)'!$C:$FB,63)</f>
        <v>1673</v>
      </c>
      <c r="N181" s="51">
        <f>VLOOKUP($A181,'Data Vlaue (Cr)'!$C:$FB,64)</f>
        <v>1757</v>
      </c>
      <c r="O181" s="51">
        <f>VLOOKUP($A181,'Data Vlaue (Cr)'!$C:$FB,66)*100</f>
        <v>-4.79</v>
      </c>
    </row>
    <row r="182" spans="1:15" x14ac:dyDescent="0.25">
      <c r="A182" s="101" t="str">
        <f>'Data Vlaue (Cr)'!C177</f>
        <v>SBICARD</v>
      </c>
      <c r="B182" s="50">
        <f>VLOOKUP($A182,'Data Vlaue (Cr)'!$C:$FB,8)</f>
        <v>848.15</v>
      </c>
      <c r="C182" s="50">
        <f>VLOOKUP($A182,'Data Vlaue (Cr)'!$C:$FB,11)*100</f>
        <v>1.6500000000000001</v>
      </c>
      <c r="D182" s="50">
        <f>VLOOKUP($A182,'Data Vlaue (Cr)'!$C:$FB,143)</f>
        <v>1541.09</v>
      </c>
      <c r="E182" s="50">
        <f>VLOOKUP($A182,'Data Vlaue (Cr)'!$C:$FB,144)</f>
        <v>1391.32</v>
      </c>
      <c r="F182" s="50">
        <f>VLOOKUP($A182,'Data Vlaue (Cr)'!$C:$FB,146)*100</f>
        <v>10.76</v>
      </c>
      <c r="G182" s="49">
        <f>VLOOKUP($A182,'Data Vlaue (Cr)'!$C:$FB,43)</f>
        <v>248</v>
      </c>
      <c r="H182" s="49">
        <f>VLOOKUP($A182,'Data Vlaue (Cr)'!$C:$FB,44)</f>
        <v>210</v>
      </c>
      <c r="I182" s="49">
        <f>VLOOKUP($A182,'Data Vlaue (Cr)'!$C:$FB,46)*100</f>
        <v>18.440000000000001</v>
      </c>
      <c r="J182" s="51">
        <f>VLOOKUP($A182,'Data Vlaue (Cr)'!$C:$FB,59)</f>
        <v>836</v>
      </c>
      <c r="K182" s="51">
        <f>VLOOKUP($A182,'Data Vlaue (Cr)'!$C:$FB,60)</f>
        <v>616</v>
      </c>
      <c r="L182" s="51">
        <f>VLOOKUP($A182,'Data Vlaue (Cr)'!$C:$FB,62)*100</f>
        <v>35.630000000000003</v>
      </c>
      <c r="M182" s="51">
        <f>VLOOKUP($A182,'Data Vlaue (Cr)'!$C:$FB,63)</f>
        <v>436</v>
      </c>
      <c r="N182" s="51">
        <f>VLOOKUP($A182,'Data Vlaue (Cr)'!$C:$FB,64)</f>
        <v>550</v>
      </c>
      <c r="O182" s="51">
        <f>VLOOKUP($A182,'Data Vlaue (Cr)'!$C:$FB,66)*100</f>
        <v>-20.79</v>
      </c>
    </row>
    <row r="183" spans="1:15" x14ac:dyDescent="0.25">
      <c r="A183" s="101" t="str">
        <f>'Data Vlaue (Cr)'!C178</f>
        <v>SBILIFE</v>
      </c>
      <c r="B183" s="50">
        <f>VLOOKUP($A183,'Data Vlaue (Cr)'!$C:$FB,8)</f>
        <v>2014.4</v>
      </c>
      <c r="C183" s="50">
        <f>VLOOKUP($A183,'Data Vlaue (Cr)'!$C:$FB,11)*100</f>
        <v>0.21</v>
      </c>
      <c r="D183" s="50">
        <f>VLOOKUP($A183,'Data Vlaue (Cr)'!$C:$FB,143)</f>
        <v>913.14</v>
      </c>
      <c r="E183" s="50">
        <f>VLOOKUP($A183,'Data Vlaue (Cr)'!$C:$FB,144)</f>
        <v>2721.98</v>
      </c>
      <c r="F183" s="50">
        <f>VLOOKUP($A183,'Data Vlaue (Cr)'!$C:$FB,146)*100</f>
        <v>-66.45</v>
      </c>
      <c r="G183" s="49">
        <f>VLOOKUP($A183,'Data Vlaue (Cr)'!$C:$FB,43)</f>
        <v>178</v>
      </c>
      <c r="H183" s="49">
        <f>VLOOKUP($A183,'Data Vlaue (Cr)'!$C:$FB,44)</f>
        <v>308</v>
      </c>
      <c r="I183" s="49">
        <f>VLOOKUP($A183,'Data Vlaue (Cr)'!$C:$FB,46)*100</f>
        <v>-42.22</v>
      </c>
      <c r="J183" s="51">
        <f>VLOOKUP($A183,'Data Vlaue (Cr)'!$C:$FB,59)</f>
        <v>498</v>
      </c>
      <c r="K183" s="51">
        <f>VLOOKUP($A183,'Data Vlaue (Cr)'!$C:$FB,60)</f>
        <v>1180</v>
      </c>
      <c r="L183" s="51">
        <f>VLOOKUP($A183,'Data Vlaue (Cr)'!$C:$FB,62)*100</f>
        <v>-57.75</v>
      </c>
      <c r="M183" s="51">
        <f>VLOOKUP($A183,'Data Vlaue (Cr)'!$C:$FB,63)</f>
        <v>228</v>
      </c>
      <c r="N183" s="51">
        <f>VLOOKUP($A183,'Data Vlaue (Cr)'!$C:$FB,64)</f>
        <v>1206</v>
      </c>
      <c r="O183" s="51">
        <f>VLOOKUP($A183,'Data Vlaue (Cr)'!$C:$FB,66)*100</f>
        <v>-81.11</v>
      </c>
    </row>
    <row r="184" spans="1:15" x14ac:dyDescent="0.25">
      <c r="A184" s="101" t="str">
        <f>'Data Vlaue (Cr)'!C179</f>
        <v>SBIN</v>
      </c>
      <c r="B184" s="50">
        <f>VLOOKUP($A184,'Data Vlaue (Cr)'!$C:$FB,8)</f>
        <v>977.55</v>
      </c>
      <c r="C184" s="50">
        <f>VLOOKUP($A184,'Data Vlaue (Cr)'!$C:$FB,11)*100</f>
        <v>0.16999999999999998</v>
      </c>
      <c r="D184" s="50">
        <f>VLOOKUP($A184,'Data Vlaue (Cr)'!$C:$FB,143)</f>
        <v>10830.64</v>
      </c>
      <c r="E184" s="50">
        <f>VLOOKUP($A184,'Data Vlaue (Cr)'!$C:$FB,144)</f>
        <v>18087.89</v>
      </c>
      <c r="F184" s="50">
        <f>VLOOKUP($A184,'Data Vlaue (Cr)'!$C:$FB,146)*100</f>
        <v>-40.119999999999997</v>
      </c>
      <c r="G184" s="49">
        <f>VLOOKUP($A184,'Data Vlaue (Cr)'!$C:$FB,43)</f>
        <v>1294</v>
      </c>
      <c r="H184" s="49">
        <f>VLOOKUP($A184,'Data Vlaue (Cr)'!$C:$FB,44)</f>
        <v>1762</v>
      </c>
      <c r="I184" s="49">
        <f>VLOOKUP($A184,'Data Vlaue (Cr)'!$C:$FB,46)*100</f>
        <v>-26.590000000000003</v>
      </c>
      <c r="J184" s="51">
        <f>VLOOKUP($A184,'Data Vlaue (Cr)'!$C:$FB,59)</f>
        <v>5739</v>
      </c>
      <c r="K184" s="51">
        <f>VLOOKUP($A184,'Data Vlaue (Cr)'!$C:$FB,60)</f>
        <v>10197</v>
      </c>
      <c r="L184" s="51">
        <f>VLOOKUP($A184,'Data Vlaue (Cr)'!$C:$FB,62)*100</f>
        <v>-43.72</v>
      </c>
      <c r="M184" s="51">
        <f>VLOOKUP($A184,'Data Vlaue (Cr)'!$C:$FB,63)</f>
        <v>3700</v>
      </c>
      <c r="N184" s="51">
        <f>VLOOKUP($A184,'Data Vlaue (Cr)'!$C:$FB,64)</f>
        <v>6008</v>
      </c>
      <c r="O184" s="51">
        <f>VLOOKUP($A184,'Data Vlaue (Cr)'!$C:$FB,66)*100</f>
        <v>-38.409999999999997</v>
      </c>
    </row>
    <row r="185" spans="1:15" x14ac:dyDescent="0.25">
      <c r="A185" s="101" t="str">
        <f>'Data Vlaue (Cr)'!C180</f>
        <v>SHREECEM</v>
      </c>
      <c r="B185" s="50">
        <f>VLOOKUP($A185,'Data Vlaue (Cr)'!$C:$FB,8)</f>
        <v>25645</v>
      </c>
      <c r="C185" s="50">
        <f>VLOOKUP($A185,'Data Vlaue (Cr)'!$C:$FB,11)*100</f>
        <v>-1.54</v>
      </c>
      <c r="D185" s="50">
        <f>VLOOKUP($A185,'Data Vlaue (Cr)'!$C:$FB,143)</f>
        <v>608.51</v>
      </c>
      <c r="E185" s="50">
        <f>VLOOKUP($A185,'Data Vlaue (Cr)'!$C:$FB,144)</f>
        <v>456.95</v>
      </c>
      <c r="F185" s="50">
        <f>VLOOKUP($A185,'Data Vlaue (Cr)'!$C:$FB,146)*100</f>
        <v>33.17</v>
      </c>
      <c r="G185" s="49">
        <f>VLOOKUP($A185,'Data Vlaue (Cr)'!$C:$FB,43)</f>
        <v>163</v>
      </c>
      <c r="H185" s="49">
        <f>VLOOKUP($A185,'Data Vlaue (Cr)'!$C:$FB,44)</f>
        <v>97</v>
      </c>
      <c r="I185" s="49">
        <f>VLOOKUP($A185,'Data Vlaue (Cr)'!$C:$FB,46)*100</f>
        <v>68.589999999999989</v>
      </c>
      <c r="J185" s="51">
        <f>VLOOKUP($A185,'Data Vlaue (Cr)'!$C:$FB,59)</f>
        <v>336</v>
      </c>
      <c r="K185" s="51">
        <f>VLOOKUP($A185,'Data Vlaue (Cr)'!$C:$FB,60)</f>
        <v>285</v>
      </c>
      <c r="L185" s="51">
        <f>VLOOKUP($A185,'Data Vlaue (Cr)'!$C:$FB,62)*100</f>
        <v>17.66</v>
      </c>
      <c r="M185" s="51">
        <f>VLOOKUP($A185,'Data Vlaue (Cr)'!$C:$FB,63)</f>
        <v>89</v>
      </c>
      <c r="N185" s="51">
        <f>VLOOKUP($A185,'Data Vlaue (Cr)'!$C:$FB,64)</f>
        <v>53</v>
      </c>
      <c r="O185" s="51">
        <f>VLOOKUP($A185,'Data Vlaue (Cr)'!$C:$FB,66)*100</f>
        <v>68.300000000000011</v>
      </c>
    </row>
    <row r="186" spans="1:15" x14ac:dyDescent="0.25">
      <c r="A186" s="101" t="str">
        <f>'Data Vlaue (Cr)'!C181</f>
        <v>SHRIRAMFIN</v>
      </c>
      <c r="B186" s="50">
        <f>VLOOKUP($A186,'Data Vlaue (Cr)'!$C:$FB,8)</f>
        <v>869.45</v>
      </c>
      <c r="C186" s="50">
        <f>VLOOKUP($A186,'Data Vlaue (Cr)'!$C:$FB,11)*100</f>
        <v>0.61</v>
      </c>
      <c r="D186" s="50">
        <f>VLOOKUP($A186,'Data Vlaue (Cr)'!$C:$FB,143)</f>
        <v>6764.27</v>
      </c>
      <c r="E186" s="50">
        <f>VLOOKUP($A186,'Data Vlaue (Cr)'!$C:$FB,144)</f>
        <v>10662.94</v>
      </c>
      <c r="F186" s="50">
        <f>VLOOKUP($A186,'Data Vlaue (Cr)'!$C:$FB,146)*100</f>
        <v>-36.559999999999995</v>
      </c>
      <c r="G186" s="49">
        <f>VLOOKUP($A186,'Data Vlaue (Cr)'!$C:$FB,43)</f>
        <v>1282</v>
      </c>
      <c r="H186" s="49">
        <f>VLOOKUP($A186,'Data Vlaue (Cr)'!$C:$FB,44)</f>
        <v>1316</v>
      </c>
      <c r="I186" s="49">
        <f>VLOOKUP($A186,'Data Vlaue (Cr)'!$C:$FB,46)*100</f>
        <v>-2.65</v>
      </c>
      <c r="J186" s="51">
        <f>VLOOKUP($A186,'Data Vlaue (Cr)'!$C:$FB,59)</f>
        <v>3442</v>
      </c>
      <c r="K186" s="51">
        <f>VLOOKUP($A186,'Data Vlaue (Cr)'!$C:$FB,60)</f>
        <v>6768</v>
      </c>
      <c r="L186" s="51">
        <f>VLOOKUP($A186,'Data Vlaue (Cr)'!$C:$FB,62)*100</f>
        <v>-49.15</v>
      </c>
      <c r="M186" s="51">
        <f>VLOOKUP($A186,'Data Vlaue (Cr)'!$C:$FB,63)</f>
        <v>1927</v>
      </c>
      <c r="N186" s="51">
        <f>VLOOKUP($A186,'Data Vlaue (Cr)'!$C:$FB,64)</f>
        <v>2371</v>
      </c>
      <c r="O186" s="51">
        <f>VLOOKUP($A186,'Data Vlaue (Cr)'!$C:$FB,66)*100</f>
        <v>-18.7</v>
      </c>
    </row>
    <row r="187" spans="1:15" x14ac:dyDescent="0.25">
      <c r="A187" s="101" t="str">
        <f>'Data Vlaue (Cr)'!C182</f>
        <v>SIEMENS</v>
      </c>
      <c r="B187" s="50">
        <f>VLOOKUP($A187,'Data Vlaue (Cr)'!$C:$FB,8)</f>
        <v>3074</v>
      </c>
      <c r="C187" s="50">
        <f>VLOOKUP($A187,'Data Vlaue (Cr)'!$C:$FB,11)*100</f>
        <v>-2.11</v>
      </c>
      <c r="D187" s="50">
        <f>VLOOKUP($A187,'Data Vlaue (Cr)'!$C:$FB,143)</f>
        <v>2309.61</v>
      </c>
      <c r="E187" s="50">
        <f>VLOOKUP($A187,'Data Vlaue (Cr)'!$C:$FB,144)</f>
        <v>764.53</v>
      </c>
      <c r="F187" s="50">
        <f>VLOOKUP($A187,'Data Vlaue (Cr)'!$C:$FB,146)*100</f>
        <v>202.1</v>
      </c>
      <c r="G187" s="49">
        <f>VLOOKUP($A187,'Data Vlaue (Cr)'!$C:$FB,43)</f>
        <v>185</v>
      </c>
      <c r="H187" s="49">
        <f>VLOOKUP($A187,'Data Vlaue (Cr)'!$C:$FB,44)</f>
        <v>95</v>
      </c>
      <c r="I187" s="49">
        <f>VLOOKUP($A187,'Data Vlaue (Cr)'!$C:$FB,46)*100</f>
        <v>94.31</v>
      </c>
      <c r="J187" s="51">
        <f>VLOOKUP($A187,'Data Vlaue (Cr)'!$C:$FB,59)</f>
        <v>1278</v>
      </c>
      <c r="K187" s="51">
        <f>VLOOKUP($A187,'Data Vlaue (Cr)'!$C:$FB,60)</f>
        <v>448</v>
      </c>
      <c r="L187" s="51">
        <f>VLOOKUP($A187,'Data Vlaue (Cr)'!$C:$FB,62)*100</f>
        <v>185.25</v>
      </c>
      <c r="M187" s="51">
        <f>VLOOKUP($A187,'Data Vlaue (Cr)'!$C:$FB,63)</f>
        <v>754</v>
      </c>
      <c r="N187" s="51">
        <f>VLOOKUP($A187,'Data Vlaue (Cr)'!$C:$FB,64)</f>
        <v>180</v>
      </c>
      <c r="O187" s="51">
        <f>VLOOKUP($A187,'Data Vlaue (Cr)'!$C:$FB,66)*100</f>
        <v>318.19</v>
      </c>
    </row>
    <row r="188" spans="1:15" x14ac:dyDescent="0.25">
      <c r="A188" s="101" t="str">
        <f>'Data Vlaue (Cr)'!C183</f>
        <v>SOLARINDS</v>
      </c>
      <c r="B188" s="50">
        <f>VLOOKUP($A188,'Data Vlaue (Cr)'!$C:$FB,8)</f>
        <v>11772</v>
      </c>
      <c r="C188" s="50">
        <f>VLOOKUP($A188,'Data Vlaue (Cr)'!$C:$FB,11)*100</f>
        <v>-0.36</v>
      </c>
      <c r="D188" s="50">
        <f>VLOOKUP($A188,'Data Vlaue (Cr)'!$C:$FB,143)</f>
        <v>1533.46</v>
      </c>
      <c r="E188" s="50">
        <f>VLOOKUP($A188,'Data Vlaue (Cr)'!$C:$FB,144)</f>
        <v>1429.62</v>
      </c>
      <c r="F188" s="50">
        <f>VLOOKUP($A188,'Data Vlaue (Cr)'!$C:$FB,146)*100</f>
        <v>7.26</v>
      </c>
      <c r="G188" s="49">
        <f>VLOOKUP($A188,'Data Vlaue (Cr)'!$C:$FB,43)</f>
        <v>208</v>
      </c>
      <c r="H188" s="49">
        <f>VLOOKUP($A188,'Data Vlaue (Cr)'!$C:$FB,44)</f>
        <v>144</v>
      </c>
      <c r="I188" s="49">
        <f>VLOOKUP($A188,'Data Vlaue (Cr)'!$C:$FB,46)*100</f>
        <v>43.93</v>
      </c>
      <c r="J188" s="51">
        <f>VLOOKUP($A188,'Data Vlaue (Cr)'!$C:$FB,59)</f>
        <v>821</v>
      </c>
      <c r="K188" s="51">
        <f>VLOOKUP($A188,'Data Vlaue (Cr)'!$C:$FB,60)</f>
        <v>760</v>
      </c>
      <c r="L188" s="51">
        <f>VLOOKUP($A188,'Data Vlaue (Cr)'!$C:$FB,62)*100</f>
        <v>8.06</v>
      </c>
      <c r="M188" s="51">
        <f>VLOOKUP($A188,'Data Vlaue (Cr)'!$C:$FB,63)</f>
        <v>478</v>
      </c>
      <c r="N188" s="51">
        <f>VLOOKUP($A188,'Data Vlaue (Cr)'!$C:$FB,64)</f>
        <v>478</v>
      </c>
      <c r="O188" s="51">
        <f>VLOOKUP($A188,'Data Vlaue (Cr)'!$C:$FB,66)*100</f>
        <v>-0.02</v>
      </c>
    </row>
    <row r="189" spans="1:15" x14ac:dyDescent="0.25">
      <c r="A189" s="101" t="str">
        <f>'Data Vlaue (Cr)'!C215</f>
        <v>ZYDUSLIFE</v>
      </c>
      <c r="B189" s="50">
        <f>VLOOKUP($A189,'Data Vlaue (Cr)'!$C:$FB,8)</f>
        <v>913.65</v>
      </c>
      <c r="C189" s="50">
        <f>VLOOKUP($A189,'Data Vlaue (Cr)'!$C:$FB,11)*100</f>
        <v>-0.48</v>
      </c>
      <c r="D189" s="50">
        <f>VLOOKUP($A189,'Data Vlaue (Cr)'!$C:$FB,143)</f>
        <v>370.2</v>
      </c>
      <c r="E189" s="50">
        <f>VLOOKUP($A189,'Data Vlaue (Cr)'!$C:$FB,144)</f>
        <v>295.63</v>
      </c>
      <c r="F189" s="50">
        <f>VLOOKUP($A189,'Data Vlaue (Cr)'!$C:$FB,146)*100</f>
        <v>25.22</v>
      </c>
      <c r="G189" s="49">
        <f>VLOOKUP($A189,'Data Vlaue (Cr)'!$C:$FB,43)</f>
        <v>96</v>
      </c>
      <c r="H189" s="49">
        <f>VLOOKUP($A189,'Data Vlaue (Cr)'!$C:$FB,44)</f>
        <v>78</v>
      </c>
      <c r="I189" s="49">
        <f>VLOOKUP($A189,'Data Vlaue (Cr)'!$C:$FB,46)*100</f>
        <v>24.15</v>
      </c>
      <c r="J189" s="51">
        <f>VLOOKUP($A189,'Data Vlaue (Cr)'!$C:$FB,59)</f>
        <v>192</v>
      </c>
      <c r="K189" s="51">
        <f>VLOOKUP($A189,'Data Vlaue (Cr)'!$C:$FB,60)</f>
        <v>162</v>
      </c>
      <c r="L189" s="51">
        <f>VLOOKUP($A189,'Data Vlaue (Cr)'!$C:$FB,62)*100</f>
        <v>18.240000000000002</v>
      </c>
      <c r="M189" s="51">
        <f>VLOOKUP($A189,'Data Vlaue (Cr)'!$C:$FB,63)</f>
        <v>77</v>
      </c>
      <c r="N189" s="51">
        <f>VLOOKUP($A189,'Data Vlaue (Cr)'!$C:$FB,64)</f>
        <v>49</v>
      </c>
      <c r="O189" s="51">
        <f>VLOOKUP($A189,'Data Vlaue (Cr)'!$C:$FB,66)*100</f>
        <v>55.179999999999993</v>
      </c>
    </row>
    <row r="190" spans="1:15" x14ac:dyDescent="0.25">
      <c r="A190" s="101"/>
      <c r="B190" s="50"/>
      <c r="C190" s="50"/>
      <c r="D190" s="50"/>
      <c r="E190" s="50"/>
      <c r="F190" s="50"/>
      <c r="G190" s="49"/>
      <c r="H190" s="49"/>
      <c r="I190" s="49"/>
      <c r="J190" s="51"/>
      <c r="K190" s="51"/>
      <c r="L190" s="51"/>
      <c r="M190" s="51"/>
      <c r="N190" s="51"/>
      <c r="O190" s="51"/>
    </row>
    <row r="191" spans="1:15" x14ac:dyDescent="0.25">
      <c r="A191" s="101"/>
      <c r="B191" s="50"/>
      <c r="C191" s="50"/>
      <c r="D191" s="50"/>
      <c r="E191" s="50"/>
      <c r="F191" s="50"/>
      <c r="G191" s="49"/>
      <c r="H191" s="49"/>
      <c r="I191" s="49"/>
      <c r="J191" s="51"/>
      <c r="K191" s="51"/>
      <c r="L191" s="51"/>
      <c r="M191" s="51"/>
      <c r="N191" s="51"/>
      <c r="O191" s="51"/>
    </row>
    <row r="192" spans="1:15" x14ac:dyDescent="0.25">
      <c r="A192" s="101"/>
      <c r="B192" s="50"/>
      <c r="C192" s="50"/>
      <c r="D192" s="50"/>
      <c r="E192" s="50"/>
      <c r="F192" s="50"/>
      <c r="G192" s="49"/>
      <c r="H192" s="49"/>
      <c r="I192" s="49"/>
      <c r="J192" s="51"/>
      <c r="K192" s="51"/>
      <c r="L192" s="51"/>
      <c r="M192" s="51"/>
      <c r="N192" s="51"/>
      <c r="O192" s="51"/>
    </row>
    <row r="193" spans="1:15" x14ac:dyDescent="0.25">
      <c r="A193" s="101"/>
      <c r="B193" s="50"/>
      <c r="C193" s="50"/>
      <c r="D193" s="50"/>
      <c r="E193" s="50"/>
      <c r="F193" s="50"/>
      <c r="G193" s="49"/>
      <c r="H193" s="49"/>
      <c r="I193" s="49"/>
      <c r="J193" s="51"/>
      <c r="K193" s="51"/>
      <c r="L193" s="51"/>
      <c r="M193" s="51"/>
      <c r="N193" s="51"/>
      <c r="O193" s="51"/>
    </row>
    <row r="194" spans="1:15" x14ac:dyDescent="0.25">
      <c r="A194" s="101"/>
      <c r="B194" s="50"/>
      <c r="C194" s="50"/>
      <c r="D194" s="50"/>
      <c r="E194" s="50"/>
      <c r="F194" s="50"/>
      <c r="G194" s="49"/>
      <c r="H194" s="49"/>
      <c r="I194" s="49"/>
      <c r="J194" s="51"/>
      <c r="K194" s="51"/>
      <c r="L194" s="51"/>
      <c r="M194" s="51"/>
      <c r="N194" s="51"/>
      <c r="O194" s="51"/>
    </row>
    <row r="195" spans="1:15" x14ac:dyDescent="0.25">
      <c r="A195" s="101"/>
      <c r="B195" s="50"/>
      <c r="C195" s="50"/>
      <c r="D195" s="50"/>
      <c r="E195" s="50"/>
      <c r="F195" s="50"/>
      <c r="G195" s="49"/>
      <c r="H195" s="49"/>
      <c r="I195" s="49"/>
      <c r="J195" s="51"/>
      <c r="K195" s="51"/>
      <c r="L195" s="51"/>
      <c r="M195" s="51"/>
      <c r="N195" s="51"/>
      <c r="O195" s="51"/>
    </row>
    <row r="196" spans="1:15" x14ac:dyDescent="0.25">
      <c r="A196" s="101"/>
      <c r="B196" s="50"/>
      <c r="C196" s="50"/>
      <c r="D196" s="50"/>
      <c r="E196" s="50"/>
      <c r="F196" s="50"/>
      <c r="G196" s="49"/>
      <c r="H196" s="49"/>
      <c r="I196" s="49"/>
      <c r="J196" s="51"/>
      <c r="K196" s="51"/>
      <c r="L196" s="51"/>
      <c r="M196" s="51"/>
      <c r="N196" s="51"/>
      <c r="O196" s="51"/>
    </row>
    <row r="197" spans="1:15" x14ac:dyDescent="0.25">
      <c r="A197" s="101"/>
      <c r="B197" s="50"/>
      <c r="C197" s="50"/>
      <c r="D197" s="50"/>
      <c r="E197" s="50"/>
      <c r="F197" s="50"/>
      <c r="G197" s="49"/>
      <c r="H197" s="49"/>
      <c r="I197" s="49"/>
      <c r="J197" s="51"/>
      <c r="K197" s="51"/>
      <c r="L197" s="51"/>
      <c r="M197" s="51"/>
      <c r="N197" s="51"/>
      <c r="O197" s="51"/>
    </row>
    <row r="198" spans="1:15" x14ac:dyDescent="0.25">
      <c r="A198" s="101"/>
      <c r="B198" s="50"/>
      <c r="C198" s="50"/>
      <c r="D198" s="50"/>
      <c r="E198" s="50"/>
      <c r="F198" s="50"/>
      <c r="G198" s="49"/>
      <c r="H198" s="49"/>
      <c r="I198" s="49"/>
      <c r="J198" s="51"/>
      <c r="K198" s="51"/>
      <c r="L198" s="51"/>
      <c r="M198" s="51"/>
      <c r="N198" s="51"/>
      <c r="O198" s="51"/>
    </row>
    <row r="199" spans="1:15" x14ac:dyDescent="0.25">
      <c r="A199" s="101"/>
      <c r="B199" s="50"/>
      <c r="C199" s="50"/>
      <c r="D199" s="50"/>
      <c r="E199" s="50"/>
      <c r="F199" s="50"/>
      <c r="G199" s="49"/>
      <c r="H199" s="49"/>
      <c r="I199" s="49"/>
      <c r="J199" s="51"/>
      <c r="K199" s="51"/>
      <c r="L199" s="51"/>
      <c r="M199" s="51"/>
      <c r="N199" s="51"/>
      <c r="O199" s="51"/>
    </row>
    <row r="200" spans="1:15" x14ac:dyDescent="0.25">
      <c r="A200" s="101"/>
      <c r="B200" s="50"/>
      <c r="C200" s="50"/>
      <c r="D200" s="50"/>
      <c r="E200" s="50"/>
      <c r="F200" s="50"/>
      <c r="G200" s="49"/>
      <c r="H200" s="49"/>
      <c r="I200" s="49"/>
      <c r="J200" s="51"/>
      <c r="K200" s="51"/>
      <c r="L200" s="51"/>
      <c r="M200" s="51"/>
      <c r="N200" s="51"/>
      <c r="O200" s="51"/>
    </row>
    <row r="201" spans="1:15" x14ac:dyDescent="0.25">
      <c r="A201" s="101"/>
      <c r="B201" s="50"/>
      <c r="C201" s="50"/>
      <c r="D201" s="50"/>
      <c r="E201" s="50"/>
      <c r="F201" s="50"/>
      <c r="G201" s="49"/>
      <c r="H201" s="49"/>
      <c r="I201" s="49"/>
      <c r="J201" s="51"/>
      <c r="K201" s="51"/>
      <c r="L201" s="51"/>
      <c r="M201" s="51"/>
      <c r="N201" s="51"/>
      <c r="O201" s="51"/>
    </row>
    <row r="202" spans="1:15" x14ac:dyDescent="0.25">
      <c r="A202" s="101"/>
      <c r="B202" s="50"/>
      <c r="C202" s="50"/>
      <c r="D202" s="50"/>
      <c r="E202" s="50"/>
      <c r="F202" s="50"/>
      <c r="G202" s="49"/>
      <c r="H202" s="49"/>
      <c r="I202" s="49"/>
      <c r="J202" s="51"/>
      <c r="K202" s="51"/>
      <c r="L202" s="51"/>
      <c r="M202" s="51"/>
      <c r="N202" s="51"/>
      <c r="O202" s="51"/>
    </row>
    <row r="203" spans="1:15" x14ac:dyDescent="0.25">
      <c r="A203" s="101"/>
      <c r="B203" s="50"/>
      <c r="C203" s="50"/>
      <c r="D203" s="50"/>
      <c r="E203" s="50"/>
      <c r="F203" s="50"/>
      <c r="G203" s="49"/>
      <c r="H203" s="49"/>
      <c r="I203" s="49"/>
      <c r="J203" s="51"/>
      <c r="K203" s="51"/>
      <c r="L203" s="51"/>
      <c r="M203" s="51"/>
      <c r="N203" s="51"/>
      <c r="O203" s="51"/>
    </row>
    <row r="204" spans="1:15" x14ac:dyDescent="0.25">
      <c r="A204" s="101"/>
      <c r="B204" s="50"/>
      <c r="C204" s="50"/>
      <c r="D204" s="50"/>
      <c r="E204" s="50"/>
      <c r="F204" s="50"/>
      <c r="G204" s="49"/>
      <c r="H204" s="49"/>
      <c r="I204" s="49"/>
      <c r="J204" s="51"/>
      <c r="K204" s="51"/>
      <c r="L204" s="51"/>
      <c r="M204" s="51"/>
      <c r="N204" s="51"/>
      <c r="O204" s="51"/>
    </row>
    <row r="205" spans="1:15" x14ac:dyDescent="0.25">
      <c r="A205" s="101"/>
      <c r="B205" s="50"/>
      <c r="C205" s="50"/>
      <c r="D205" s="50"/>
      <c r="E205" s="50"/>
      <c r="F205" s="50"/>
      <c r="G205" s="49"/>
      <c r="H205" s="49"/>
      <c r="I205" s="49"/>
      <c r="J205" s="51"/>
      <c r="K205" s="51"/>
      <c r="L205" s="51"/>
      <c r="M205" s="51"/>
      <c r="N205" s="51"/>
      <c r="O205" s="51"/>
    </row>
    <row r="206" spans="1:15" x14ac:dyDescent="0.25">
      <c r="A206" s="101"/>
      <c r="B206" s="50"/>
      <c r="C206" s="50"/>
      <c r="D206" s="50"/>
      <c r="E206" s="50"/>
      <c r="F206" s="50"/>
      <c r="G206" s="49"/>
      <c r="H206" s="49"/>
      <c r="I206" s="49"/>
      <c r="J206" s="51"/>
      <c r="K206" s="51"/>
      <c r="L206" s="51"/>
      <c r="M206" s="51"/>
      <c r="N206" s="51"/>
      <c r="O206" s="51"/>
    </row>
    <row r="207" spans="1:15" x14ac:dyDescent="0.25">
      <c r="A207" s="101"/>
      <c r="B207" s="50"/>
      <c r="C207" s="50"/>
      <c r="D207" s="50"/>
      <c r="E207" s="50"/>
      <c r="F207" s="50"/>
      <c r="G207" s="49"/>
      <c r="H207" s="49"/>
      <c r="I207" s="49"/>
      <c r="J207" s="51"/>
      <c r="K207" s="51"/>
      <c r="L207" s="51"/>
      <c r="M207" s="51"/>
      <c r="N207" s="51"/>
      <c r="O207" s="51"/>
    </row>
    <row r="208" spans="1:15" x14ac:dyDescent="0.25">
      <c r="A208" s="101"/>
      <c r="B208" s="50"/>
      <c r="C208" s="50"/>
      <c r="D208" s="50"/>
      <c r="E208" s="50"/>
      <c r="F208" s="50"/>
      <c r="G208" s="49"/>
      <c r="H208" s="49"/>
      <c r="I208" s="49"/>
      <c r="J208" s="51"/>
      <c r="K208" s="51"/>
      <c r="L208" s="51"/>
      <c r="M208" s="51"/>
      <c r="N208" s="51"/>
      <c r="O208" s="51"/>
    </row>
    <row r="209" spans="1:15" x14ac:dyDescent="0.25">
      <c r="A209" s="101"/>
      <c r="B209" s="50"/>
      <c r="C209" s="50"/>
      <c r="D209" s="50"/>
      <c r="E209" s="50"/>
      <c r="F209" s="50"/>
      <c r="G209" s="49"/>
      <c r="H209" s="49"/>
      <c r="I209" s="49"/>
      <c r="J209" s="51"/>
      <c r="K209" s="51"/>
      <c r="L209" s="51"/>
      <c r="M209" s="51"/>
      <c r="N209" s="51"/>
      <c r="O209" s="51"/>
    </row>
    <row r="210" spans="1:15" x14ac:dyDescent="0.25">
      <c r="A210" s="101"/>
      <c r="B210" s="50"/>
      <c r="C210" s="50"/>
      <c r="D210" s="50"/>
      <c r="E210" s="50"/>
      <c r="F210" s="50"/>
      <c r="G210" s="49"/>
      <c r="H210" s="49"/>
      <c r="I210" s="49"/>
      <c r="J210" s="51"/>
      <c r="K210" s="51"/>
      <c r="L210" s="51"/>
      <c r="M210" s="51"/>
      <c r="N210" s="51"/>
      <c r="O210" s="51"/>
    </row>
    <row r="211" spans="1:15" x14ac:dyDescent="0.25">
      <c r="A211" s="101"/>
      <c r="B211" s="17"/>
      <c r="C211" s="17"/>
      <c r="D211" s="17"/>
      <c r="E211" s="17"/>
      <c r="F211" s="17"/>
      <c r="G211" s="17"/>
      <c r="H211" s="17"/>
      <c r="I211" s="17"/>
      <c r="J211" s="17"/>
      <c r="K211" s="17"/>
      <c r="L211" s="17"/>
      <c r="M211" s="17"/>
      <c r="N211" s="17"/>
      <c r="O211" s="17"/>
    </row>
    <row r="212" spans="1:15" x14ac:dyDescent="0.25">
      <c r="A212" s="130" t="s">
        <v>398</v>
      </c>
      <c r="B212" s="130"/>
      <c r="C212" s="130"/>
      <c r="D212" s="131">
        <f>SUM(D7:D211)</f>
        <v>12149784.309999995</v>
      </c>
      <c r="E212" s="131">
        <f>SUM(E7:E211)</f>
        <v>10285853.609999994</v>
      </c>
      <c r="F212" s="132">
        <f>(D212-E212)/E212</f>
        <v>0.18121303011622408</v>
      </c>
      <c r="G212" s="131">
        <f>SUM(G7:G211)</f>
        <v>96126</v>
      </c>
      <c r="H212" s="131">
        <f>SUM(H7:H211)</f>
        <v>75309</v>
      </c>
      <c r="I212" s="132">
        <f>(G212-H212)/H212</f>
        <v>0.27642114488308173</v>
      </c>
      <c r="J212" s="131">
        <f>SUM(J7:J211)</f>
        <v>6344983</v>
      </c>
      <c r="K212" s="131">
        <f>SUM(K7:K211)</f>
        <v>5186937</v>
      </c>
      <c r="L212" s="132">
        <f>(J212-K212)/K212</f>
        <v>0.22326201378578533</v>
      </c>
      <c r="M212" s="131">
        <f>SUM(M7:M211)</f>
        <v>5684323</v>
      </c>
      <c r="N212" s="131">
        <f>SUM(N7:N211)</f>
        <v>4983394</v>
      </c>
      <c r="O212" s="132">
        <f>(M212-N212)/N212</f>
        <v>0.14065293653281277</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1"/>
  <sheetViews>
    <sheetView workbookViewId="0">
      <pane ySplit="6" topLeftCell="A172" activePane="bottomLeft" state="frozen"/>
      <selection pane="bottomLeft" activeCell="H185" sqref="H185"/>
    </sheetView>
  </sheetViews>
  <sheetFormatPr defaultRowHeight="15" x14ac:dyDescent="0.25"/>
  <cols>
    <col min="1" max="1" width="14.5703125" bestFit="1" customWidth="1"/>
    <col min="2" max="3" width="9.28515625" bestFit="1" customWidth="1"/>
    <col min="4" max="4" width="11.28515625" bestFit="1" customWidth="1"/>
    <col min="5" max="5" width="12.7109375" customWidth="1"/>
    <col min="6" max="6" width="10.28515625" bestFit="1" customWidth="1"/>
    <col min="7" max="8" width="12.5703125" customWidth="1"/>
    <col min="9" max="9" width="9.28515625" bestFit="1" customWidth="1"/>
    <col min="10" max="11" width="11.28515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46009</v>
      </c>
      <c r="C6" s="34" t="s">
        <v>328</v>
      </c>
      <c r="D6" s="21">
        <f>B6</f>
        <v>46009</v>
      </c>
      <c r="E6" s="34" t="s">
        <v>322</v>
      </c>
      <c r="F6" s="34" t="s">
        <v>328</v>
      </c>
      <c r="G6" s="21">
        <f>D6</f>
        <v>46009</v>
      </c>
      <c r="H6" s="34" t="s">
        <v>322</v>
      </c>
      <c r="I6" s="34" t="s">
        <v>328</v>
      </c>
      <c r="J6" s="21">
        <f>D6</f>
        <v>46009</v>
      </c>
      <c r="K6" s="34" t="s">
        <v>322</v>
      </c>
      <c r="L6" s="34" t="s">
        <v>328</v>
      </c>
      <c r="M6" s="21">
        <f>D6</f>
        <v>46009</v>
      </c>
      <c r="N6" s="34" t="s">
        <v>322</v>
      </c>
      <c r="O6" s="34" t="s">
        <v>328</v>
      </c>
    </row>
    <row r="7" spans="1:15" x14ac:dyDescent="0.25">
      <c r="A7" s="101" t="str">
        <f>'Data shares'!C2</f>
        <v>360ONE</v>
      </c>
      <c r="B7" s="50">
        <f>VLOOKUP($A7,'Data shares'!$C:$FB,7)</f>
        <v>1143.2</v>
      </c>
      <c r="C7" s="50">
        <f>VLOOKUP($A7,'Data shares'!$C:$FB,10)*100</f>
        <v>1.52</v>
      </c>
      <c r="D7" s="49">
        <f>VLOOKUP($A7,'Data shares'!$C:$FB,66)</f>
        <v>2550000</v>
      </c>
      <c r="E7" s="49">
        <f>VLOOKUP($A7,'Data shares'!$C:$FB,67)</f>
        <v>18485000</v>
      </c>
      <c r="F7" s="50">
        <f>VLOOKUP($A7,'Data shares'!$C:$FB,69)*100</f>
        <v>-86.21</v>
      </c>
      <c r="G7" s="49">
        <f>VLOOKUP($A7,'Data shares'!$C:$FB,42)</f>
        <v>521000</v>
      </c>
      <c r="H7" s="49">
        <f>VLOOKUP($A7,'Data shares'!$C:$FB,43)</f>
        <v>3078000</v>
      </c>
      <c r="I7" s="50">
        <f>VLOOKUP($A7,'Data shares'!$C:$FB,45)*100</f>
        <v>-83.07</v>
      </c>
      <c r="J7" s="49">
        <f>VLOOKUP($A7,'Data shares'!$C:$FB,58)</f>
        <v>1688500</v>
      </c>
      <c r="K7" s="49">
        <f>VLOOKUP($A7,'Data shares'!$C:$FB,59)</f>
        <v>9550500</v>
      </c>
      <c r="L7" s="50">
        <f>VLOOKUP($A7,'Data shares'!$C:$FB,61)*100</f>
        <v>-82.320000000000007</v>
      </c>
      <c r="M7" s="49">
        <f>VLOOKUP($A7,'Data shares'!$C:$FB,62)</f>
        <v>340500</v>
      </c>
      <c r="N7" s="49">
        <f>VLOOKUP($A7,'Data shares'!$C:$FB,63)</f>
        <v>5856500</v>
      </c>
      <c r="O7" s="140">
        <f>VLOOKUP($A7,'Data shares'!$C:$FB,65)*100</f>
        <v>-94.19</v>
      </c>
    </row>
    <row r="8" spans="1:15" x14ac:dyDescent="0.25">
      <c r="A8" s="101" t="str">
        <f>'Data shares'!C3</f>
        <v>ABB</v>
      </c>
      <c r="B8" s="50">
        <f>VLOOKUP($A8,'Data shares'!$C:$FB,7)</f>
        <v>5097.5</v>
      </c>
      <c r="C8" s="50">
        <f>VLOOKUP($A8,'Data shares'!$C:$FB,10)*100</f>
        <v>-1.4200000000000002</v>
      </c>
      <c r="D8" s="49">
        <f>VLOOKUP($A8,'Data shares'!$C:$FB,66)</f>
        <v>2163000</v>
      </c>
      <c r="E8" s="49">
        <f>VLOOKUP($A8,'Data shares'!$C:$FB,67)</f>
        <v>1434750</v>
      </c>
      <c r="F8" s="50">
        <f>VLOOKUP($A8,'Data shares'!$C:$FB,69)*100</f>
        <v>50.760000000000005</v>
      </c>
      <c r="G8" s="49">
        <f>VLOOKUP($A8,'Data shares'!$C:$FB,42)</f>
        <v>424250</v>
      </c>
      <c r="H8" s="49">
        <f>VLOOKUP($A8,'Data shares'!$C:$FB,43)</f>
        <v>333625</v>
      </c>
      <c r="I8" s="50">
        <f>VLOOKUP($A8,'Data shares'!$C:$FB,45)*100</f>
        <v>27.16</v>
      </c>
      <c r="J8" s="49">
        <f>VLOOKUP($A8,'Data shares'!$C:$FB,58)</f>
        <v>1055125</v>
      </c>
      <c r="K8" s="49">
        <f>VLOOKUP($A8,'Data shares'!$C:$FB,59)</f>
        <v>733750</v>
      </c>
      <c r="L8" s="50">
        <f>VLOOKUP($A8,'Data shares'!$C:$FB,61)*100</f>
        <v>43.8</v>
      </c>
      <c r="M8" s="49">
        <f>VLOOKUP($A8,'Data shares'!$C:$FB,62)</f>
        <v>683625</v>
      </c>
      <c r="N8" s="49">
        <f>VLOOKUP($A8,'Data shares'!$C:$FB,63)</f>
        <v>367375</v>
      </c>
      <c r="O8" s="140">
        <f>VLOOKUP($A8,'Data shares'!$C:$FB,65)*100</f>
        <v>86.08</v>
      </c>
    </row>
    <row r="9" spans="1:15" x14ac:dyDescent="0.25">
      <c r="A9" s="101" t="str">
        <f>'Data shares'!C4</f>
        <v>ABCAPITAL</v>
      </c>
      <c r="B9" s="50">
        <f>VLOOKUP($A9,'Data shares'!$C:$FB,7)</f>
        <v>344.25</v>
      </c>
      <c r="C9" s="50">
        <f>VLOOKUP($A9,'Data shares'!$C:$FB,10)*100</f>
        <v>-0.74</v>
      </c>
      <c r="D9" s="49">
        <f>VLOOKUP($A9,'Data shares'!$C:$FB,66)</f>
        <v>56711400</v>
      </c>
      <c r="E9" s="49">
        <f>VLOOKUP($A9,'Data shares'!$C:$FB,67)</f>
        <v>54637500</v>
      </c>
      <c r="F9" s="50">
        <f>VLOOKUP($A9,'Data shares'!$C:$FB,69)*100</f>
        <v>3.8</v>
      </c>
      <c r="G9" s="49">
        <f>VLOOKUP($A9,'Data shares'!$C:$FB,42)</f>
        <v>7337700</v>
      </c>
      <c r="H9" s="49">
        <f>VLOOKUP($A9,'Data shares'!$C:$FB,43)</f>
        <v>8428900</v>
      </c>
      <c r="I9" s="50">
        <f>VLOOKUP($A9,'Data shares'!$C:$FB,45)*100</f>
        <v>-12.950000000000001</v>
      </c>
      <c r="J9" s="49">
        <f>VLOOKUP($A9,'Data shares'!$C:$FB,58)</f>
        <v>34053500</v>
      </c>
      <c r="K9" s="49">
        <f>VLOOKUP($A9,'Data shares'!$C:$FB,59)</f>
        <v>29815800</v>
      </c>
      <c r="L9" s="50">
        <f>VLOOKUP($A9,'Data shares'!$C:$FB,61)*100</f>
        <v>14.21</v>
      </c>
      <c r="M9" s="49">
        <f>VLOOKUP($A9,'Data shares'!$C:$FB,62)</f>
        <v>15320200</v>
      </c>
      <c r="N9" s="49">
        <f>VLOOKUP($A9,'Data shares'!$C:$FB,63)</f>
        <v>16392800</v>
      </c>
      <c r="O9" s="140">
        <f>VLOOKUP($A9,'Data shares'!$C:$FB,65)*100</f>
        <v>-6.54</v>
      </c>
    </row>
    <row r="10" spans="1:15" x14ac:dyDescent="0.25">
      <c r="A10" s="101" t="str">
        <f>'Data shares'!C5</f>
        <v>ADANIENSOL</v>
      </c>
      <c r="B10" s="50">
        <f>VLOOKUP($A10,'Data shares'!$C:$FB,7)</f>
        <v>976.3</v>
      </c>
      <c r="C10" s="50">
        <f>VLOOKUP($A10,'Data shares'!$C:$FB,10)*100</f>
        <v>-0.13</v>
      </c>
      <c r="D10" s="49">
        <f>VLOOKUP($A10,'Data shares'!$C:$FB,66)</f>
        <v>5623425</v>
      </c>
      <c r="E10" s="49">
        <f>VLOOKUP($A10,'Data shares'!$C:$FB,67)</f>
        <v>7362225</v>
      </c>
      <c r="F10" s="50">
        <f>VLOOKUP($A10,'Data shares'!$C:$FB,69)*100</f>
        <v>-23.62</v>
      </c>
      <c r="G10" s="49">
        <f>VLOOKUP($A10,'Data shares'!$C:$FB,42)</f>
        <v>941625</v>
      </c>
      <c r="H10" s="49">
        <f>VLOOKUP($A10,'Data shares'!$C:$FB,43)</f>
        <v>1294650</v>
      </c>
      <c r="I10" s="50">
        <f>VLOOKUP($A10,'Data shares'!$C:$FB,45)*100</f>
        <v>-27.27</v>
      </c>
      <c r="J10" s="49">
        <f>VLOOKUP($A10,'Data shares'!$C:$FB,58)</f>
        <v>3478275</v>
      </c>
      <c r="K10" s="49">
        <f>VLOOKUP($A10,'Data shares'!$C:$FB,59)</f>
        <v>3787425</v>
      </c>
      <c r="L10" s="50">
        <f>VLOOKUP($A10,'Data shares'!$C:$FB,61)*100</f>
        <v>-8.16</v>
      </c>
      <c r="M10" s="49">
        <f>VLOOKUP($A10,'Data shares'!$C:$FB,62)</f>
        <v>1203525</v>
      </c>
      <c r="N10" s="49">
        <f>VLOOKUP($A10,'Data shares'!$C:$FB,63)</f>
        <v>2280150</v>
      </c>
      <c r="O10" s="140">
        <f>VLOOKUP($A10,'Data shares'!$C:$FB,65)*100</f>
        <v>-47.22</v>
      </c>
    </row>
    <row r="11" spans="1:15" x14ac:dyDescent="0.25">
      <c r="A11" s="101" t="str">
        <f>'Data shares'!C6</f>
        <v>ADANIENT</v>
      </c>
      <c r="B11" s="50">
        <f>VLOOKUP($A11,'Data shares'!$C:$FB,7)</f>
        <v>2229.3000000000002</v>
      </c>
      <c r="C11" s="50">
        <f>VLOOKUP($A11,'Data shares'!$C:$FB,10)*100</f>
        <v>-0.13999999999999999</v>
      </c>
      <c r="D11" s="49">
        <f>VLOOKUP($A11,'Data shares'!$C:$FB,66)</f>
        <v>12755520</v>
      </c>
      <c r="E11" s="49">
        <f>VLOOKUP($A11,'Data shares'!$C:$FB,67)</f>
        <v>14097816</v>
      </c>
      <c r="F11" s="50">
        <f>VLOOKUP($A11,'Data shares'!$C:$FB,69)*100</f>
        <v>-9.5200000000000014</v>
      </c>
      <c r="G11" s="49">
        <f>VLOOKUP($A11,'Data shares'!$C:$FB,42)</f>
        <v>1827426</v>
      </c>
      <c r="H11" s="49">
        <f>VLOOKUP($A11,'Data shares'!$C:$FB,43)</f>
        <v>1887063</v>
      </c>
      <c r="I11" s="50">
        <f>VLOOKUP($A11,'Data shares'!$C:$FB,45)*100</f>
        <v>-3.16</v>
      </c>
      <c r="J11" s="49">
        <f>VLOOKUP($A11,'Data shares'!$C:$FB,58)</f>
        <v>8208585</v>
      </c>
      <c r="K11" s="49">
        <f>VLOOKUP($A11,'Data shares'!$C:$FB,59)</f>
        <v>8317662</v>
      </c>
      <c r="L11" s="50">
        <f>VLOOKUP($A11,'Data shares'!$C:$FB,61)*100</f>
        <v>-1.31</v>
      </c>
      <c r="M11" s="49">
        <f>VLOOKUP($A11,'Data shares'!$C:$FB,62)</f>
        <v>2719509</v>
      </c>
      <c r="N11" s="49">
        <f>VLOOKUP($A11,'Data shares'!$C:$FB,63)</f>
        <v>3893091</v>
      </c>
      <c r="O11" s="140">
        <f>VLOOKUP($A11,'Data shares'!$C:$FB,65)*100</f>
        <v>-30.15</v>
      </c>
    </row>
    <row r="12" spans="1:15" x14ac:dyDescent="0.25">
      <c r="A12" s="101" t="str">
        <f>'Data shares'!C7</f>
        <v>ADANIGREEN</v>
      </c>
      <c r="B12" s="50">
        <f>VLOOKUP($A12,'Data shares'!$C:$FB,7)</f>
        <v>1011</v>
      </c>
      <c r="C12" s="50">
        <f>VLOOKUP($A12,'Data shares'!$C:$FB,10)*100</f>
        <v>-0.95</v>
      </c>
      <c r="D12" s="49">
        <f>VLOOKUP($A12,'Data shares'!$C:$FB,66)</f>
        <v>18373800</v>
      </c>
      <c r="E12" s="49">
        <f>VLOOKUP($A12,'Data shares'!$C:$FB,67)</f>
        <v>16658400</v>
      </c>
      <c r="F12" s="50">
        <f>VLOOKUP($A12,'Data shares'!$C:$FB,69)*100</f>
        <v>10.299999999999999</v>
      </c>
      <c r="G12" s="49">
        <f>VLOOKUP($A12,'Data shares'!$C:$FB,42)</f>
        <v>2699400</v>
      </c>
      <c r="H12" s="49">
        <f>VLOOKUP($A12,'Data shares'!$C:$FB,43)</f>
        <v>1897800</v>
      </c>
      <c r="I12" s="50">
        <f>VLOOKUP($A12,'Data shares'!$C:$FB,45)*100</f>
        <v>42.24</v>
      </c>
      <c r="J12" s="49">
        <f>VLOOKUP($A12,'Data shares'!$C:$FB,58)</f>
        <v>10790400</v>
      </c>
      <c r="K12" s="49">
        <f>VLOOKUP($A12,'Data shares'!$C:$FB,59)</f>
        <v>9652200</v>
      </c>
      <c r="L12" s="50">
        <f>VLOOKUP($A12,'Data shares'!$C:$FB,61)*100</f>
        <v>11.790000000000001</v>
      </c>
      <c r="M12" s="49">
        <f>VLOOKUP($A12,'Data shares'!$C:$FB,62)</f>
        <v>4884000</v>
      </c>
      <c r="N12" s="49">
        <f>VLOOKUP($A12,'Data shares'!$C:$FB,63)</f>
        <v>5108400</v>
      </c>
      <c r="O12" s="140">
        <f>VLOOKUP($A12,'Data shares'!$C:$FB,65)*100</f>
        <v>-4.3900000000000006</v>
      </c>
    </row>
    <row r="13" spans="1:15" x14ac:dyDescent="0.25">
      <c r="A13" s="101" t="str">
        <f>'Data shares'!C8</f>
        <v>ADANIPORTS</v>
      </c>
      <c r="B13" s="50">
        <f>VLOOKUP($A13,'Data shares'!$C:$FB,7)</f>
        <v>1495.7</v>
      </c>
      <c r="C13" s="50">
        <f>VLOOKUP($A13,'Data shares'!$C:$FB,10)*100</f>
        <v>0.63</v>
      </c>
      <c r="D13" s="49">
        <f>VLOOKUP($A13,'Data shares'!$C:$FB,66)</f>
        <v>13196925</v>
      </c>
      <c r="E13" s="49">
        <f>VLOOKUP($A13,'Data shares'!$C:$FB,67)</f>
        <v>11946725</v>
      </c>
      <c r="F13" s="50">
        <f>VLOOKUP($A13,'Data shares'!$C:$FB,69)*100</f>
        <v>10.459999999999999</v>
      </c>
      <c r="G13" s="49">
        <f>VLOOKUP($A13,'Data shares'!$C:$FB,42)</f>
        <v>2493275</v>
      </c>
      <c r="H13" s="49">
        <f>VLOOKUP($A13,'Data shares'!$C:$FB,43)</f>
        <v>1649200</v>
      </c>
      <c r="I13" s="50">
        <f>VLOOKUP($A13,'Data shares'!$C:$FB,45)*100</f>
        <v>51.180000000000007</v>
      </c>
      <c r="J13" s="49">
        <f>VLOOKUP($A13,'Data shares'!$C:$FB,58)</f>
        <v>7755325</v>
      </c>
      <c r="K13" s="49">
        <f>VLOOKUP($A13,'Data shares'!$C:$FB,59)</f>
        <v>7095550</v>
      </c>
      <c r="L13" s="50">
        <f>VLOOKUP($A13,'Data shares'!$C:$FB,61)*100</f>
        <v>9.3000000000000007</v>
      </c>
      <c r="M13" s="49">
        <f>VLOOKUP($A13,'Data shares'!$C:$FB,62)</f>
        <v>2948325</v>
      </c>
      <c r="N13" s="49">
        <f>VLOOKUP($A13,'Data shares'!$C:$FB,63)</f>
        <v>3201975</v>
      </c>
      <c r="O13" s="140">
        <f>VLOOKUP($A13,'Data shares'!$C:$FB,65)*100</f>
        <v>-7.9200000000000008</v>
      </c>
    </row>
    <row r="14" spans="1:15" x14ac:dyDescent="0.25">
      <c r="A14" s="101" t="str">
        <f>'Data shares'!C9</f>
        <v>ALKEM</v>
      </c>
      <c r="B14" s="50">
        <f>VLOOKUP($A14,'Data shares'!$C:$FB,7)</f>
        <v>5521</v>
      </c>
      <c r="C14" s="50">
        <f>VLOOKUP($A14,'Data shares'!$C:$FB,10)*100</f>
        <v>-1.91</v>
      </c>
      <c r="D14" s="49">
        <f>VLOOKUP($A14,'Data shares'!$C:$FB,66)</f>
        <v>668125</v>
      </c>
      <c r="E14" s="49">
        <f>VLOOKUP($A14,'Data shares'!$C:$FB,67)</f>
        <v>652625</v>
      </c>
      <c r="F14" s="50">
        <f>VLOOKUP($A14,'Data shares'!$C:$FB,69)*100</f>
        <v>2.3800000000000003</v>
      </c>
      <c r="G14" s="49">
        <f>VLOOKUP($A14,'Data shares'!$C:$FB,42)</f>
        <v>207375</v>
      </c>
      <c r="H14" s="49">
        <f>VLOOKUP($A14,'Data shares'!$C:$FB,43)</f>
        <v>225125</v>
      </c>
      <c r="I14" s="50">
        <f>VLOOKUP($A14,'Data shares'!$C:$FB,45)*100</f>
        <v>-7.88</v>
      </c>
      <c r="J14" s="49">
        <f>VLOOKUP($A14,'Data shares'!$C:$FB,58)</f>
        <v>241500</v>
      </c>
      <c r="K14" s="49">
        <f>VLOOKUP($A14,'Data shares'!$C:$FB,59)</f>
        <v>301625</v>
      </c>
      <c r="L14" s="50">
        <f>VLOOKUP($A14,'Data shares'!$C:$FB,61)*100</f>
        <v>-19.93</v>
      </c>
      <c r="M14" s="49">
        <f>VLOOKUP($A14,'Data shares'!$C:$FB,62)</f>
        <v>219250</v>
      </c>
      <c r="N14" s="49">
        <f>VLOOKUP($A14,'Data shares'!$C:$FB,63)</f>
        <v>125875</v>
      </c>
      <c r="O14" s="140">
        <f>VLOOKUP($A14,'Data shares'!$C:$FB,65)*100</f>
        <v>74.180000000000007</v>
      </c>
    </row>
    <row r="15" spans="1:15" x14ac:dyDescent="0.25">
      <c r="A15" s="101" t="str">
        <f>'Data shares'!C10</f>
        <v>AMBER</v>
      </c>
      <c r="B15" s="50">
        <f>VLOOKUP($A15,'Data shares'!$C:$FB,7)</f>
        <v>6585.5</v>
      </c>
      <c r="C15" s="50">
        <f>VLOOKUP($A15,'Data shares'!$C:$FB,10)*100</f>
        <v>0.08</v>
      </c>
      <c r="D15" s="49">
        <f>VLOOKUP($A15,'Data shares'!$C:$FB,66)</f>
        <v>1739900</v>
      </c>
      <c r="E15" s="49">
        <f>VLOOKUP($A15,'Data shares'!$C:$FB,67)</f>
        <v>3310900</v>
      </c>
      <c r="F15" s="50">
        <f>VLOOKUP($A15,'Data shares'!$C:$FB,69)*100</f>
        <v>-47.449999999999996</v>
      </c>
      <c r="G15" s="49">
        <f>VLOOKUP($A15,'Data shares'!$C:$FB,42)</f>
        <v>194900</v>
      </c>
      <c r="H15" s="49">
        <f>VLOOKUP($A15,'Data shares'!$C:$FB,43)</f>
        <v>336100</v>
      </c>
      <c r="I15" s="50">
        <f>VLOOKUP($A15,'Data shares'!$C:$FB,45)*100</f>
        <v>-42.01</v>
      </c>
      <c r="J15" s="49">
        <f>VLOOKUP($A15,'Data shares'!$C:$FB,58)</f>
        <v>905300</v>
      </c>
      <c r="K15" s="49">
        <f>VLOOKUP($A15,'Data shares'!$C:$FB,59)</f>
        <v>1656800</v>
      </c>
      <c r="L15" s="50">
        <f>VLOOKUP($A15,'Data shares'!$C:$FB,61)*100</f>
        <v>-45.36</v>
      </c>
      <c r="M15" s="49">
        <f>VLOOKUP($A15,'Data shares'!$C:$FB,62)</f>
        <v>639700</v>
      </c>
      <c r="N15" s="49">
        <f>VLOOKUP($A15,'Data shares'!$C:$FB,63)</f>
        <v>1318000</v>
      </c>
      <c r="O15" s="140">
        <f>VLOOKUP($A15,'Data shares'!$C:$FB,65)*100</f>
        <v>-51.459999999999994</v>
      </c>
    </row>
    <row r="16" spans="1:15" x14ac:dyDescent="0.25">
      <c r="A16" s="101" t="str">
        <f>'Data shares'!C11</f>
        <v>AMBUJACEM</v>
      </c>
      <c r="B16" s="50">
        <f>VLOOKUP($A16,'Data shares'!$C:$FB,7)</f>
        <v>535.79999999999995</v>
      </c>
      <c r="C16" s="50">
        <f>VLOOKUP($A16,'Data shares'!$C:$FB,10)*100</f>
        <v>-1.02</v>
      </c>
      <c r="D16" s="49">
        <f>VLOOKUP($A16,'Data shares'!$C:$FB,66)</f>
        <v>13879950</v>
      </c>
      <c r="E16" s="49">
        <f>VLOOKUP($A16,'Data shares'!$C:$FB,67)</f>
        <v>10128300</v>
      </c>
      <c r="F16" s="50">
        <f>VLOOKUP($A16,'Data shares'!$C:$FB,69)*100</f>
        <v>37.04</v>
      </c>
      <c r="G16" s="49">
        <f>VLOOKUP($A16,'Data shares'!$C:$FB,42)</f>
        <v>3781050</v>
      </c>
      <c r="H16" s="49">
        <f>VLOOKUP($A16,'Data shares'!$C:$FB,43)</f>
        <v>2325750</v>
      </c>
      <c r="I16" s="50">
        <f>VLOOKUP($A16,'Data shares'!$C:$FB,45)*100</f>
        <v>62.57</v>
      </c>
      <c r="J16" s="49">
        <f>VLOOKUP($A16,'Data shares'!$C:$FB,58)</f>
        <v>7129500</v>
      </c>
      <c r="K16" s="49">
        <f>VLOOKUP($A16,'Data shares'!$C:$FB,59)</f>
        <v>5387550</v>
      </c>
      <c r="L16" s="50">
        <f>VLOOKUP($A16,'Data shares'!$C:$FB,61)*100</f>
        <v>32.33</v>
      </c>
      <c r="M16" s="49">
        <f>VLOOKUP($A16,'Data shares'!$C:$FB,62)</f>
        <v>2969400</v>
      </c>
      <c r="N16" s="49">
        <f>VLOOKUP($A16,'Data shares'!$C:$FB,63)</f>
        <v>2415000</v>
      </c>
      <c r="O16" s="140">
        <f>VLOOKUP($A16,'Data shares'!$C:$FB,65)*100</f>
        <v>22.96</v>
      </c>
    </row>
    <row r="17" spans="1:15" x14ac:dyDescent="0.25">
      <c r="A17" s="101" t="str">
        <f>'Data shares'!C12</f>
        <v>ANGELONE</v>
      </c>
      <c r="B17" s="50">
        <f>VLOOKUP($A17,'Data shares'!$C:$FB,7)</f>
        <v>2479.1</v>
      </c>
      <c r="C17" s="50">
        <f>VLOOKUP($A17,'Data shares'!$C:$FB,10)*100</f>
        <v>-1.02</v>
      </c>
      <c r="D17" s="49">
        <f>VLOOKUP($A17,'Data shares'!$C:$FB,66)</f>
        <v>10394500</v>
      </c>
      <c r="E17" s="49">
        <f>VLOOKUP($A17,'Data shares'!$C:$FB,67)</f>
        <v>6391500</v>
      </c>
      <c r="F17" s="50">
        <f>VLOOKUP($A17,'Data shares'!$C:$FB,69)*100</f>
        <v>62.629999999999995</v>
      </c>
      <c r="G17" s="49">
        <f>VLOOKUP($A17,'Data shares'!$C:$FB,42)</f>
        <v>1126000</v>
      </c>
      <c r="H17" s="49">
        <f>VLOOKUP($A17,'Data shares'!$C:$FB,43)</f>
        <v>931500</v>
      </c>
      <c r="I17" s="50">
        <f>VLOOKUP($A17,'Data shares'!$C:$FB,45)*100</f>
        <v>20.880000000000003</v>
      </c>
      <c r="J17" s="49">
        <f>VLOOKUP($A17,'Data shares'!$C:$FB,58)</f>
        <v>6894500</v>
      </c>
      <c r="K17" s="49">
        <f>VLOOKUP($A17,'Data shares'!$C:$FB,59)</f>
        <v>3892250</v>
      </c>
      <c r="L17" s="50">
        <f>VLOOKUP($A17,'Data shares'!$C:$FB,61)*100</f>
        <v>77.13</v>
      </c>
      <c r="M17" s="49">
        <f>VLOOKUP($A17,'Data shares'!$C:$FB,62)</f>
        <v>2374000</v>
      </c>
      <c r="N17" s="49">
        <f>VLOOKUP($A17,'Data shares'!$C:$FB,63)</f>
        <v>1567750</v>
      </c>
      <c r="O17" s="140">
        <f>VLOOKUP($A17,'Data shares'!$C:$FB,65)*100</f>
        <v>51.43</v>
      </c>
    </row>
    <row r="18" spans="1:15" x14ac:dyDescent="0.25">
      <c r="A18" s="101" t="str">
        <f>'Data shares'!C13</f>
        <v>APLAPOLLO</v>
      </c>
      <c r="B18" s="50">
        <f>VLOOKUP($A18,'Data shares'!$C:$FB,7)</f>
        <v>1795.7</v>
      </c>
      <c r="C18" s="50">
        <f>VLOOKUP($A18,'Data shares'!$C:$FB,10)*100</f>
        <v>1.77</v>
      </c>
      <c r="D18" s="49">
        <f>VLOOKUP($A18,'Data shares'!$C:$FB,66)</f>
        <v>6489350</v>
      </c>
      <c r="E18" s="49">
        <f>VLOOKUP($A18,'Data shares'!$C:$FB,67)</f>
        <v>9178750</v>
      </c>
      <c r="F18" s="50">
        <f>VLOOKUP($A18,'Data shares'!$C:$FB,69)*100</f>
        <v>-29.299999999999997</v>
      </c>
      <c r="G18" s="49">
        <f>VLOOKUP($A18,'Data shares'!$C:$FB,42)</f>
        <v>1291850</v>
      </c>
      <c r="H18" s="49">
        <f>VLOOKUP($A18,'Data shares'!$C:$FB,43)</f>
        <v>1292550</v>
      </c>
      <c r="I18" s="50">
        <f>VLOOKUP($A18,'Data shares'!$C:$FB,45)*100</f>
        <v>-0.05</v>
      </c>
      <c r="J18" s="49">
        <f>VLOOKUP($A18,'Data shares'!$C:$FB,58)</f>
        <v>3740100</v>
      </c>
      <c r="K18" s="49">
        <f>VLOOKUP($A18,'Data shares'!$C:$FB,59)</f>
        <v>5972400</v>
      </c>
      <c r="L18" s="50">
        <f>VLOOKUP($A18,'Data shares'!$C:$FB,61)*100</f>
        <v>-37.380000000000003</v>
      </c>
      <c r="M18" s="49">
        <f>VLOOKUP($A18,'Data shares'!$C:$FB,62)</f>
        <v>1457400</v>
      </c>
      <c r="N18" s="49">
        <f>VLOOKUP($A18,'Data shares'!$C:$FB,63)</f>
        <v>1913800</v>
      </c>
      <c r="O18" s="140">
        <f>VLOOKUP($A18,'Data shares'!$C:$FB,65)*100</f>
        <v>-23.849999999999998</v>
      </c>
    </row>
    <row r="19" spans="1:15" x14ac:dyDescent="0.25">
      <c r="A19" s="101" t="str">
        <f>'Data shares'!C14</f>
        <v>APOLLOHOSP</v>
      </c>
      <c r="B19" s="50">
        <f>VLOOKUP($A19,'Data shares'!$C:$FB,7)</f>
        <v>6918.5</v>
      </c>
      <c r="C19" s="50">
        <f>VLOOKUP($A19,'Data shares'!$C:$FB,10)*100</f>
        <v>-0.04</v>
      </c>
      <c r="D19" s="49">
        <f>VLOOKUP($A19,'Data shares'!$C:$FB,66)</f>
        <v>4296250</v>
      </c>
      <c r="E19" s="49">
        <f>VLOOKUP($A19,'Data shares'!$C:$FB,67)</f>
        <v>5077125</v>
      </c>
      <c r="F19" s="50">
        <f>VLOOKUP($A19,'Data shares'!$C:$FB,69)*100</f>
        <v>-15.379999999999999</v>
      </c>
      <c r="G19" s="49">
        <f>VLOOKUP($A19,'Data shares'!$C:$FB,42)</f>
        <v>704750</v>
      </c>
      <c r="H19" s="49">
        <f>VLOOKUP($A19,'Data shares'!$C:$FB,43)</f>
        <v>527625</v>
      </c>
      <c r="I19" s="50">
        <f>VLOOKUP($A19,'Data shares'!$C:$FB,45)*100</f>
        <v>33.57</v>
      </c>
      <c r="J19" s="49">
        <f>VLOOKUP($A19,'Data shares'!$C:$FB,58)</f>
        <v>2550125</v>
      </c>
      <c r="K19" s="49">
        <f>VLOOKUP($A19,'Data shares'!$C:$FB,59)</f>
        <v>2951375</v>
      </c>
      <c r="L19" s="50">
        <f>VLOOKUP($A19,'Data shares'!$C:$FB,61)*100</f>
        <v>-13.600000000000001</v>
      </c>
      <c r="M19" s="49">
        <f>VLOOKUP($A19,'Data shares'!$C:$FB,62)</f>
        <v>1041375</v>
      </c>
      <c r="N19" s="49">
        <f>VLOOKUP($A19,'Data shares'!$C:$FB,63)</f>
        <v>1598125</v>
      </c>
      <c r="O19" s="140">
        <f>VLOOKUP($A19,'Data shares'!$C:$FB,65)*100</f>
        <v>-34.839999999999996</v>
      </c>
    </row>
    <row r="20" spans="1:15" x14ac:dyDescent="0.25">
      <c r="A20" s="101" t="str">
        <f>'Data shares'!C15</f>
        <v>ASHOKLEY</v>
      </c>
      <c r="B20" s="50">
        <f>VLOOKUP($A20,'Data shares'!$C:$FB,7)</f>
        <v>171.57</v>
      </c>
      <c r="C20" s="50">
        <f>VLOOKUP($A20,'Data shares'!$C:$FB,10)*100</f>
        <v>3.27</v>
      </c>
      <c r="D20" s="49">
        <f>VLOOKUP($A20,'Data shares'!$C:$FB,66)</f>
        <v>403205000</v>
      </c>
      <c r="E20" s="49">
        <f>VLOOKUP($A20,'Data shares'!$C:$FB,67)</f>
        <v>123790000</v>
      </c>
      <c r="F20" s="50">
        <f>VLOOKUP($A20,'Data shares'!$C:$FB,69)*100</f>
        <v>225.72</v>
      </c>
      <c r="G20" s="49">
        <f>VLOOKUP($A20,'Data shares'!$C:$FB,42)</f>
        <v>48005000</v>
      </c>
      <c r="H20" s="49">
        <f>VLOOKUP($A20,'Data shares'!$C:$FB,43)</f>
        <v>22080000</v>
      </c>
      <c r="I20" s="50">
        <f>VLOOKUP($A20,'Data shares'!$C:$FB,45)*100</f>
        <v>117.41</v>
      </c>
      <c r="J20" s="49">
        <f>VLOOKUP($A20,'Data shares'!$C:$FB,58)</f>
        <v>239345000</v>
      </c>
      <c r="K20" s="49">
        <f>VLOOKUP($A20,'Data shares'!$C:$FB,59)</f>
        <v>61195000</v>
      </c>
      <c r="L20" s="50">
        <f>VLOOKUP($A20,'Data shares'!$C:$FB,61)*100</f>
        <v>291.12</v>
      </c>
      <c r="M20" s="49">
        <f>VLOOKUP($A20,'Data shares'!$C:$FB,62)</f>
        <v>115855000</v>
      </c>
      <c r="N20" s="49">
        <f>VLOOKUP($A20,'Data shares'!$C:$FB,63)</f>
        <v>40515000</v>
      </c>
      <c r="O20" s="140">
        <f>VLOOKUP($A20,'Data shares'!$C:$FB,65)*100</f>
        <v>185.95999999999998</v>
      </c>
    </row>
    <row r="21" spans="1:15" x14ac:dyDescent="0.25">
      <c r="A21" s="101" t="str">
        <f>'Data shares'!C16</f>
        <v>ASIANPAINT</v>
      </c>
      <c r="B21" s="50">
        <f>VLOOKUP($A21,'Data shares'!$C:$FB,7)</f>
        <v>2759.7</v>
      </c>
      <c r="C21" s="50">
        <f>VLOOKUP($A21,'Data shares'!$C:$FB,10)*100</f>
        <v>-0.92999999999999994</v>
      </c>
      <c r="D21" s="49">
        <f>VLOOKUP($A21,'Data shares'!$C:$FB,66)</f>
        <v>10865250</v>
      </c>
      <c r="E21" s="49">
        <f>VLOOKUP($A21,'Data shares'!$C:$FB,67)</f>
        <v>10192750</v>
      </c>
      <c r="F21" s="50">
        <f>VLOOKUP($A21,'Data shares'!$C:$FB,69)*100</f>
        <v>6.6000000000000005</v>
      </c>
      <c r="G21" s="49">
        <f>VLOOKUP($A21,'Data shares'!$C:$FB,42)</f>
        <v>965000</v>
      </c>
      <c r="H21" s="49">
        <f>VLOOKUP($A21,'Data shares'!$C:$FB,43)</f>
        <v>1192750</v>
      </c>
      <c r="I21" s="50">
        <f>VLOOKUP($A21,'Data shares'!$C:$FB,45)*100</f>
        <v>-19.09</v>
      </c>
      <c r="J21" s="49">
        <f>VLOOKUP($A21,'Data shares'!$C:$FB,58)</f>
        <v>7020000</v>
      </c>
      <c r="K21" s="49">
        <f>VLOOKUP($A21,'Data shares'!$C:$FB,59)</f>
        <v>6514250</v>
      </c>
      <c r="L21" s="50">
        <f>VLOOKUP($A21,'Data shares'!$C:$FB,61)*100</f>
        <v>7.76</v>
      </c>
      <c r="M21" s="49">
        <f>VLOOKUP($A21,'Data shares'!$C:$FB,62)</f>
        <v>2880250</v>
      </c>
      <c r="N21" s="49">
        <f>VLOOKUP($A21,'Data shares'!$C:$FB,63)</f>
        <v>2485750</v>
      </c>
      <c r="O21" s="140">
        <f>VLOOKUP($A21,'Data shares'!$C:$FB,65)*100</f>
        <v>15.870000000000001</v>
      </c>
    </row>
    <row r="22" spans="1:15" x14ac:dyDescent="0.25">
      <c r="A22" s="101" t="str">
        <f>'Data shares'!C17</f>
        <v>ASTRAL</v>
      </c>
      <c r="B22" s="50">
        <f>VLOOKUP($A22,'Data shares'!$C:$FB,7)</f>
        <v>1407.9</v>
      </c>
      <c r="C22" s="50">
        <f>VLOOKUP($A22,'Data shares'!$C:$FB,10)*100</f>
        <v>-1.47</v>
      </c>
      <c r="D22" s="49">
        <f>VLOOKUP($A22,'Data shares'!$C:$FB,66)</f>
        <v>5165875</v>
      </c>
      <c r="E22" s="49">
        <f>VLOOKUP($A22,'Data shares'!$C:$FB,67)</f>
        <v>8644925</v>
      </c>
      <c r="F22" s="50">
        <f>VLOOKUP($A22,'Data shares'!$C:$FB,69)*100</f>
        <v>-40.239999999999995</v>
      </c>
      <c r="G22" s="49">
        <f>VLOOKUP($A22,'Data shares'!$C:$FB,42)</f>
        <v>998750</v>
      </c>
      <c r="H22" s="49">
        <f>VLOOKUP($A22,'Data shares'!$C:$FB,43)</f>
        <v>1251200</v>
      </c>
      <c r="I22" s="50">
        <f>VLOOKUP($A22,'Data shares'!$C:$FB,45)*100</f>
        <v>-20.18</v>
      </c>
      <c r="J22" s="49">
        <f>VLOOKUP($A22,'Data shares'!$C:$FB,58)</f>
        <v>2448850</v>
      </c>
      <c r="K22" s="49">
        <f>VLOOKUP($A22,'Data shares'!$C:$FB,59)</f>
        <v>4308225</v>
      </c>
      <c r="L22" s="50">
        <f>VLOOKUP($A22,'Data shares'!$C:$FB,61)*100</f>
        <v>-43.16</v>
      </c>
      <c r="M22" s="49">
        <f>VLOOKUP($A22,'Data shares'!$C:$FB,62)</f>
        <v>1718275</v>
      </c>
      <c r="N22" s="49">
        <f>VLOOKUP($A22,'Data shares'!$C:$FB,63)</f>
        <v>3085500</v>
      </c>
      <c r="O22" s="140">
        <f>VLOOKUP($A22,'Data shares'!$C:$FB,65)*100</f>
        <v>-44.31</v>
      </c>
    </row>
    <row r="23" spans="1:15" x14ac:dyDescent="0.25">
      <c r="A23" s="101" t="str">
        <f>'Data shares'!C18</f>
        <v>AUBANK</v>
      </c>
      <c r="B23" s="50">
        <f>VLOOKUP($A23,'Data shares'!$C:$FB,7)</f>
        <v>987.65</v>
      </c>
      <c r="C23" s="50">
        <f>VLOOKUP($A23,'Data shares'!$C:$FB,10)*100</f>
        <v>-0.27</v>
      </c>
      <c r="D23" s="49">
        <f>VLOOKUP($A23,'Data shares'!$C:$FB,66)</f>
        <v>15147000</v>
      </c>
      <c r="E23" s="49">
        <f>VLOOKUP($A23,'Data shares'!$C:$FB,67)</f>
        <v>33329000</v>
      </c>
      <c r="F23" s="50">
        <f>VLOOKUP($A23,'Data shares'!$C:$FB,69)*100</f>
        <v>-54.55</v>
      </c>
      <c r="G23" s="49">
        <f>VLOOKUP($A23,'Data shares'!$C:$FB,42)</f>
        <v>4698000</v>
      </c>
      <c r="H23" s="49">
        <f>VLOOKUP($A23,'Data shares'!$C:$FB,43)</f>
        <v>6378000</v>
      </c>
      <c r="I23" s="50">
        <f>VLOOKUP($A23,'Data shares'!$C:$FB,45)*100</f>
        <v>-26.340000000000003</v>
      </c>
      <c r="J23" s="49">
        <f>VLOOKUP($A23,'Data shares'!$C:$FB,58)</f>
        <v>6297000</v>
      </c>
      <c r="K23" s="49">
        <f>VLOOKUP($A23,'Data shares'!$C:$FB,59)</f>
        <v>19138000</v>
      </c>
      <c r="L23" s="50">
        <f>VLOOKUP($A23,'Data shares'!$C:$FB,61)*100</f>
        <v>-67.100000000000009</v>
      </c>
      <c r="M23" s="49">
        <f>VLOOKUP($A23,'Data shares'!$C:$FB,62)</f>
        <v>4152000</v>
      </c>
      <c r="N23" s="49">
        <f>VLOOKUP($A23,'Data shares'!$C:$FB,63)</f>
        <v>7813000</v>
      </c>
      <c r="O23" s="140">
        <f>VLOOKUP($A23,'Data shares'!$C:$FB,65)*100</f>
        <v>-46.86</v>
      </c>
    </row>
    <row r="24" spans="1:15" x14ac:dyDescent="0.25">
      <c r="A24" s="101" t="str">
        <f>'Data shares'!C19</f>
        <v>AUROPHARMA</v>
      </c>
      <c r="B24" s="50">
        <f>VLOOKUP($A24,'Data shares'!$C:$FB,7)</f>
        <v>1209.3</v>
      </c>
      <c r="C24" s="50">
        <f>VLOOKUP($A24,'Data shares'!$C:$FB,10)*100</f>
        <v>1.37</v>
      </c>
      <c r="D24" s="49">
        <f>VLOOKUP($A24,'Data shares'!$C:$FB,66)</f>
        <v>12348050</v>
      </c>
      <c r="E24" s="49">
        <f>VLOOKUP($A24,'Data shares'!$C:$FB,67)</f>
        <v>5931750</v>
      </c>
      <c r="F24" s="50">
        <f>VLOOKUP($A24,'Data shares'!$C:$FB,69)*100</f>
        <v>108.17000000000002</v>
      </c>
      <c r="G24" s="49">
        <f>VLOOKUP($A24,'Data shares'!$C:$FB,42)</f>
        <v>2848450</v>
      </c>
      <c r="H24" s="49">
        <f>VLOOKUP($A24,'Data shares'!$C:$FB,43)</f>
        <v>1632400</v>
      </c>
      <c r="I24" s="50">
        <f>VLOOKUP($A24,'Data shares'!$C:$FB,45)*100</f>
        <v>74.489999999999995</v>
      </c>
      <c r="J24" s="49">
        <f>VLOOKUP($A24,'Data shares'!$C:$FB,58)</f>
        <v>5965850</v>
      </c>
      <c r="K24" s="49">
        <f>VLOOKUP($A24,'Data shares'!$C:$FB,59)</f>
        <v>3166900</v>
      </c>
      <c r="L24" s="50">
        <f>VLOOKUP($A24,'Data shares'!$C:$FB,61)*100</f>
        <v>88.38000000000001</v>
      </c>
      <c r="M24" s="49">
        <f>VLOOKUP($A24,'Data shares'!$C:$FB,62)</f>
        <v>3533750</v>
      </c>
      <c r="N24" s="49">
        <f>VLOOKUP($A24,'Data shares'!$C:$FB,63)</f>
        <v>1132450</v>
      </c>
      <c r="O24" s="140">
        <f>VLOOKUP($A24,'Data shares'!$C:$FB,65)*100</f>
        <v>212.04000000000002</v>
      </c>
    </row>
    <row r="25" spans="1:15" x14ac:dyDescent="0.25">
      <c r="A25" s="101" t="str">
        <f>'Data shares'!C20</f>
        <v>AXISBANK</v>
      </c>
      <c r="B25" s="50">
        <f>VLOOKUP($A25,'Data shares'!$C:$FB,7)</f>
        <v>1229.8</v>
      </c>
      <c r="C25" s="50">
        <f>VLOOKUP($A25,'Data shares'!$C:$FB,10)*100</f>
        <v>0.42</v>
      </c>
      <c r="D25" s="49">
        <f>VLOOKUP($A25,'Data shares'!$C:$FB,66)</f>
        <v>59158125</v>
      </c>
      <c r="E25" s="49">
        <f>VLOOKUP($A25,'Data shares'!$C:$FB,67)</f>
        <v>99665625</v>
      </c>
      <c r="F25" s="50">
        <f>VLOOKUP($A25,'Data shares'!$C:$FB,69)*100</f>
        <v>-40.64</v>
      </c>
      <c r="G25" s="49">
        <f>VLOOKUP($A25,'Data shares'!$C:$FB,42)</f>
        <v>9660000</v>
      </c>
      <c r="H25" s="49">
        <f>VLOOKUP($A25,'Data shares'!$C:$FB,43)</f>
        <v>9078125</v>
      </c>
      <c r="I25" s="50">
        <f>VLOOKUP($A25,'Data shares'!$C:$FB,45)*100</f>
        <v>6.41</v>
      </c>
      <c r="J25" s="49">
        <f>VLOOKUP($A25,'Data shares'!$C:$FB,58)</f>
        <v>32048125</v>
      </c>
      <c r="K25" s="49">
        <f>VLOOKUP($A25,'Data shares'!$C:$FB,59)</f>
        <v>54635625</v>
      </c>
      <c r="L25" s="50">
        <f>VLOOKUP($A25,'Data shares'!$C:$FB,61)*100</f>
        <v>-41.339999999999996</v>
      </c>
      <c r="M25" s="49">
        <f>VLOOKUP($A25,'Data shares'!$C:$FB,62)</f>
        <v>17450000</v>
      </c>
      <c r="N25" s="49">
        <f>VLOOKUP($A25,'Data shares'!$C:$FB,63)</f>
        <v>35951875</v>
      </c>
      <c r="O25" s="140">
        <f>VLOOKUP($A25,'Data shares'!$C:$FB,65)*100</f>
        <v>-51.459999999999994</v>
      </c>
    </row>
    <row r="26" spans="1:15" x14ac:dyDescent="0.25">
      <c r="A26" s="101" t="str">
        <f>'Data shares'!C21</f>
        <v>BAJAJ-AUTO</v>
      </c>
      <c r="B26" s="50">
        <f>VLOOKUP($A26,'Data shares'!$C:$FB,7)</f>
        <v>8831</v>
      </c>
      <c r="C26" s="50">
        <f>VLOOKUP($A26,'Data shares'!$C:$FB,10)*100</f>
        <v>-0.72</v>
      </c>
      <c r="D26" s="49">
        <f>VLOOKUP($A26,'Data shares'!$C:$FB,66)</f>
        <v>5766450</v>
      </c>
      <c r="E26" s="49">
        <f>VLOOKUP($A26,'Data shares'!$C:$FB,67)</f>
        <v>4221675</v>
      </c>
      <c r="F26" s="50">
        <f>VLOOKUP($A26,'Data shares'!$C:$FB,69)*100</f>
        <v>36.590000000000003</v>
      </c>
      <c r="G26" s="49">
        <f>VLOOKUP($A26,'Data shares'!$C:$FB,42)</f>
        <v>593625</v>
      </c>
      <c r="H26" s="49">
        <f>VLOOKUP($A26,'Data shares'!$C:$FB,43)</f>
        <v>578925</v>
      </c>
      <c r="I26" s="50">
        <f>VLOOKUP($A26,'Data shares'!$C:$FB,45)*100</f>
        <v>2.54</v>
      </c>
      <c r="J26" s="49">
        <f>VLOOKUP($A26,'Data shares'!$C:$FB,58)</f>
        <v>3362925</v>
      </c>
      <c r="K26" s="49">
        <f>VLOOKUP($A26,'Data shares'!$C:$FB,59)</f>
        <v>2101125</v>
      </c>
      <c r="L26" s="50">
        <f>VLOOKUP($A26,'Data shares'!$C:$FB,61)*100</f>
        <v>60.050000000000004</v>
      </c>
      <c r="M26" s="49">
        <f>VLOOKUP($A26,'Data shares'!$C:$FB,62)</f>
        <v>1809900</v>
      </c>
      <c r="N26" s="49">
        <f>VLOOKUP($A26,'Data shares'!$C:$FB,63)</f>
        <v>1541625</v>
      </c>
      <c r="O26" s="140">
        <f>VLOOKUP($A26,'Data shares'!$C:$FB,65)*100</f>
        <v>17.399999999999999</v>
      </c>
    </row>
    <row r="27" spans="1:15" x14ac:dyDescent="0.25">
      <c r="A27" s="101" t="str">
        <f>'Data shares'!C22</f>
        <v>BAJAJFINSV</v>
      </c>
      <c r="B27" s="50">
        <f>VLOOKUP($A27,'Data shares'!$C:$FB,7)</f>
        <v>2026.3</v>
      </c>
      <c r="C27" s="50">
        <f>VLOOKUP($A27,'Data shares'!$C:$FB,10)*100</f>
        <v>0.25</v>
      </c>
      <c r="D27" s="49">
        <f>VLOOKUP($A27,'Data shares'!$C:$FB,66)</f>
        <v>7120000</v>
      </c>
      <c r="E27" s="49">
        <f>VLOOKUP($A27,'Data shares'!$C:$FB,67)</f>
        <v>8635750</v>
      </c>
      <c r="F27" s="50">
        <f>VLOOKUP($A27,'Data shares'!$C:$FB,69)*100</f>
        <v>-17.549999999999997</v>
      </c>
      <c r="G27" s="49">
        <f>VLOOKUP($A27,'Data shares'!$C:$FB,42)</f>
        <v>2114000</v>
      </c>
      <c r="H27" s="49">
        <f>VLOOKUP($A27,'Data shares'!$C:$FB,43)</f>
        <v>1484500</v>
      </c>
      <c r="I27" s="50">
        <f>VLOOKUP($A27,'Data shares'!$C:$FB,45)*100</f>
        <v>42.4</v>
      </c>
      <c r="J27" s="49">
        <f>VLOOKUP($A27,'Data shares'!$C:$FB,58)</f>
        <v>3383000</v>
      </c>
      <c r="K27" s="49">
        <f>VLOOKUP($A27,'Data shares'!$C:$FB,59)</f>
        <v>4274500</v>
      </c>
      <c r="L27" s="50">
        <f>VLOOKUP($A27,'Data shares'!$C:$FB,61)*100</f>
        <v>-20.86</v>
      </c>
      <c r="M27" s="49">
        <f>VLOOKUP($A27,'Data shares'!$C:$FB,62)</f>
        <v>1623000</v>
      </c>
      <c r="N27" s="49">
        <f>VLOOKUP($A27,'Data shares'!$C:$FB,63)</f>
        <v>2876750</v>
      </c>
      <c r="O27" s="140">
        <f>VLOOKUP($A27,'Data shares'!$C:$FB,65)*100</f>
        <v>-43.580000000000005</v>
      </c>
    </row>
    <row r="28" spans="1:15" x14ac:dyDescent="0.25">
      <c r="A28" s="101" t="str">
        <f>'Data shares'!C23</f>
        <v>BAJFINANCE</v>
      </c>
      <c r="B28" s="50">
        <f>VLOOKUP($A28,'Data shares'!$C:$FB,7)</f>
        <v>1000.3</v>
      </c>
      <c r="C28" s="50">
        <f>VLOOKUP($A28,'Data shares'!$C:$FB,10)*100</f>
        <v>6.9999999999999993E-2</v>
      </c>
      <c r="D28" s="49">
        <f>VLOOKUP($A28,'Data shares'!$C:$FB,66)</f>
        <v>44316750</v>
      </c>
      <c r="E28" s="49">
        <f>VLOOKUP($A28,'Data shares'!$C:$FB,67)</f>
        <v>47657250</v>
      </c>
      <c r="F28" s="50">
        <f>VLOOKUP($A28,'Data shares'!$C:$FB,69)*100</f>
        <v>-7.01</v>
      </c>
      <c r="G28" s="49">
        <f>VLOOKUP($A28,'Data shares'!$C:$FB,42)</f>
        <v>10113000</v>
      </c>
      <c r="H28" s="49">
        <f>VLOOKUP($A28,'Data shares'!$C:$FB,43)</f>
        <v>9633750</v>
      </c>
      <c r="I28" s="50">
        <f>VLOOKUP($A28,'Data shares'!$C:$FB,45)*100</f>
        <v>4.97</v>
      </c>
      <c r="J28" s="49">
        <f>VLOOKUP($A28,'Data shares'!$C:$FB,58)</f>
        <v>23047500</v>
      </c>
      <c r="K28" s="49">
        <f>VLOOKUP($A28,'Data shares'!$C:$FB,59)</f>
        <v>25860750</v>
      </c>
      <c r="L28" s="50">
        <f>VLOOKUP($A28,'Data shares'!$C:$FB,61)*100</f>
        <v>-10.879999999999999</v>
      </c>
      <c r="M28" s="49">
        <f>VLOOKUP($A28,'Data shares'!$C:$FB,62)</f>
        <v>11156250</v>
      </c>
      <c r="N28" s="49">
        <f>VLOOKUP($A28,'Data shares'!$C:$FB,63)</f>
        <v>12162750</v>
      </c>
      <c r="O28" s="140">
        <f>VLOOKUP($A28,'Data shares'!$C:$FB,65)*100</f>
        <v>-8.2799999999999994</v>
      </c>
    </row>
    <row r="29" spans="1:15" x14ac:dyDescent="0.25">
      <c r="A29" s="101" t="str">
        <f>'Data shares'!C24</f>
        <v>BANDHANBNK</v>
      </c>
      <c r="B29" s="50">
        <f>VLOOKUP($A29,'Data shares'!$C:$FB,7)</f>
        <v>145.33000000000001</v>
      </c>
      <c r="C29" s="50">
        <f>VLOOKUP($A29,'Data shares'!$C:$FB,10)*100</f>
        <v>-1.7000000000000002</v>
      </c>
      <c r="D29" s="49">
        <f>VLOOKUP($A29,'Data shares'!$C:$FB,66)</f>
        <v>2804400</v>
      </c>
      <c r="E29" s="49">
        <f>VLOOKUP($A29,'Data shares'!$C:$FB,67)</f>
        <v>2296800</v>
      </c>
      <c r="F29" s="50">
        <f>VLOOKUP($A29,'Data shares'!$C:$FB,69)*100</f>
        <v>22.1</v>
      </c>
      <c r="G29" s="49">
        <f>VLOOKUP($A29,'Data shares'!$C:$FB,42)</f>
        <v>860400</v>
      </c>
      <c r="H29" s="49">
        <f>VLOOKUP($A29,'Data shares'!$C:$FB,43)</f>
        <v>331200</v>
      </c>
      <c r="I29" s="50">
        <f>VLOOKUP($A29,'Data shares'!$C:$FB,45)*100</f>
        <v>159.78</v>
      </c>
      <c r="J29" s="49">
        <f>VLOOKUP($A29,'Data shares'!$C:$FB,58)</f>
        <v>1544400</v>
      </c>
      <c r="K29" s="49">
        <f>VLOOKUP($A29,'Data shares'!$C:$FB,59)</f>
        <v>1688400</v>
      </c>
      <c r="L29" s="50">
        <f>VLOOKUP($A29,'Data shares'!$C:$FB,61)*100</f>
        <v>-8.5299999999999994</v>
      </c>
      <c r="M29" s="49">
        <f>VLOOKUP($A29,'Data shares'!$C:$FB,62)</f>
        <v>399600</v>
      </c>
      <c r="N29" s="49">
        <f>VLOOKUP($A29,'Data shares'!$C:$FB,63)</f>
        <v>277200</v>
      </c>
      <c r="O29" s="140">
        <f>VLOOKUP($A29,'Data shares'!$C:$FB,65)*100</f>
        <v>44.16</v>
      </c>
    </row>
    <row r="30" spans="1:15" x14ac:dyDescent="0.25">
      <c r="A30" s="101" t="str">
        <f>'Data shares'!C25</f>
        <v>BANKBARODA</v>
      </c>
      <c r="B30" s="50">
        <f>VLOOKUP($A30,'Data shares'!$C:$FB,7)</f>
        <v>288.10000000000002</v>
      </c>
      <c r="C30" s="50">
        <f>VLOOKUP($A30,'Data shares'!$C:$FB,10)*100</f>
        <v>0.16999999999999998</v>
      </c>
      <c r="D30" s="49">
        <f>VLOOKUP($A30,'Data shares'!$C:$FB,66)</f>
        <v>86498100</v>
      </c>
      <c r="E30" s="49">
        <f>VLOOKUP($A30,'Data shares'!$C:$FB,67)</f>
        <v>122265000</v>
      </c>
      <c r="F30" s="50">
        <f>VLOOKUP($A30,'Data shares'!$C:$FB,69)*100</f>
        <v>-29.25</v>
      </c>
      <c r="G30" s="49">
        <f>VLOOKUP($A30,'Data shares'!$C:$FB,42)</f>
        <v>12495600</v>
      </c>
      <c r="H30" s="49">
        <f>VLOOKUP($A30,'Data shares'!$C:$FB,43)</f>
        <v>19334250</v>
      </c>
      <c r="I30" s="50">
        <f>VLOOKUP($A30,'Data shares'!$C:$FB,45)*100</f>
        <v>-35.370000000000005</v>
      </c>
      <c r="J30" s="49">
        <f>VLOOKUP($A30,'Data shares'!$C:$FB,58)</f>
        <v>47463975</v>
      </c>
      <c r="K30" s="49">
        <f>VLOOKUP($A30,'Data shares'!$C:$FB,59)</f>
        <v>67585050</v>
      </c>
      <c r="L30" s="50">
        <f>VLOOKUP($A30,'Data shares'!$C:$FB,61)*100</f>
        <v>-29.770000000000003</v>
      </c>
      <c r="M30" s="49">
        <f>VLOOKUP($A30,'Data shares'!$C:$FB,62)</f>
        <v>26538525</v>
      </c>
      <c r="N30" s="49">
        <f>VLOOKUP($A30,'Data shares'!$C:$FB,63)</f>
        <v>35345700</v>
      </c>
      <c r="O30" s="140">
        <f>VLOOKUP($A30,'Data shares'!$C:$FB,65)*100</f>
        <v>-24.92</v>
      </c>
    </row>
    <row r="31" spans="1:15" x14ac:dyDescent="0.25">
      <c r="A31" s="101" t="str">
        <f>'Data shares'!C26</f>
        <v>BANKINDIA</v>
      </c>
      <c r="B31" s="50">
        <f>VLOOKUP($A31,'Data shares'!$C:$FB,7)</f>
        <v>142.30000000000001</v>
      </c>
      <c r="C31" s="50">
        <f>VLOOKUP($A31,'Data shares'!$C:$FB,10)*100</f>
        <v>0.24</v>
      </c>
      <c r="D31" s="49">
        <f>VLOOKUP($A31,'Data shares'!$C:$FB,66)</f>
        <v>32006000</v>
      </c>
      <c r="E31" s="49">
        <f>VLOOKUP($A31,'Data shares'!$C:$FB,67)</f>
        <v>56893200</v>
      </c>
      <c r="F31" s="50">
        <f>VLOOKUP($A31,'Data shares'!$C:$FB,69)*100</f>
        <v>-43.74</v>
      </c>
      <c r="G31" s="49">
        <f>VLOOKUP($A31,'Data shares'!$C:$FB,42)</f>
        <v>8294000</v>
      </c>
      <c r="H31" s="49">
        <f>VLOOKUP($A31,'Data shares'!$C:$FB,43)</f>
        <v>11008400</v>
      </c>
      <c r="I31" s="50">
        <f>VLOOKUP($A31,'Data shares'!$C:$FB,45)*100</f>
        <v>-24.66</v>
      </c>
      <c r="J31" s="49">
        <f>VLOOKUP($A31,'Data shares'!$C:$FB,58)</f>
        <v>13702000</v>
      </c>
      <c r="K31" s="49">
        <f>VLOOKUP($A31,'Data shares'!$C:$FB,59)</f>
        <v>33727200</v>
      </c>
      <c r="L31" s="50">
        <f>VLOOKUP($A31,'Data shares'!$C:$FB,61)*100</f>
        <v>-59.37</v>
      </c>
      <c r="M31" s="49">
        <f>VLOOKUP($A31,'Data shares'!$C:$FB,62)</f>
        <v>10010000</v>
      </c>
      <c r="N31" s="49">
        <f>VLOOKUP($A31,'Data shares'!$C:$FB,63)</f>
        <v>12157600</v>
      </c>
      <c r="O31" s="140">
        <f>VLOOKUP($A31,'Data shares'!$C:$FB,65)*100</f>
        <v>-17.66</v>
      </c>
    </row>
    <row r="32" spans="1:15" x14ac:dyDescent="0.25">
      <c r="A32" s="101" t="str">
        <f>'Data shares'!C27</f>
        <v>BANKNIFTY</v>
      </c>
      <c r="B32" s="50">
        <f>VLOOKUP($A32,'Data shares'!$C:$FB,7)</f>
        <v>58912.85</v>
      </c>
      <c r="C32" s="50">
        <f>VLOOKUP($A32,'Data shares'!$C:$FB,10)*100</f>
        <v>-0.02</v>
      </c>
      <c r="D32" s="49">
        <f>VLOOKUP($A32,'Data shares'!$C:$FB,66)</f>
        <v>118358835</v>
      </c>
      <c r="E32" s="49">
        <f>VLOOKUP($A32,'Data shares'!$C:$FB,67)</f>
        <v>98172585</v>
      </c>
      <c r="F32" s="50">
        <f>VLOOKUP($A32,'Data shares'!$C:$FB,69)*100</f>
        <v>20.560000000000002</v>
      </c>
      <c r="G32" s="49">
        <f>VLOOKUP($A32,'Data shares'!$C:$FB,42)</f>
        <v>930475</v>
      </c>
      <c r="H32" s="49">
        <f>VLOOKUP($A32,'Data shares'!$C:$FB,43)</f>
        <v>769020</v>
      </c>
      <c r="I32" s="50">
        <f>VLOOKUP($A32,'Data shares'!$C:$FB,45)*100</f>
        <v>20.990000000000002</v>
      </c>
      <c r="J32" s="49">
        <f>VLOOKUP($A32,'Data shares'!$C:$FB,58)</f>
        <v>61161940</v>
      </c>
      <c r="K32" s="49">
        <f>VLOOKUP($A32,'Data shares'!$C:$FB,59)</f>
        <v>49637910</v>
      </c>
      <c r="L32" s="50">
        <f>VLOOKUP($A32,'Data shares'!$C:$FB,61)*100</f>
        <v>23.22</v>
      </c>
      <c r="M32" s="49">
        <f>VLOOKUP($A32,'Data shares'!$C:$FB,62)</f>
        <v>56266420</v>
      </c>
      <c r="N32" s="49">
        <f>VLOOKUP($A32,'Data shares'!$C:$FB,63)</f>
        <v>47765655</v>
      </c>
      <c r="O32" s="140">
        <f>VLOOKUP($A32,'Data shares'!$C:$FB,65)*100</f>
        <v>17.8</v>
      </c>
    </row>
    <row r="33" spans="1:15" x14ac:dyDescent="0.25">
      <c r="A33" s="101" t="str">
        <f>'Data shares'!C28</f>
        <v>BDL</v>
      </c>
      <c r="B33" s="50">
        <f>VLOOKUP($A33,'Data shares'!$C:$FB,7)</f>
        <v>1342.5</v>
      </c>
      <c r="C33" s="50">
        <f>VLOOKUP($A33,'Data shares'!$C:$FB,10)*100</f>
        <v>1.37</v>
      </c>
      <c r="D33" s="49">
        <f>VLOOKUP($A33,'Data shares'!$C:$FB,66)</f>
        <v>17460300</v>
      </c>
      <c r="E33" s="49">
        <f>VLOOKUP($A33,'Data shares'!$C:$FB,67)</f>
        <v>17512625</v>
      </c>
      <c r="F33" s="50">
        <f>VLOOKUP($A33,'Data shares'!$C:$FB,69)*100</f>
        <v>-0.3</v>
      </c>
      <c r="G33" s="49">
        <f>VLOOKUP($A33,'Data shares'!$C:$FB,42)</f>
        <v>1596725</v>
      </c>
      <c r="H33" s="49">
        <f>VLOOKUP($A33,'Data shares'!$C:$FB,43)</f>
        <v>1398475</v>
      </c>
      <c r="I33" s="50">
        <f>VLOOKUP($A33,'Data shares'!$C:$FB,45)*100</f>
        <v>14.180000000000001</v>
      </c>
      <c r="J33" s="49">
        <f>VLOOKUP($A33,'Data shares'!$C:$FB,58)</f>
        <v>10648300</v>
      </c>
      <c r="K33" s="49">
        <f>VLOOKUP($A33,'Data shares'!$C:$FB,59)</f>
        <v>9880975</v>
      </c>
      <c r="L33" s="50">
        <f>VLOOKUP($A33,'Data shares'!$C:$FB,61)*100</f>
        <v>7.7700000000000005</v>
      </c>
      <c r="M33" s="49">
        <f>VLOOKUP($A33,'Data shares'!$C:$FB,62)</f>
        <v>5215275</v>
      </c>
      <c r="N33" s="49">
        <f>VLOOKUP($A33,'Data shares'!$C:$FB,63)</f>
        <v>6233175</v>
      </c>
      <c r="O33" s="140">
        <f>VLOOKUP($A33,'Data shares'!$C:$FB,65)*100</f>
        <v>-16.329999999999998</v>
      </c>
    </row>
    <row r="34" spans="1:15" x14ac:dyDescent="0.25">
      <c r="A34" s="101" t="str">
        <f>'Data shares'!C29</f>
        <v>BEL</v>
      </c>
      <c r="B34" s="50">
        <f>VLOOKUP($A34,'Data shares'!$C:$FB,7)</f>
        <v>383.45</v>
      </c>
      <c r="C34" s="50">
        <f>VLOOKUP($A34,'Data shares'!$C:$FB,10)*100</f>
        <v>-0.55999999999999994</v>
      </c>
      <c r="D34" s="49">
        <f>VLOOKUP($A34,'Data shares'!$C:$FB,66)</f>
        <v>148013325</v>
      </c>
      <c r="E34" s="49">
        <f>VLOOKUP($A34,'Data shares'!$C:$FB,67)</f>
        <v>105411525</v>
      </c>
      <c r="F34" s="50">
        <f>VLOOKUP($A34,'Data shares'!$C:$FB,69)*100</f>
        <v>40.410000000000004</v>
      </c>
      <c r="G34" s="49">
        <f>VLOOKUP($A34,'Data shares'!$C:$FB,42)</f>
        <v>19535325</v>
      </c>
      <c r="H34" s="49">
        <f>VLOOKUP($A34,'Data shares'!$C:$FB,43)</f>
        <v>14264250</v>
      </c>
      <c r="I34" s="50">
        <f>VLOOKUP($A34,'Data shares'!$C:$FB,45)*100</f>
        <v>36.950000000000003</v>
      </c>
      <c r="J34" s="49">
        <f>VLOOKUP($A34,'Data shares'!$C:$FB,58)</f>
        <v>86602950</v>
      </c>
      <c r="K34" s="49">
        <f>VLOOKUP($A34,'Data shares'!$C:$FB,59)</f>
        <v>65381850</v>
      </c>
      <c r="L34" s="50">
        <f>VLOOKUP($A34,'Data shares'!$C:$FB,61)*100</f>
        <v>32.46</v>
      </c>
      <c r="M34" s="49">
        <f>VLOOKUP($A34,'Data shares'!$C:$FB,62)</f>
        <v>41875050</v>
      </c>
      <c r="N34" s="49">
        <f>VLOOKUP($A34,'Data shares'!$C:$FB,63)</f>
        <v>25765425</v>
      </c>
      <c r="O34" s="140">
        <f>VLOOKUP($A34,'Data shares'!$C:$FB,65)*100</f>
        <v>62.519999999999996</v>
      </c>
    </row>
    <row r="35" spans="1:15" x14ac:dyDescent="0.25">
      <c r="A35" s="101" t="str">
        <f>'Data shares'!C30</f>
        <v>BHARATFORG</v>
      </c>
      <c r="B35" s="50">
        <f>VLOOKUP($A35,'Data shares'!$C:$FB,7)</f>
        <v>1407.5</v>
      </c>
      <c r="C35" s="50">
        <f>VLOOKUP($A35,'Data shares'!$C:$FB,10)*100</f>
        <v>-0.41000000000000003</v>
      </c>
      <c r="D35" s="49">
        <f>VLOOKUP($A35,'Data shares'!$C:$FB,66)</f>
        <v>7153000</v>
      </c>
      <c r="E35" s="49">
        <f>VLOOKUP($A35,'Data shares'!$C:$FB,67)</f>
        <v>6660000</v>
      </c>
      <c r="F35" s="50">
        <f>VLOOKUP($A35,'Data shares'!$C:$FB,69)*100</f>
        <v>7.3999999999999995</v>
      </c>
      <c r="G35" s="49">
        <f>VLOOKUP($A35,'Data shares'!$C:$FB,42)</f>
        <v>1233500</v>
      </c>
      <c r="H35" s="49">
        <f>VLOOKUP($A35,'Data shares'!$C:$FB,43)</f>
        <v>1373000</v>
      </c>
      <c r="I35" s="50">
        <f>VLOOKUP($A35,'Data shares'!$C:$FB,45)*100</f>
        <v>-10.16</v>
      </c>
      <c r="J35" s="49">
        <f>VLOOKUP($A35,'Data shares'!$C:$FB,58)</f>
        <v>3407000</v>
      </c>
      <c r="K35" s="49">
        <f>VLOOKUP($A35,'Data shares'!$C:$FB,59)</f>
        <v>3680000</v>
      </c>
      <c r="L35" s="50">
        <f>VLOOKUP($A35,'Data shares'!$C:$FB,61)*100</f>
        <v>-7.42</v>
      </c>
      <c r="M35" s="49">
        <f>VLOOKUP($A35,'Data shares'!$C:$FB,62)</f>
        <v>2512500</v>
      </c>
      <c r="N35" s="49">
        <f>VLOOKUP($A35,'Data shares'!$C:$FB,63)</f>
        <v>1607000</v>
      </c>
      <c r="O35" s="140">
        <f>VLOOKUP($A35,'Data shares'!$C:$FB,65)*100</f>
        <v>56.35</v>
      </c>
    </row>
    <row r="36" spans="1:15" x14ac:dyDescent="0.25">
      <c r="A36" s="101" t="str">
        <f>'Data shares'!C31</f>
        <v>BHARTIARTL</v>
      </c>
      <c r="B36" s="50">
        <f>VLOOKUP($A36,'Data shares'!$C:$FB,7)</f>
        <v>2092</v>
      </c>
      <c r="C36" s="50">
        <f>VLOOKUP($A36,'Data shares'!$C:$FB,10)*100</f>
        <v>-0.76</v>
      </c>
      <c r="D36" s="49">
        <f>VLOOKUP($A36,'Data shares'!$C:$FB,66)</f>
        <v>31035550</v>
      </c>
      <c r="E36" s="49">
        <f>VLOOKUP($A36,'Data shares'!$C:$FB,67)</f>
        <v>37221950</v>
      </c>
      <c r="F36" s="50">
        <f>VLOOKUP($A36,'Data shares'!$C:$FB,69)*100</f>
        <v>-16.619999999999997</v>
      </c>
      <c r="G36" s="49">
        <f>VLOOKUP($A36,'Data shares'!$C:$FB,42)</f>
        <v>5247325</v>
      </c>
      <c r="H36" s="49">
        <f>VLOOKUP($A36,'Data shares'!$C:$FB,43)</f>
        <v>4034650</v>
      </c>
      <c r="I36" s="50">
        <f>VLOOKUP($A36,'Data shares'!$C:$FB,45)*100</f>
        <v>30.06</v>
      </c>
      <c r="J36" s="49">
        <f>VLOOKUP($A36,'Data shares'!$C:$FB,58)</f>
        <v>16976500</v>
      </c>
      <c r="K36" s="49">
        <f>VLOOKUP($A36,'Data shares'!$C:$FB,59)</f>
        <v>21973500</v>
      </c>
      <c r="L36" s="50">
        <f>VLOOKUP($A36,'Data shares'!$C:$FB,61)*100</f>
        <v>-22.74</v>
      </c>
      <c r="M36" s="49">
        <f>VLOOKUP($A36,'Data shares'!$C:$FB,62)</f>
        <v>8811725</v>
      </c>
      <c r="N36" s="49">
        <f>VLOOKUP($A36,'Data shares'!$C:$FB,63)</f>
        <v>11213800</v>
      </c>
      <c r="O36" s="140">
        <f>VLOOKUP($A36,'Data shares'!$C:$FB,65)*100</f>
        <v>-21.42</v>
      </c>
    </row>
    <row r="37" spans="1:15" x14ac:dyDescent="0.25">
      <c r="A37" s="101" t="str">
        <f>'Data shares'!C32</f>
        <v>BHEL</v>
      </c>
      <c r="B37" s="50">
        <f>VLOOKUP($A37,'Data shares'!$C:$FB,7)</f>
        <v>275.05</v>
      </c>
      <c r="C37" s="50">
        <f>VLOOKUP($A37,'Data shares'!$C:$FB,10)*100</f>
        <v>-1.01</v>
      </c>
      <c r="D37" s="49">
        <f>VLOOKUP($A37,'Data shares'!$C:$FB,66)</f>
        <v>98991375</v>
      </c>
      <c r="E37" s="49">
        <f>VLOOKUP($A37,'Data shares'!$C:$FB,67)</f>
        <v>60705750</v>
      </c>
      <c r="F37" s="50">
        <f>VLOOKUP($A37,'Data shares'!$C:$FB,69)*100</f>
        <v>63.070000000000007</v>
      </c>
      <c r="G37" s="49">
        <f>VLOOKUP($A37,'Data shares'!$C:$FB,42)</f>
        <v>11576250</v>
      </c>
      <c r="H37" s="49">
        <f>VLOOKUP($A37,'Data shares'!$C:$FB,43)</f>
        <v>7980000</v>
      </c>
      <c r="I37" s="50">
        <f>VLOOKUP($A37,'Data shares'!$C:$FB,45)*100</f>
        <v>45.07</v>
      </c>
      <c r="J37" s="49">
        <f>VLOOKUP($A37,'Data shares'!$C:$FB,58)</f>
        <v>59905125</v>
      </c>
      <c r="K37" s="49">
        <f>VLOOKUP($A37,'Data shares'!$C:$FB,59)</f>
        <v>39921000</v>
      </c>
      <c r="L37" s="50">
        <f>VLOOKUP($A37,'Data shares'!$C:$FB,61)*100</f>
        <v>50.06</v>
      </c>
      <c r="M37" s="49">
        <f>VLOOKUP($A37,'Data shares'!$C:$FB,62)</f>
        <v>27510000</v>
      </c>
      <c r="N37" s="49">
        <f>VLOOKUP($A37,'Data shares'!$C:$FB,63)</f>
        <v>12804750</v>
      </c>
      <c r="O37" s="140">
        <f>VLOOKUP($A37,'Data shares'!$C:$FB,65)*100</f>
        <v>114.84</v>
      </c>
    </row>
    <row r="38" spans="1:15" x14ac:dyDescent="0.25">
      <c r="A38" s="101" t="str">
        <f>'Data shares'!C33</f>
        <v>BIOCON</v>
      </c>
      <c r="B38" s="50">
        <f>VLOOKUP($A38,'Data shares'!$C:$FB,7)</f>
        <v>392.25</v>
      </c>
      <c r="C38" s="50">
        <f>VLOOKUP($A38,'Data shares'!$C:$FB,10)*100</f>
        <v>1.59</v>
      </c>
      <c r="D38" s="49">
        <f>VLOOKUP($A38,'Data shares'!$C:$FB,66)</f>
        <v>67512500</v>
      </c>
      <c r="E38" s="49">
        <f>VLOOKUP($A38,'Data shares'!$C:$FB,67)</f>
        <v>28362500</v>
      </c>
      <c r="F38" s="50">
        <f>VLOOKUP($A38,'Data shares'!$C:$FB,69)*100</f>
        <v>138.03</v>
      </c>
      <c r="G38" s="49">
        <f>VLOOKUP($A38,'Data shares'!$C:$FB,42)</f>
        <v>10057500</v>
      </c>
      <c r="H38" s="49">
        <f>VLOOKUP($A38,'Data shares'!$C:$FB,43)</f>
        <v>3705000</v>
      </c>
      <c r="I38" s="50">
        <f>VLOOKUP($A38,'Data shares'!$C:$FB,45)*100</f>
        <v>171.45999999999998</v>
      </c>
      <c r="J38" s="49">
        <f>VLOOKUP($A38,'Data shares'!$C:$FB,58)</f>
        <v>39610000</v>
      </c>
      <c r="K38" s="49">
        <f>VLOOKUP($A38,'Data shares'!$C:$FB,59)</f>
        <v>18440000</v>
      </c>
      <c r="L38" s="50">
        <f>VLOOKUP($A38,'Data shares'!$C:$FB,61)*100</f>
        <v>114.8</v>
      </c>
      <c r="M38" s="49">
        <f>VLOOKUP($A38,'Data shares'!$C:$FB,62)</f>
        <v>17845000</v>
      </c>
      <c r="N38" s="49">
        <f>VLOOKUP($A38,'Data shares'!$C:$FB,63)</f>
        <v>6217500</v>
      </c>
      <c r="O38" s="140">
        <f>VLOOKUP($A38,'Data shares'!$C:$FB,65)*100</f>
        <v>187.01000000000002</v>
      </c>
    </row>
    <row r="39" spans="1:15" x14ac:dyDescent="0.25">
      <c r="A39" s="101" t="str">
        <f>'Data shares'!C34</f>
        <v>BLUESTARCO</v>
      </c>
      <c r="B39" s="50">
        <f>VLOOKUP($A39,'Data shares'!$C:$FB,7)</f>
        <v>1854.6</v>
      </c>
      <c r="C39" s="50">
        <f>VLOOKUP($A39,'Data shares'!$C:$FB,10)*100</f>
        <v>1.52</v>
      </c>
      <c r="D39" s="49">
        <f>VLOOKUP($A39,'Data shares'!$C:$FB,66)</f>
        <v>3389100</v>
      </c>
      <c r="E39" s="49">
        <f>VLOOKUP($A39,'Data shares'!$C:$FB,67)</f>
        <v>1531075</v>
      </c>
      <c r="F39" s="50">
        <f>VLOOKUP($A39,'Data shares'!$C:$FB,69)*100</f>
        <v>121.35000000000001</v>
      </c>
      <c r="G39" s="49">
        <f>VLOOKUP($A39,'Data shares'!$C:$FB,42)</f>
        <v>533000</v>
      </c>
      <c r="H39" s="49">
        <f>VLOOKUP($A39,'Data shares'!$C:$FB,43)</f>
        <v>264875</v>
      </c>
      <c r="I39" s="50">
        <f>VLOOKUP($A39,'Data shares'!$C:$FB,45)*100</f>
        <v>101.23</v>
      </c>
      <c r="J39" s="49">
        <f>VLOOKUP($A39,'Data shares'!$C:$FB,58)</f>
        <v>1729000</v>
      </c>
      <c r="K39" s="49">
        <f>VLOOKUP($A39,'Data shares'!$C:$FB,59)</f>
        <v>1029925</v>
      </c>
      <c r="L39" s="50">
        <f>VLOOKUP($A39,'Data shares'!$C:$FB,61)*100</f>
        <v>67.88</v>
      </c>
      <c r="M39" s="49">
        <f>VLOOKUP($A39,'Data shares'!$C:$FB,62)</f>
        <v>1127100</v>
      </c>
      <c r="N39" s="49">
        <f>VLOOKUP($A39,'Data shares'!$C:$FB,63)</f>
        <v>236275</v>
      </c>
      <c r="O39" s="140">
        <f>VLOOKUP($A39,'Data shares'!$C:$FB,65)*100</f>
        <v>377.03000000000003</v>
      </c>
    </row>
    <row r="40" spans="1:15" x14ac:dyDescent="0.25">
      <c r="A40" s="101" t="str">
        <f>'Data shares'!C35</f>
        <v>BOSCHLTD</v>
      </c>
      <c r="B40" s="50">
        <f>VLOOKUP($A40,'Data shares'!$C:$FB,7)</f>
        <v>35720</v>
      </c>
      <c r="C40" s="50">
        <f>VLOOKUP($A40,'Data shares'!$C:$FB,10)*100</f>
        <v>-0.71000000000000008</v>
      </c>
      <c r="D40" s="49">
        <f>VLOOKUP($A40,'Data shares'!$C:$FB,66)</f>
        <v>181200</v>
      </c>
      <c r="E40" s="49">
        <f>VLOOKUP($A40,'Data shares'!$C:$FB,67)</f>
        <v>182375</v>
      </c>
      <c r="F40" s="50">
        <f>VLOOKUP($A40,'Data shares'!$C:$FB,69)*100</f>
        <v>-0.64</v>
      </c>
      <c r="G40" s="49">
        <f>VLOOKUP($A40,'Data shares'!$C:$FB,42)</f>
        <v>29000</v>
      </c>
      <c r="H40" s="49">
        <f>VLOOKUP($A40,'Data shares'!$C:$FB,43)</f>
        <v>20825</v>
      </c>
      <c r="I40" s="50">
        <f>VLOOKUP($A40,'Data shares'!$C:$FB,45)*100</f>
        <v>39.26</v>
      </c>
      <c r="J40" s="49">
        <f>VLOOKUP($A40,'Data shares'!$C:$FB,58)</f>
        <v>127250</v>
      </c>
      <c r="K40" s="49">
        <f>VLOOKUP($A40,'Data shares'!$C:$FB,59)</f>
        <v>140550</v>
      </c>
      <c r="L40" s="50">
        <f>VLOOKUP($A40,'Data shares'!$C:$FB,61)*100</f>
        <v>-9.4600000000000009</v>
      </c>
      <c r="M40" s="49">
        <f>VLOOKUP($A40,'Data shares'!$C:$FB,62)</f>
        <v>24950</v>
      </c>
      <c r="N40" s="49">
        <f>VLOOKUP($A40,'Data shares'!$C:$FB,63)</f>
        <v>21000</v>
      </c>
      <c r="O40" s="140">
        <f>VLOOKUP($A40,'Data shares'!$C:$FB,65)*100</f>
        <v>18.809999999999999</v>
      </c>
    </row>
    <row r="41" spans="1:15" x14ac:dyDescent="0.25">
      <c r="A41" s="101" t="str">
        <f>'Data shares'!C36</f>
        <v>BPCL</v>
      </c>
      <c r="B41" s="50">
        <f>VLOOKUP($A41,'Data shares'!$C:$FB,7)</f>
        <v>363.35</v>
      </c>
      <c r="C41" s="50">
        <f>VLOOKUP($A41,'Data shares'!$C:$FB,10)*100</f>
        <v>-1.3599999999999999</v>
      </c>
      <c r="D41" s="49">
        <f>VLOOKUP($A41,'Data shares'!$C:$FB,66)</f>
        <v>33543400</v>
      </c>
      <c r="E41" s="49">
        <f>VLOOKUP($A41,'Data shares'!$C:$FB,67)</f>
        <v>67782000</v>
      </c>
      <c r="F41" s="50">
        <f>VLOOKUP($A41,'Data shares'!$C:$FB,69)*100</f>
        <v>-50.51</v>
      </c>
      <c r="G41" s="49">
        <f>VLOOKUP($A41,'Data shares'!$C:$FB,42)</f>
        <v>4631375</v>
      </c>
      <c r="H41" s="49">
        <f>VLOOKUP($A41,'Data shares'!$C:$FB,43)</f>
        <v>6353575</v>
      </c>
      <c r="I41" s="50">
        <f>VLOOKUP($A41,'Data shares'!$C:$FB,45)*100</f>
        <v>-27.11</v>
      </c>
      <c r="J41" s="49">
        <f>VLOOKUP($A41,'Data shares'!$C:$FB,58)</f>
        <v>20330650</v>
      </c>
      <c r="K41" s="49">
        <f>VLOOKUP($A41,'Data shares'!$C:$FB,59)</f>
        <v>48448725</v>
      </c>
      <c r="L41" s="50">
        <f>VLOOKUP($A41,'Data shares'!$C:$FB,61)*100</f>
        <v>-58.040000000000006</v>
      </c>
      <c r="M41" s="49">
        <f>VLOOKUP($A41,'Data shares'!$C:$FB,62)</f>
        <v>8581375</v>
      </c>
      <c r="N41" s="49">
        <f>VLOOKUP($A41,'Data shares'!$C:$FB,63)</f>
        <v>12979700</v>
      </c>
      <c r="O41" s="140">
        <f>VLOOKUP($A41,'Data shares'!$C:$FB,65)*100</f>
        <v>-33.89</v>
      </c>
    </row>
    <row r="42" spans="1:15" x14ac:dyDescent="0.25">
      <c r="A42" s="101" t="str">
        <f>'Data shares'!C37</f>
        <v>BRITANNIA</v>
      </c>
      <c r="B42" s="50">
        <f>VLOOKUP($A42,'Data shares'!$C:$FB,7)</f>
        <v>6040.5</v>
      </c>
      <c r="C42" s="50">
        <f>VLOOKUP($A42,'Data shares'!$C:$FB,10)*100</f>
        <v>-0.91</v>
      </c>
      <c r="D42" s="49">
        <f>VLOOKUP($A42,'Data shares'!$C:$FB,66)</f>
        <v>3967875</v>
      </c>
      <c r="E42" s="49">
        <f>VLOOKUP($A42,'Data shares'!$C:$FB,67)</f>
        <v>2917375</v>
      </c>
      <c r="F42" s="50">
        <f>VLOOKUP($A42,'Data shares'!$C:$FB,69)*100</f>
        <v>36.01</v>
      </c>
      <c r="G42" s="49">
        <f>VLOOKUP($A42,'Data shares'!$C:$FB,42)</f>
        <v>355000</v>
      </c>
      <c r="H42" s="49">
        <f>VLOOKUP($A42,'Data shares'!$C:$FB,43)</f>
        <v>247125</v>
      </c>
      <c r="I42" s="50">
        <f>VLOOKUP($A42,'Data shares'!$C:$FB,45)*100</f>
        <v>43.65</v>
      </c>
      <c r="J42" s="49">
        <f>VLOOKUP($A42,'Data shares'!$C:$FB,58)</f>
        <v>2654000</v>
      </c>
      <c r="K42" s="49">
        <f>VLOOKUP($A42,'Data shares'!$C:$FB,59)</f>
        <v>1958375</v>
      </c>
      <c r="L42" s="50">
        <f>VLOOKUP($A42,'Data shares'!$C:$FB,61)*100</f>
        <v>35.520000000000003</v>
      </c>
      <c r="M42" s="49">
        <f>VLOOKUP($A42,'Data shares'!$C:$FB,62)</f>
        <v>958875</v>
      </c>
      <c r="N42" s="49">
        <f>VLOOKUP($A42,'Data shares'!$C:$FB,63)</f>
        <v>711875</v>
      </c>
      <c r="O42" s="140">
        <f>VLOOKUP($A42,'Data shares'!$C:$FB,65)*100</f>
        <v>34.699999999999996</v>
      </c>
    </row>
    <row r="43" spans="1:15" x14ac:dyDescent="0.25">
      <c r="A43" s="101" t="str">
        <f>'Data shares'!C38</f>
        <v>BSE</v>
      </c>
      <c r="B43" s="50">
        <f>VLOOKUP($A43,'Data shares'!$C:$FB,7)</f>
        <v>2682.9</v>
      </c>
      <c r="C43" s="50">
        <f>VLOOKUP($A43,'Data shares'!$C:$FB,10)*100</f>
        <v>1.9900000000000002</v>
      </c>
      <c r="D43" s="49">
        <f>VLOOKUP($A43,'Data shares'!$C:$FB,66)</f>
        <v>50619000</v>
      </c>
      <c r="E43" s="49">
        <f>VLOOKUP($A43,'Data shares'!$C:$FB,67)</f>
        <v>42535500</v>
      </c>
      <c r="F43" s="50">
        <f>VLOOKUP($A43,'Data shares'!$C:$FB,69)*100</f>
        <v>19</v>
      </c>
      <c r="G43" s="49">
        <f>VLOOKUP($A43,'Data shares'!$C:$FB,42)</f>
        <v>4556250</v>
      </c>
      <c r="H43" s="49">
        <f>VLOOKUP($A43,'Data shares'!$C:$FB,43)</f>
        <v>4072500</v>
      </c>
      <c r="I43" s="50">
        <f>VLOOKUP($A43,'Data shares'!$C:$FB,45)*100</f>
        <v>11.88</v>
      </c>
      <c r="J43" s="49">
        <f>VLOOKUP($A43,'Data shares'!$C:$FB,58)</f>
        <v>31072125</v>
      </c>
      <c r="K43" s="49">
        <f>VLOOKUP($A43,'Data shares'!$C:$FB,59)</f>
        <v>25101000</v>
      </c>
      <c r="L43" s="50">
        <f>VLOOKUP($A43,'Data shares'!$C:$FB,61)*100</f>
        <v>23.79</v>
      </c>
      <c r="M43" s="49">
        <f>VLOOKUP($A43,'Data shares'!$C:$FB,62)</f>
        <v>14990625</v>
      </c>
      <c r="N43" s="49">
        <f>VLOOKUP($A43,'Data shares'!$C:$FB,63)</f>
        <v>13362000</v>
      </c>
      <c r="O43" s="140">
        <f>VLOOKUP($A43,'Data shares'!$C:$FB,65)*100</f>
        <v>12.19</v>
      </c>
    </row>
    <row r="44" spans="1:15" x14ac:dyDescent="0.25">
      <c r="A44" s="101" t="str">
        <f>'Data shares'!C39</f>
        <v>CAMS</v>
      </c>
      <c r="B44" s="50">
        <f>VLOOKUP($A44,'Data shares'!$C:$FB,7)</f>
        <v>752.3</v>
      </c>
      <c r="C44" s="50">
        <f>VLOOKUP($A44,'Data shares'!$C:$FB,10)*100</f>
        <v>2.52</v>
      </c>
      <c r="D44" s="49">
        <f>VLOOKUP($A44,'Data shares'!$C:$FB,66)</f>
        <v>20459250</v>
      </c>
      <c r="E44" s="49">
        <f>VLOOKUP($A44,'Data shares'!$C:$FB,67)</f>
        <v>8454000</v>
      </c>
      <c r="F44" s="50">
        <f>VLOOKUP($A44,'Data shares'!$C:$FB,69)*100</f>
        <v>142.01</v>
      </c>
      <c r="G44" s="49">
        <f>VLOOKUP($A44,'Data shares'!$C:$FB,42)</f>
        <v>4288500</v>
      </c>
      <c r="H44" s="49">
        <f>VLOOKUP($A44,'Data shares'!$C:$FB,43)</f>
        <v>2556750</v>
      </c>
      <c r="I44" s="50">
        <f>VLOOKUP($A44,'Data shares'!$C:$FB,45)*100</f>
        <v>67.73</v>
      </c>
      <c r="J44" s="49">
        <f>VLOOKUP($A44,'Data shares'!$C:$FB,58)</f>
        <v>12375000</v>
      </c>
      <c r="K44" s="49">
        <f>VLOOKUP($A44,'Data shares'!$C:$FB,59)</f>
        <v>3035250</v>
      </c>
      <c r="L44" s="50">
        <f>VLOOKUP($A44,'Data shares'!$C:$FB,61)*100</f>
        <v>307.71000000000004</v>
      </c>
      <c r="M44" s="49">
        <f>VLOOKUP($A44,'Data shares'!$C:$FB,62)</f>
        <v>3795750</v>
      </c>
      <c r="N44" s="49">
        <f>VLOOKUP($A44,'Data shares'!$C:$FB,63)</f>
        <v>2862000</v>
      </c>
      <c r="O44" s="140">
        <f>VLOOKUP($A44,'Data shares'!$C:$FB,65)*100</f>
        <v>32.629999999999995</v>
      </c>
    </row>
    <row r="45" spans="1:15" x14ac:dyDescent="0.25">
      <c r="A45" s="101" t="str">
        <f>'Data shares'!C40</f>
        <v>CANBK</v>
      </c>
      <c r="B45" s="50">
        <f>VLOOKUP($A45,'Data shares'!$C:$FB,7)</f>
        <v>149.83000000000001</v>
      </c>
      <c r="C45" s="50">
        <f>VLOOKUP($A45,'Data shares'!$C:$FB,10)*100</f>
        <v>-0.25</v>
      </c>
      <c r="D45" s="49">
        <f>VLOOKUP($A45,'Data shares'!$C:$FB,66)</f>
        <v>261366750</v>
      </c>
      <c r="E45" s="49">
        <f>VLOOKUP($A45,'Data shares'!$C:$FB,67)</f>
        <v>394530750</v>
      </c>
      <c r="F45" s="50">
        <f>VLOOKUP($A45,'Data shares'!$C:$FB,69)*100</f>
        <v>-33.75</v>
      </c>
      <c r="G45" s="49">
        <f>VLOOKUP($A45,'Data shares'!$C:$FB,42)</f>
        <v>35862750</v>
      </c>
      <c r="H45" s="49">
        <f>VLOOKUP($A45,'Data shares'!$C:$FB,43)</f>
        <v>53905500</v>
      </c>
      <c r="I45" s="50">
        <f>VLOOKUP($A45,'Data shares'!$C:$FB,45)*100</f>
        <v>-33.47</v>
      </c>
      <c r="J45" s="49">
        <f>VLOOKUP($A45,'Data shares'!$C:$FB,58)</f>
        <v>143451000</v>
      </c>
      <c r="K45" s="49">
        <f>VLOOKUP($A45,'Data shares'!$C:$FB,59)</f>
        <v>228831750</v>
      </c>
      <c r="L45" s="50">
        <f>VLOOKUP($A45,'Data shares'!$C:$FB,61)*100</f>
        <v>-37.31</v>
      </c>
      <c r="M45" s="49">
        <f>VLOOKUP($A45,'Data shares'!$C:$FB,62)</f>
        <v>82053000</v>
      </c>
      <c r="N45" s="49">
        <f>VLOOKUP($A45,'Data shares'!$C:$FB,63)</f>
        <v>111793500</v>
      </c>
      <c r="O45" s="140">
        <f>VLOOKUP($A45,'Data shares'!$C:$FB,65)*100</f>
        <v>-26.6</v>
      </c>
    </row>
    <row r="46" spans="1:15" x14ac:dyDescent="0.25">
      <c r="A46" s="101" t="str">
        <f>'Data shares'!C41</f>
        <v>CDSL</v>
      </c>
      <c r="B46" s="50">
        <f>VLOOKUP($A46,'Data shares'!$C:$FB,7)</f>
        <v>1489.6</v>
      </c>
      <c r="C46" s="50">
        <f>VLOOKUP($A46,'Data shares'!$C:$FB,10)*100</f>
        <v>0.83</v>
      </c>
      <c r="D46" s="49">
        <f>VLOOKUP($A46,'Data shares'!$C:$FB,66)</f>
        <v>13143725</v>
      </c>
      <c r="E46" s="49">
        <f>VLOOKUP($A46,'Data shares'!$C:$FB,67)</f>
        <v>13350825</v>
      </c>
      <c r="F46" s="50">
        <f>VLOOKUP($A46,'Data shares'!$C:$FB,69)*100</f>
        <v>-1.55</v>
      </c>
      <c r="G46" s="49">
        <f>VLOOKUP($A46,'Data shares'!$C:$FB,42)</f>
        <v>1603125</v>
      </c>
      <c r="H46" s="49">
        <f>VLOOKUP($A46,'Data shares'!$C:$FB,43)</f>
        <v>1986450</v>
      </c>
      <c r="I46" s="50">
        <f>VLOOKUP($A46,'Data shares'!$C:$FB,45)*100</f>
        <v>-19.3</v>
      </c>
      <c r="J46" s="49">
        <f>VLOOKUP($A46,'Data shares'!$C:$FB,58)</f>
        <v>9153250</v>
      </c>
      <c r="K46" s="49">
        <f>VLOOKUP($A46,'Data shares'!$C:$FB,59)</f>
        <v>8439325</v>
      </c>
      <c r="L46" s="50">
        <f>VLOOKUP($A46,'Data shares'!$C:$FB,61)*100</f>
        <v>8.4599999999999991</v>
      </c>
      <c r="M46" s="49">
        <f>VLOOKUP($A46,'Data shares'!$C:$FB,62)</f>
        <v>2387350</v>
      </c>
      <c r="N46" s="49">
        <f>VLOOKUP($A46,'Data shares'!$C:$FB,63)</f>
        <v>2925050</v>
      </c>
      <c r="O46" s="140">
        <f>VLOOKUP($A46,'Data shares'!$C:$FB,65)*100</f>
        <v>-18.38</v>
      </c>
    </row>
    <row r="47" spans="1:15" x14ac:dyDescent="0.25">
      <c r="A47" s="101" t="str">
        <f>'Data shares'!C42</f>
        <v>CGPOWER</v>
      </c>
      <c r="B47" s="50">
        <f>VLOOKUP($A47,'Data shares'!$C:$FB,7)</f>
        <v>661.8</v>
      </c>
      <c r="C47" s="50">
        <f>VLOOKUP($A47,'Data shares'!$C:$FB,10)*100</f>
        <v>-1.28</v>
      </c>
      <c r="D47" s="49">
        <f>VLOOKUP($A47,'Data shares'!$C:$FB,66)</f>
        <v>19312000</v>
      </c>
      <c r="E47" s="49">
        <f>VLOOKUP($A47,'Data shares'!$C:$FB,67)</f>
        <v>49492100</v>
      </c>
      <c r="F47" s="50">
        <f>VLOOKUP($A47,'Data shares'!$C:$FB,69)*100</f>
        <v>-60.980000000000004</v>
      </c>
      <c r="G47" s="49">
        <f>VLOOKUP($A47,'Data shares'!$C:$FB,42)</f>
        <v>2991150</v>
      </c>
      <c r="H47" s="49">
        <f>VLOOKUP($A47,'Data shares'!$C:$FB,43)</f>
        <v>5528400</v>
      </c>
      <c r="I47" s="50">
        <f>VLOOKUP($A47,'Data shares'!$C:$FB,45)*100</f>
        <v>-45.89</v>
      </c>
      <c r="J47" s="49">
        <f>VLOOKUP($A47,'Data shares'!$C:$FB,58)</f>
        <v>11610150</v>
      </c>
      <c r="K47" s="49">
        <f>VLOOKUP($A47,'Data shares'!$C:$FB,59)</f>
        <v>36110550</v>
      </c>
      <c r="L47" s="50">
        <f>VLOOKUP($A47,'Data shares'!$C:$FB,61)*100</f>
        <v>-67.849999999999994</v>
      </c>
      <c r="M47" s="49">
        <f>VLOOKUP($A47,'Data shares'!$C:$FB,62)</f>
        <v>4710700</v>
      </c>
      <c r="N47" s="49">
        <f>VLOOKUP($A47,'Data shares'!$C:$FB,63)</f>
        <v>7853150</v>
      </c>
      <c r="O47" s="140">
        <f>VLOOKUP($A47,'Data shares'!$C:$FB,65)*100</f>
        <v>-40.020000000000003</v>
      </c>
    </row>
    <row r="48" spans="1:15" x14ac:dyDescent="0.25">
      <c r="A48" s="101" t="str">
        <f>'Data shares'!C43</f>
        <v>CHOLAFIN</v>
      </c>
      <c r="B48" s="50">
        <f>VLOOKUP($A48,'Data shares'!$C:$FB,7)</f>
        <v>1679</v>
      </c>
      <c r="C48" s="50">
        <f>VLOOKUP($A48,'Data shares'!$C:$FB,10)*100</f>
        <v>0.33</v>
      </c>
      <c r="D48" s="49">
        <f>VLOOKUP($A48,'Data shares'!$C:$FB,66)</f>
        <v>12403125</v>
      </c>
      <c r="E48" s="49">
        <f>VLOOKUP($A48,'Data shares'!$C:$FB,67)</f>
        <v>24314375</v>
      </c>
      <c r="F48" s="50">
        <f>VLOOKUP($A48,'Data shares'!$C:$FB,69)*100</f>
        <v>-48.99</v>
      </c>
      <c r="G48" s="49">
        <f>VLOOKUP($A48,'Data shares'!$C:$FB,42)</f>
        <v>1877500</v>
      </c>
      <c r="H48" s="49">
        <f>VLOOKUP($A48,'Data shares'!$C:$FB,43)</f>
        <v>3037500</v>
      </c>
      <c r="I48" s="50">
        <f>VLOOKUP($A48,'Data shares'!$C:$FB,45)*100</f>
        <v>-38.190000000000005</v>
      </c>
      <c r="J48" s="49">
        <f>VLOOKUP($A48,'Data shares'!$C:$FB,58)</f>
        <v>5519375</v>
      </c>
      <c r="K48" s="49">
        <f>VLOOKUP($A48,'Data shares'!$C:$FB,59)</f>
        <v>13011250</v>
      </c>
      <c r="L48" s="50">
        <f>VLOOKUP($A48,'Data shares'!$C:$FB,61)*100</f>
        <v>-57.58</v>
      </c>
      <c r="M48" s="49">
        <f>VLOOKUP($A48,'Data shares'!$C:$FB,62)</f>
        <v>5006250</v>
      </c>
      <c r="N48" s="49">
        <f>VLOOKUP($A48,'Data shares'!$C:$FB,63)</f>
        <v>8265625</v>
      </c>
      <c r="O48" s="140">
        <f>VLOOKUP($A48,'Data shares'!$C:$FB,65)*100</f>
        <v>-39.43</v>
      </c>
    </row>
    <row r="49" spans="1:15" x14ac:dyDescent="0.25">
      <c r="A49" s="101" t="str">
        <f>'Data shares'!C44</f>
        <v>CIPLA</v>
      </c>
      <c r="B49" s="50">
        <f>VLOOKUP($A49,'Data shares'!$C:$FB,7)</f>
        <v>1498.9</v>
      </c>
      <c r="C49" s="50">
        <f>VLOOKUP($A49,'Data shares'!$C:$FB,10)*100</f>
        <v>0.13</v>
      </c>
      <c r="D49" s="49">
        <f>VLOOKUP($A49,'Data shares'!$C:$FB,66)</f>
        <v>7536750</v>
      </c>
      <c r="E49" s="49">
        <f>VLOOKUP($A49,'Data shares'!$C:$FB,67)</f>
        <v>6340875</v>
      </c>
      <c r="F49" s="50">
        <f>VLOOKUP($A49,'Data shares'!$C:$FB,69)*100</f>
        <v>18.86</v>
      </c>
      <c r="G49" s="49">
        <f>VLOOKUP($A49,'Data shares'!$C:$FB,42)</f>
        <v>1325625</v>
      </c>
      <c r="H49" s="49">
        <f>VLOOKUP($A49,'Data shares'!$C:$FB,43)</f>
        <v>1416750</v>
      </c>
      <c r="I49" s="50">
        <f>VLOOKUP($A49,'Data shares'!$C:$FB,45)*100</f>
        <v>-6.43</v>
      </c>
      <c r="J49" s="49">
        <f>VLOOKUP($A49,'Data shares'!$C:$FB,58)</f>
        <v>4437750</v>
      </c>
      <c r="K49" s="49">
        <f>VLOOKUP($A49,'Data shares'!$C:$FB,59)</f>
        <v>3576000</v>
      </c>
      <c r="L49" s="50">
        <f>VLOOKUP($A49,'Data shares'!$C:$FB,61)*100</f>
        <v>24.099999999999998</v>
      </c>
      <c r="M49" s="49">
        <f>VLOOKUP($A49,'Data shares'!$C:$FB,62)</f>
        <v>1773375</v>
      </c>
      <c r="N49" s="49">
        <f>VLOOKUP($A49,'Data shares'!$C:$FB,63)</f>
        <v>1348125</v>
      </c>
      <c r="O49" s="140">
        <f>VLOOKUP($A49,'Data shares'!$C:$FB,65)*100</f>
        <v>31.540000000000003</v>
      </c>
    </row>
    <row r="50" spans="1:15" x14ac:dyDescent="0.25">
      <c r="A50" s="101" t="str">
        <f>'Data shares'!C45</f>
        <v>COALINDIA</v>
      </c>
      <c r="B50" s="50">
        <f>VLOOKUP($A50,'Data shares'!$C:$FB,7)</f>
        <v>385.3</v>
      </c>
      <c r="C50" s="50">
        <f>VLOOKUP($A50,'Data shares'!$C:$FB,10)*100</f>
        <v>0.13999999999999999</v>
      </c>
      <c r="D50" s="49">
        <f>VLOOKUP($A50,'Data shares'!$C:$FB,66)</f>
        <v>20868300</v>
      </c>
      <c r="E50" s="49">
        <f>VLOOKUP($A50,'Data shares'!$C:$FB,67)</f>
        <v>23284800</v>
      </c>
      <c r="F50" s="50">
        <f>VLOOKUP($A50,'Data shares'!$C:$FB,69)*100</f>
        <v>-10.38</v>
      </c>
      <c r="G50" s="49">
        <f>VLOOKUP($A50,'Data shares'!$C:$FB,42)</f>
        <v>6894450</v>
      </c>
      <c r="H50" s="49">
        <f>VLOOKUP($A50,'Data shares'!$C:$FB,43)</f>
        <v>4444200</v>
      </c>
      <c r="I50" s="50">
        <f>VLOOKUP($A50,'Data shares'!$C:$FB,45)*100</f>
        <v>55.13</v>
      </c>
      <c r="J50" s="49">
        <f>VLOOKUP($A50,'Data shares'!$C:$FB,58)</f>
        <v>7997400</v>
      </c>
      <c r="K50" s="49">
        <f>VLOOKUP($A50,'Data shares'!$C:$FB,59)</f>
        <v>11956950</v>
      </c>
      <c r="L50" s="50">
        <f>VLOOKUP($A50,'Data shares'!$C:$FB,61)*100</f>
        <v>-33.119999999999997</v>
      </c>
      <c r="M50" s="49">
        <f>VLOOKUP($A50,'Data shares'!$C:$FB,62)</f>
        <v>5976450</v>
      </c>
      <c r="N50" s="49">
        <f>VLOOKUP($A50,'Data shares'!$C:$FB,63)</f>
        <v>6883650</v>
      </c>
      <c r="O50" s="140">
        <f>VLOOKUP($A50,'Data shares'!$C:$FB,65)*100</f>
        <v>-13.18</v>
      </c>
    </row>
    <row r="51" spans="1:15" x14ac:dyDescent="0.25">
      <c r="A51" s="101" t="str">
        <f>'Data shares'!C46</f>
        <v>COFORGE</v>
      </c>
      <c r="B51" s="50">
        <f>VLOOKUP($A51,'Data shares'!$C:$FB,7)</f>
        <v>1854.8</v>
      </c>
      <c r="C51" s="50">
        <f>VLOOKUP($A51,'Data shares'!$C:$FB,10)*100</f>
        <v>0.54999999999999993</v>
      </c>
      <c r="D51" s="49">
        <f>VLOOKUP($A51,'Data shares'!$C:$FB,66)</f>
        <v>16867125</v>
      </c>
      <c r="E51" s="49">
        <f>VLOOKUP($A51,'Data shares'!$C:$FB,67)</f>
        <v>15108375</v>
      </c>
      <c r="F51" s="50">
        <f>VLOOKUP($A51,'Data shares'!$C:$FB,69)*100</f>
        <v>11.64</v>
      </c>
      <c r="G51" s="49">
        <f>VLOOKUP($A51,'Data shares'!$C:$FB,42)</f>
        <v>2265375</v>
      </c>
      <c r="H51" s="49">
        <f>VLOOKUP($A51,'Data shares'!$C:$FB,43)</f>
        <v>2319750</v>
      </c>
      <c r="I51" s="50">
        <f>VLOOKUP($A51,'Data shares'!$C:$FB,45)*100</f>
        <v>-2.34</v>
      </c>
      <c r="J51" s="49">
        <f>VLOOKUP($A51,'Data shares'!$C:$FB,58)</f>
        <v>10963125</v>
      </c>
      <c r="K51" s="49">
        <f>VLOOKUP($A51,'Data shares'!$C:$FB,59)</f>
        <v>9087000</v>
      </c>
      <c r="L51" s="50">
        <f>VLOOKUP($A51,'Data shares'!$C:$FB,61)*100</f>
        <v>20.65</v>
      </c>
      <c r="M51" s="49">
        <f>VLOOKUP($A51,'Data shares'!$C:$FB,62)</f>
        <v>3638625</v>
      </c>
      <c r="N51" s="49">
        <f>VLOOKUP($A51,'Data shares'!$C:$FB,63)</f>
        <v>3701625</v>
      </c>
      <c r="O51" s="140">
        <f>VLOOKUP($A51,'Data shares'!$C:$FB,65)*100</f>
        <v>-1.7000000000000002</v>
      </c>
    </row>
    <row r="52" spans="1:15" x14ac:dyDescent="0.25">
      <c r="A52" s="101" t="str">
        <f>'Data shares'!C47</f>
        <v>COLPAL</v>
      </c>
      <c r="B52" s="50">
        <f>VLOOKUP($A52,'Data shares'!$C:$FB,7)</f>
        <v>2090</v>
      </c>
      <c r="C52" s="50">
        <f>VLOOKUP($A52,'Data shares'!$C:$FB,10)*100</f>
        <v>0.12</v>
      </c>
      <c r="D52" s="49">
        <f>VLOOKUP($A52,'Data shares'!$C:$FB,66)</f>
        <v>5518350</v>
      </c>
      <c r="E52" s="49">
        <f>VLOOKUP($A52,'Data shares'!$C:$FB,67)</f>
        <v>8384400</v>
      </c>
      <c r="F52" s="50">
        <f>VLOOKUP($A52,'Data shares'!$C:$FB,69)*100</f>
        <v>-34.18</v>
      </c>
      <c r="G52" s="49">
        <f>VLOOKUP($A52,'Data shares'!$C:$FB,42)</f>
        <v>1120950</v>
      </c>
      <c r="H52" s="49">
        <f>VLOOKUP($A52,'Data shares'!$C:$FB,43)</f>
        <v>1998900</v>
      </c>
      <c r="I52" s="50">
        <f>VLOOKUP($A52,'Data shares'!$C:$FB,45)*100</f>
        <v>-43.919999999999995</v>
      </c>
      <c r="J52" s="49">
        <f>VLOOKUP($A52,'Data shares'!$C:$FB,58)</f>
        <v>2848725</v>
      </c>
      <c r="K52" s="49">
        <f>VLOOKUP($A52,'Data shares'!$C:$FB,59)</f>
        <v>3636225</v>
      </c>
      <c r="L52" s="50">
        <f>VLOOKUP($A52,'Data shares'!$C:$FB,61)*100</f>
        <v>-21.66</v>
      </c>
      <c r="M52" s="49">
        <f>VLOOKUP($A52,'Data shares'!$C:$FB,62)</f>
        <v>1548675</v>
      </c>
      <c r="N52" s="49">
        <f>VLOOKUP($A52,'Data shares'!$C:$FB,63)</f>
        <v>2749275</v>
      </c>
      <c r="O52" s="140">
        <f>VLOOKUP($A52,'Data shares'!$C:$FB,65)*100</f>
        <v>-43.669999999999995</v>
      </c>
    </row>
    <row r="53" spans="1:15" x14ac:dyDescent="0.25">
      <c r="A53" s="101" t="str">
        <f>'Data shares'!C48</f>
        <v>CONCOR</v>
      </c>
      <c r="B53" s="50">
        <f>VLOOKUP($A53,'Data shares'!$C:$FB,7)</f>
        <v>498.25</v>
      </c>
      <c r="C53" s="50">
        <f>VLOOKUP($A53,'Data shares'!$C:$FB,10)*100</f>
        <v>0.38</v>
      </c>
      <c r="D53" s="49">
        <f>VLOOKUP($A53,'Data shares'!$C:$FB,66)</f>
        <v>13287500</v>
      </c>
      <c r="E53" s="49">
        <f>VLOOKUP($A53,'Data shares'!$C:$FB,67)</f>
        <v>10385000</v>
      </c>
      <c r="F53" s="50">
        <f>VLOOKUP($A53,'Data shares'!$C:$FB,69)*100</f>
        <v>27.950000000000003</v>
      </c>
      <c r="G53" s="49">
        <f>VLOOKUP($A53,'Data shares'!$C:$FB,42)</f>
        <v>3027500</v>
      </c>
      <c r="H53" s="49">
        <f>VLOOKUP($A53,'Data shares'!$C:$FB,43)</f>
        <v>2678750</v>
      </c>
      <c r="I53" s="50">
        <f>VLOOKUP($A53,'Data shares'!$C:$FB,45)*100</f>
        <v>13.020000000000001</v>
      </c>
      <c r="J53" s="49">
        <f>VLOOKUP($A53,'Data shares'!$C:$FB,58)</f>
        <v>7768750</v>
      </c>
      <c r="K53" s="49">
        <f>VLOOKUP($A53,'Data shares'!$C:$FB,59)</f>
        <v>5351250</v>
      </c>
      <c r="L53" s="50">
        <f>VLOOKUP($A53,'Data shares'!$C:$FB,61)*100</f>
        <v>45.18</v>
      </c>
      <c r="M53" s="49">
        <f>VLOOKUP($A53,'Data shares'!$C:$FB,62)</f>
        <v>2491250</v>
      </c>
      <c r="N53" s="49">
        <f>VLOOKUP($A53,'Data shares'!$C:$FB,63)</f>
        <v>2355000</v>
      </c>
      <c r="O53" s="140">
        <f>VLOOKUP($A53,'Data shares'!$C:$FB,65)*100</f>
        <v>5.79</v>
      </c>
    </row>
    <row r="54" spans="1:15" x14ac:dyDescent="0.25">
      <c r="A54" s="101" t="str">
        <f>'Data shares'!C49</f>
        <v>CROMPTON</v>
      </c>
      <c r="B54" s="50">
        <f>VLOOKUP($A54,'Data shares'!$C:$FB,7)</f>
        <v>255.65</v>
      </c>
      <c r="C54" s="50">
        <f>VLOOKUP($A54,'Data shares'!$C:$FB,10)*100</f>
        <v>2.6100000000000003</v>
      </c>
      <c r="D54" s="49">
        <f>VLOOKUP($A54,'Data shares'!$C:$FB,66)</f>
        <v>159588000</v>
      </c>
      <c r="E54" s="49">
        <f>VLOOKUP($A54,'Data shares'!$C:$FB,67)</f>
        <v>21252600</v>
      </c>
      <c r="F54" s="50">
        <f>VLOOKUP($A54,'Data shares'!$C:$FB,69)*100</f>
        <v>650.91</v>
      </c>
      <c r="G54" s="49">
        <f>VLOOKUP($A54,'Data shares'!$C:$FB,42)</f>
        <v>18387000</v>
      </c>
      <c r="H54" s="49">
        <f>VLOOKUP($A54,'Data shares'!$C:$FB,43)</f>
        <v>4588200</v>
      </c>
      <c r="I54" s="50">
        <f>VLOOKUP($A54,'Data shares'!$C:$FB,45)*100</f>
        <v>300.75</v>
      </c>
      <c r="J54" s="49">
        <f>VLOOKUP($A54,'Data shares'!$C:$FB,58)</f>
        <v>104715000</v>
      </c>
      <c r="K54" s="49">
        <f>VLOOKUP($A54,'Data shares'!$C:$FB,59)</f>
        <v>12891600</v>
      </c>
      <c r="L54" s="50">
        <f>VLOOKUP($A54,'Data shares'!$C:$FB,61)*100</f>
        <v>712.27</v>
      </c>
      <c r="M54" s="49">
        <f>VLOOKUP($A54,'Data shares'!$C:$FB,62)</f>
        <v>36486000</v>
      </c>
      <c r="N54" s="49">
        <f>VLOOKUP($A54,'Data shares'!$C:$FB,63)</f>
        <v>3772800</v>
      </c>
      <c r="O54" s="140">
        <f>VLOOKUP($A54,'Data shares'!$C:$FB,65)*100</f>
        <v>867.07999999999993</v>
      </c>
    </row>
    <row r="55" spans="1:15" x14ac:dyDescent="0.25">
      <c r="A55" s="101" t="str">
        <f>'Data shares'!C50</f>
        <v>CUMMINSIND</v>
      </c>
      <c r="B55" s="50">
        <f>VLOOKUP($A55,'Data shares'!$C:$FB,7)</f>
        <v>4385.3999999999996</v>
      </c>
      <c r="C55" s="50">
        <f>VLOOKUP($A55,'Data shares'!$C:$FB,10)*100</f>
        <v>-2.82</v>
      </c>
      <c r="D55" s="49">
        <f>VLOOKUP($A55,'Data shares'!$C:$FB,66)</f>
        <v>8218800</v>
      </c>
      <c r="E55" s="49">
        <f>VLOOKUP($A55,'Data shares'!$C:$FB,67)</f>
        <v>2634600</v>
      </c>
      <c r="F55" s="50">
        <f>VLOOKUP($A55,'Data shares'!$C:$FB,69)*100</f>
        <v>211.96</v>
      </c>
      <c r="G55" s="49">
        <f>VLOOKUP($A55,'Data shares'!$C:$FB,42)</f>
        <v>811600</v>
      </c>
      <c r="H55" s="49">
        <f>VLOOKUP($A55,'Data shares'!$C:$FB,43)</f>
        <v>276600</v>
      </c>
      <c r="I55" s="50">
        <f>VLOOKUP($A55,'Data shares'!$C:$FB,45)*100</f>
        <v>193.42</v>
      </c>
      <c r="J55" s="49">
        <f>VLOOKUP($A55,'Data shares'!$C:$FB,58)</f>
        <v>4124600</v>
      </c>
      <c r="K55" s="49">
        <f>VLOOKUP($A55,'Data shares'!$C:$FB,59)</f>
        <v>1767600</v>
      </c>
      <c r="L55" s="50">
        <f>VLOOKUP($A55,'Data shares'!$C:$FB,61)*100</f>
        <v>133.34</v>
      </c>
      <c r="M55" s="49">
        <f>VLOOKUP($A55,'Data shares'!$C:$FB,62)</f>
        <v>3282600</v>
      </c>
      <c r="N55" s="49">
        <f>VLOOKUP($A55,'Data shares'!$C:$FB,63)</f>
        <v>590400</v>
      </c>
      <c r="O55" s="140">
        <f>VLOOKUP($A55,'Data shares'!$C:$FB,65)*100</f>
        <v>455.99999999999994</v>
      </c>
    </row>
    <row r="56" spans="1:15" x14ac:dyDescent="0.25">
      <c r="A56" s="101" t="str">
        <f>'Data shares'!C51</f>
        <v>CYIENT</v>
      </c>
      <c r="B56" s="50">
        <f>VLOOKUP($A56,'Data shares'!$C:$FB,7)</f>
        <v>1141.3</v>
      </c>
      <c r="C56" s="50">
        <f>VLOOKUP($A56,'Data shares'!$C:$FB,10)*100</f>
        <v>0.22</v>
      </c>
      <c r="D56" s="49">
        <f>VLOOKUP($A56,'Data shares'!$C:$FB,66)</f>
        <v>3524100</v>
      </c>
      <c r="E56" s="49">
        <f>VLOOKUP($A56,'Data shares'!$C:$FB,67)</f>
        <v>15132550</v>
      </c>
      <c r="F56" s="50">
        <f>VLOOKUP($A56,'Data shares'!$C:$FB,69)*100</f>
        <v>-76.709999999999994</v>
      </c>
      <c r="G56" s="49">
        <f>VLOOKUP($A56,'Data shares'!$C:$FB,42)</f>
        <v>435200</v>
      </c>
      <c r="H56" s="49">
        <f>VLOOKUP($A56,'Data shares'!$C:$FB,43)</f>
        <v>2452250</v>
      </c>
      <c r="I56" s="50">
        <f>VLOOKUP($A56,'Data shares'!$C:$FB,45)*100</f>
        <v>-82.25</v>
      </c>
      <c r="J56" s="49">
        <f>VLOOKUP($A56,'Data shares'!$C:$FB,58)</f>
        <v>2587825</v>
      </c>
      <c r="K56" s="49">
        <f>VLOOKUP($A56,'Data shares'!$C:$FB,59)</f>
        <v>7228825</v>
      </c>
      <c r="L56" s="50">
        <f>VLOOKUP($A56,'Data shares'!$C:$FB,61)*100</f>
        <v>-64.2</v>
      </c>
      <c r="M56" s="49">
        <f>VLOOKUP($A56,'Data shares'!$C:$FB,62)</f>
        <v>501075</v>
      </c>
      <c r="N56" s="49">
        <f>VLOOKUP($A56,'Data shares'!$C:$FB,63)</f>
        <v>5451475</v>
      </c>
      <c r="O56" s="140">
        <f>VLOOKUP($A56,'Data shares'!$C:$FB,65)*100</f>
        <v>-90.81</v>
      </c>
    </row>
    <row r="57" spans="1:15" x14ac:dyDescent="0.25">
      <c r="A57" s="101" t="str">
        <f>'Data shares'!C52</f>
        <v>DABUR</v>
      </c>
      <c r="B57" s="50">
        <f>VLOOKUP($A57,'Data shares'!$C:$FB,7)</f>
        <v>492.55</v>
      </c>
      <c r="C57" s="50">
        <f>VLOOKUP($A57,'Data shares'!$C:$FB,10)*100</f>
        <v>-0.32</v>
      </c>
      <c r="D57" s="49">
        <f>VLOOKUP($A57,'Data shares'!$C:$FB,66)</f>
        <v>13803750</v>
      </c>
      <c r="E57" s="49">
        <f>VLOOKUP($A57,'Data shares'!$C:$FB,67)</f>
        <v>11976250</v>
      </c>
      <c r="F57" s="50">
        <f>VLOOKUP($A57,'Data shares'!$C:$FB,69)*100</f>
        <v>15.260000000000002</v>
      </c>
      <c r="G57" s="49">
        <f>VLOOKUP($A57,'Data shares'!$C:$FB,42)</f>
        <v>2333750</v>
      </c>
      <c r="H57" s="49">
        <f>VLOOKUP($A57,'Data shares'!$C:$FB,43)</f>
        <v>2035000</v>
      </c>
      <c r="I57" s="50">
        <f>VLOOKUP($A57,'Data shares'!$C:$FB,45)*100</f>
        <v>14.680000000000001</v>
      </c>
      <c r="J57" s="49">
        <f>VLOOKUP($A57,'Data shares'!$C:$FB,58)</f>
        <v>8413750</v>
      </c>
      <c r="K57" s="49">
        <f>VLOOKUP($A57,'Data shares'!$C:$FB,59)</f>
        <v>7313750</v>
      </c>
      <c r="L57" s="50">
        <f>VLOOKUP($A57,'Data shares'!$C:$FB,61)*100</f>
        <v>15.040000000000001</v>
      </c>
      <c r="M57" s="49">
        <f>VLOOKUP($A57,'Data shares'!$C:$FB,62)</f>
        <v>3056250</v>
      </c>
      <c r="N57" s="49">
        <f>VLOOKUP($A57,'Data shares'!$C:$FB,63)</f>
        <v>2627500</v>
      </c>
      <c r="O57" s="140">
        <f>VLOOKUP($A57,'Data shares'!$C:$FB,65)*100</f>
        <v>16.32</v>
      </c>
    </row>
    <row r="58" spans="1:15" x14ac:dyDescent="0.25">
      <c r="A58" s="101" t="str">
        <f>'Data shares'!C53</f>
        <v>DALBHARAT</v>
      </c>
      <c r="B58" s="50">
        <f>VLOOKUP($A58,'Data shares'!$C:$FB,7)</f>
        <v>2024.4</v>
      </c>
      <c r="C58" s="50">
        <f>VLOOKUP($A58,'Data shares'!$C:$FB,10)*100</f>
        <v>-2.39</v>
      </c>
      <c r="D58" s="49">
        <f>VLOOKUP($A58,'Data shares'!$C:$FB,66)</f>
        <v>3257800</v>
      </c>
      <c r="E58" s="49">
        <f>VLOOKUP($A58,'Data shares'!$C:$FB,67)</f>
        <v>2290275</v>
      </c>
      <c r="F58" s="50">
        <f>VLOOKUP($A58,'Data shares'!$C:$FB,69)*100</f>
        <v>42.24</v>
      </c>
      <c r="G58" s="49">
        <f>VLOOKUP($A58,'Data shares'!$C:$FB,42)</f>
        <v>743925</v>
      </c>
      <c r="H58" s="49">
        <f>VLOOKUP($A58,'Data shares'!$C:$FB,43)</f>
        <v>610350</v>
      </c>
      <c r="I58" s="50">
        <f>VLOOKUP($A58,'Data shares'!$C:$FB,45)*100</f>
        <v>21.88</v>
      </c>
      <c r="J58" s="49">
        <f>VLOOKUP($A58,'Data shares'!$C:$FB,58)</f>
        <v>1365000</v>
      </c>
      <c r="K58" s="49">
        <f>VLOOKUP($A58,'Data shares'!$C:$FB,59)</f>
        <v>1201850</v>
      </c>
      <c r="L58" s="50">
        <f>VLOOKUP($A58,'Data shares'!$C:$FB,61)*100</f>
        <v>13.569999999999999</v>
      </c>
      <c r="M58" s="49">
        <f>VLOOKUP($A58,'Data shares'!$C:$FB,62)</f>
        <v>1148875</v>
      </c>
      <c r="N58" s="49">
        <f>VLOOKUP($A58,'Data shares'!$C:$FB,63)</f>
        <v>478075</v>
      </c>
      <c r="O58" s="140">
        <f>VLOOKUP($A58,'Data shares'!$C:$FB,65)*100</f>
        <v>140.31</v>
      </c>
    </row>
    <row r="59" spans="1:15" x14ac:dyDescent="0.25">
      <c r="A59" s="101" t="str">
        <f>'Data shares'!C54</f>
        <v>DELHIVERY</v>
      </c>
      <c r="B59" s="50">
        <f>VLOOKUP($A59,'Data shares'!$C:$FB,7)</f>
        <v>402.35</v>
      </c>
      <c r="C59" s="50">
        <f>VLOOKUP($A59,'Data shares'!$C:$FB,10)*100</f>
        <v>0.64</v>
      </c>
      <c r="D59" s="49">
        <f>VLOOKUP($A59,'Data shares'!$C:$FB,66)</f>
        <v>14647425</v>
      </c>
      <c r="E59" s="49">
        <f>VLOOKUP($A59,'Data shares'!$C:$FB,67)</f>
        <v>13209450</v>
      </c>
      <c r="F59" s="50">
        <f>VLOOKUP($A59,'Data shares'!$C:$FB,69)*100</f>
        <v>10.89</v>
      </c>
      <c r="G59" s="49">
        <f>VLOOKUP($A59,'Data shares'!$C:$FB,42)</f>
        <v>2871800</v>
      </c>
      <c r="H59" s="49">
        <f>VLOOKUP($A59,'Data shares'!$C:$FB,43)</f>
        <v>2365500</v>
      </c>
      <c r="I59" s="50">
        <f>VLOOKUP($A59,'Data shares'!$C:$FB,45)*100</f>
        <v>21.4</v>
      </c>
      <c r="J59" s="49">
        <f>VLOOKUP($A59,'Data shares'!$C:$FB,58)</f>
        <v>6920125</v>
      </c>
      <c r="K59" s="49">
        <f>VLOOKUP($A59,'Data shares'!$C:$FB,59)</f>
        <v>7237600</v>
      </c>
      <c r="L59" s="50">
        <f>VLOOKUP($A59,'Data shares'!$C:$FB,61)*100</f>
        <v>-4.3900000000000006</v>
      </c>
      <c r="M59" s="49">
        <f>VLOOKUP($A59,'Data shares'!$C:$FB,62)</f>
        <v>4855500</v>
      </c>
      <c r="N59" s="49">
        <f>VLOOKUP($A59,'Data shares'!$C:$FB,63)</f>
        <v>3606350</v>
      </c>
      <c r="O59" s="140">
        <f>VLOOKUP($A59,'Data shares'!$C:$FB,65)*100</f>
        <v>34.64</v>
      </c>
    </row>
    <row r="60" spans="1:15" x14ac:dyDescent="0.25">
      <c r="A60" s="101" t="str">
        <f>'Data shares'!C55</f>
        <v>DIVISLAB</v>
      </c>
      <c r="B60" s="50">
        <f>VLOOKUP($A60,'Data shares'!$C:$FB,7)</f>
        <v>6380</v>
      </c>
      <c r="C60" s="50">
        <f>VLOOKUP($A60,'Data shares'!$C:$FB,10)*100</f>
        <v>1.38</v>
      </c>
      <c r="D60" s="49">
        <f>VLOOKUP($A60,'Data shares'!$C:$FB,66)</f>
        <v>2897300</v>
      </c>
      <c r="E60" s="49">
        <f>VLOOKUP($A60,'Data shares'!$C:$FB,67)</f>
        <v>937800</v>
      </c>
      <c r="F60" s="50">
        <f>VLOOKUP($A60,'Data shares'!$C:$FB,69)*100</f>
        <v>208.95000000000002</v>
      </c>
      <c r="G60" s="49">
        <f>VLOOKUP($A60,'Data shares'!$C:$FB,42)</f>
        <v>540600</v>
      </c>
      <c r="H60" s="49">
        <f>VLOOKUP($A60,'Data shares'!$C:$FB,43)</f>
        <v>172300</v>
      </c>
      <c r="I60" s="50">
        <f>VLOOKUP($A60,'Data shares'!$C:$FB,45)*100</f>
        <v>213.76</v>
      </c>
      <c r="J60" s="49">
        <f>VLOOKUP($A60,'Data shares'!$C:$FB,58)</f>
        <v>1798200</v>
      </c>
      <c r="K60" s="49">
        <f>VLOOKUP($A60,'Data shares'!$C:$FB,59)</f>
        <v>529500</v>
      </c>
      <c r="L60" s="50">
        <f>VLOOKUP($A60,'Data shares'!$C:$FB,61)*100</f>
        <v>239.6</v>
      </c>
      <c r="M60" s="49">
        <f>VLOOKUP($A60,'Data shares'!$C:$FB,62)</f>
        <v>558500</v>
      </c>
      <c r="N60" s="49">
        <f>VLOOKUP($A60,'Data shares'!$C:$FB,63)</f>
        <v>236000</v>
      </c>
      <c r="O60" s="140">
        <f>VLOOKUP($A60,'Data shares'!$C:$FB,65)*100</f>
        <v>136.65</v>
      </c>
    </row>
    <row r="61" spans="1:15" x14ac:dyDescent="0.25">
      <c r="A61" s="101" t="str">
        <f>'Data shares'!C56</f>
        <v>DIXON</v>
      </c>
      <c r="B61" s="50">
        <f>VLOOKUP($A61,'Data shares'!$C:$FB,7)</f>
        <v>13299</v>
      </c>
      <c r="C61" s="50">
        <f>VLOOKUP($A61,'Data shares'!$C:$FB,10)*100</f>
        <v>0.19</v>
      </c>
      <c r="D61" s="49">
        <f>VLOOKUP($A61,'Data shares'!$C:$FB,66)</f>
        <v>13707750</v>
      </c>
      <c r="E61" s="49">
        <f>VLOOKUP($A61,'Data shares'!$C:$FB,67)</f>
        <v>12586050</v>
      </c>
      <c r="F61" s="50">
        <f>VLOOKUP($A61,'Data shares'!$C:$FB,69)*100</f>
        <v>8.91</v>
      </c>
      <c r="G61" s="49">
        <f>VLOOKUP($A61,'Data shares'!$C:$FB,42)</f>
        <v>885300</v>
      </c>
      <c r="H61" s="49">
        <f>VLOOKUP($A61,'Data shares'!$C:$FB,43)</f>
        <v>698050</v>
      </c>
      <c r="I61" s="50">
        <f>VLOOKUP($A61,'Data shares'!$C:$FB,45)*100</f>
        <v>26.82</v>
      </c>
      <c r="J61" s="49">
        <f>VLOOKUP($A61,'Data shares'!$C:$FB,58)</f>
        <v>7165900</v>
      </c>
      <c r="K61" s="49">
        <f>VLOOKUP($A61,'Data shares'!$C:$FB,59)</f>
        <v>5696550</v>
      </c>
      <c r="L61" s="50">
        <f>VLOOKUP($A61,'Data shares'!$C:$FB,61)*100</f>
        <v>25.790000000000003</v>
      </c>
      <c r="M61" s="49">
        <f>VLOOKUP($A61,'Data shares'!$C:$FB,62)</f>
        <v>5656550</v>
      </c>
      <c r="N61" s="49">
        <f>VLOOKUP($A61,'Data shares'!$C:$FB,63)</f>
        <v>6191450</v>
      </c>
      <c r="O61" s="140">
        <f>VLOOKUP($A61,'Data shares'!$C:$FB,65)*100</f>
        <v>-8.64</v>
      </c>
    </row>
    <row r="62" spans="1:15" x14ac:dyDescent="0.25">
      <c r="A62" s="101" t="str">
        <f>'Data shares'!C57</f>
        <v>DLF</v>
      </c>
      <c r="B62" s="50">
        <f>VLOOKUP($A62,'Data shares'!$C:$FB,7)</f>
        <v>679.05</v>
      </c>
      <c r="C62" s="50">
        <f>VLOOKUP($A62,'Data shares'!$C:$FB,10)*100</f>
        <v>-0.59</v>
      </c>
      <c r="D62" s="49">
        <f>VLOOKUP($A62,'Data shares'!$C:$FB,66)</f>
        <v>50132775</v>
      </c>
      <c r="E62" s="49">
        <f>VLOOKUP($A62,'Data shares'!$C:$FB,67)</f>
        <v>29743725</v>
      </c>
      <c r="F62" s="50">
        <f>VLOOKUP($A62,'Data shares'!$C:$FB,69)*100</f>
        <v>68.55</v>
      </c>
      <c r="G62" s="49">
        <f>VLOOKUP($A62,'Data shares'!$C:$FB,42)</f>
        <v>7408500</v>
      </c>
      <c r="H62" s="49">
        <f>VLOOKUP($A62,'Data shares'!$C:$FB,43)</f>
        <v>4733850</v>
      </c>
      <c r="I62" s="50">
        <f>VLOOKUP($A62,'Data shares'!$C:$FB,45)*100</f>
        <v>56.499999999999993</v>
      </c>
      <c r="J62" s="49">
        <f>VLOOKUP($A62,'Data shares'!$C:$FB,58)</f>
        <v>24750000</v>
      </c>
      <c r="K62" s="49">
        <f>VLOOKUP($A62,'Data shares'!$C:$FB,59)</f>
        <v>18013050</v>
      </c>
      <c r="L62" s="50">
        <f>VLOOKUP($A62,'Data shares'!$C:$FB,61)*100</f>
        <v>37.4</v>
      </c>
      <c r="M62" s="49">
        <f>VLOOKUP($A62,'Data shares'!$C:$FB,62)</f>
        <v>17974275</v>
      </c>
      <c r="N62" s="49">
        <f>VLOOKUP($A62,'Data shares'!$C:$FB,63)</f>
        <v>6996825</v>
      </c>
      <c r="O62" s="140">
        <f>VLOOKUP($A62,'Data shares'!$C:$FB,65)*100</f>
        <v>156.88999999999999</v>
      </c>
    </row>
    <row r="63" spans="1:15" x14ac:dyDescent="0.25">
      <c r="A63" s="101" t="str">
        <f>'Data shares'!C58</f>
        <v>DMART</v>
      </c>
      <c r="B63" s="50">
        <f>VLOOKUP($A63,'Data shares'!$C:$FB,7)</f>
        <v>3757.2</v>
      </c>
      <c r="C63" s="50">
        <f>VLOOKUP($A63,'Data shares'!$C:$FB,10)*100</f>
        <v>-1.7999999999999998</v>
      </c>
      <c r="D63" s="49">
        <f>VLOOKUP($A63,'Data shares'!$C:$FB,66)</f>
        <v>5157150</v>
      </c>
      <c r="E63" s="49">
        <f>VLOOKUP($A63,'Data shares'!$C:$FB,67)</f>
        <v>3317700</v>
      </c>
      <c r="F63" s="50">
        <f>VLOOKUP($A63,'Data shares'!$C:$FB,69)*100</f>
        <v>55.44</v>
      </c>
      <c r="G63" s="49">
        <f>VLOOKUP($A63,'Data shares'!$C:$FB,42)</f>
        <v>510750</v>
      </c>
      <c r="H63" s="49">
        <f>VLOOKUP($A63,'Data shares'!$C:$FB,43)</f>
        <v>651750</v>
      </c>
      <c r="I63" s="50">
        <f>VLOOKUP($A63,'Data shares'!$C:$FB,45)*100</f>
        <v>-21.63</v>
      </c>
      <c r="J63" s="49">
        <f>VLOOKUP($A63,'Data shares'!$C:$FB,58)</f>
        <v>3322200</v>
      </c>
      <c r="K63" s="49">
        <f>VLOOKUP($A63,'Data shares'!$C:$FB,59)</f>
        <v>1898100</v>
      </c>
      <c r="L63" s="50">
        <f>VLOOKUP($A63,'Data shares'!$C:$FB,61)*100</f>
        <v>75.03</v>
      </c>
      <c r="M63" s="49">
        <f>VLOOKUP($A63,'Data shares'!$C:$FB,62)</f>
        <v>1324200</v>
      </c>
      <c r="N63" s="49">
        <f>VLOOKUP($A63,'Data shares'!$C:$FB,63)</f>
        <v>767850</v>
      </c>
      <c r="O63" s="140">
        <f>VLOOKUP($A63,'Data shares'!$C:$FB,65)*100</f>
        <v>72.460000000000008</v>
      </c>
    </row>
    <row r="64" spans="1:15" x14ac:dyDescent="0.25">
      <c r="A64" s="101" t="str">
        <f>'Data shares'!C59</f>
        <v>DRREDDY</v>
      </c>
      <c r="B64" s="50">
        <f>VLOOKUP($A64,'Data shares'!$C:$FB,7)</f>
        <v>1280</v>
      </c>
      <c r="C64" s="50">
        <f>VLOOKUP($A64,'Data shares'!$C:$FB,10)*100</f>
        <v>0.63</v>
      </c>
      <c r="D64" s="49">
        <f>VLOOKUP($A64,'Data shares'!$C:$FB,66)</f>
        <v>7317500</v>
      </c>
      <c r="E64" s="49">
        <f>VLOOKUP($A64,'Data shares'!$C:$FB,67)</f>
        <v>6504375</v>
      </c>
      <c r="F64" s="50">
        <f>VLOOKUP($A64,'Data shares'!$C:$FB,69)*100</f>
        <v>12.5</v>
      </c>
      <c r="G64" s="49">
        <f>VLOOKUP($A64,'Data shares'!$C:$FB,42)</f>
        <v>1826875</v>
      </c>
      <c r="H64" s="49">
        <f>VLOOKUP($A64,'Data shares'!$C:$FB,43)</f>
        <v>1308125</v>
      </c>
      <c r="I64" s="50">
        <f>VLOOKUP($A64,'Data shares'!$C:$FB,45)*100</f>
        <v>39.660000000000004</v>
      </c>
      <c r="J64" s="49">
        <f>VLOOKUP($A64,'Data shares'!$C:$FB,58)</f>
        <v>3596875</v>
      </c>
      <c r="K64" s="49">
        <f>VLOOKUP($A64,'Data shares'!$C:$FB,59)</f>
        <v>3399375</v>
      </c>
      <c r="L64" s="50">
        <f>VLOOKUP($A64,'Data shares'!$C:$FB,61)*100</f>
        <v>5.81</v>
      </c>
      <c r="M64" s="49">
        <f>VLOOKUP($A64,'Data shares'!$C:$FB,62)</f>
        <v>1893750</v>
      </c>
      <c r="N64" s="49">
        <f>VLOOKUP($A64,'Data shares'!$C:$FB,63)</f>
        <v>1796875</v>
      </c>
      <c r="O64" s="140">
        <f>VLOOKUP($A64,'Data shares'!$C:$FB,65)*100</f>
        <v>5.3900000000000006</v>
      </c>
    </row>
    <row r="65" spans="1:15" x14ac:dyDescent="0.25">
      <c r="A65" s="101" t="str">
        <f>'Data shares'!C60</f>
        <v>EICHERMOT</v>
      </c>
      <c r="B65" s="50">
        <f>VLOOKUP($A65,'Data shares'!$C:$FB,7)</f>
        <v>7106.5</v>
      </c>
      <c r="C65" s="50">
        <f>VLOOKUP($A65,'Data shares'!$C:$FB,10)*100</f>
        <v>-0.38999999999999996</v>
      </c>
      <c r="D65" s="49">
        <f>VLOOKUP($A65,'Data shares'!$C:$FB,66)</f>
        <v>7879200</v>
      </c>
      <c r="E65" s="49">
        <f>VLOOKUP($A65,'Data shares'!$C:$FB,67)</f>
        <v>8274175</v>
      </c>
      <c r="F65" s="50">
        <f>VLOOKUP($A65,'Data shares'!$C:$FB,69)*100</f>
        <v>-4.7699999999999996</v>
      </c>
      <c r="G65" s="49">
        <f>VLOOKUP($A65,'Data shares'!$C:$FB,42)</f>
        <v>683375</v>
      </c>
      <c r="H65" s="49">
        <f>VLOOKUP($A65,'Data shares'!$C:$FB,43)</f>
        <v>1008875</v>
      </c>
      <c r="I65" s="50">
        <f>VLOOKUP($A65,'Data shares'!$C:$FB,45)*100</f>
        <v>-32.26</v>
      </c>
      <c r="J65" s="49">
        <f>VLOOKUP($A65,'Data shares'!$C:$FB,58)</f>
        <v>4041100</v>
      </c>
      <c r="K65" s="49">
        <f>VLOOKUP($A65,'Data shares'!$C:$FB,59)</f>
        <v>4751075</v>
      </c>
      <c r="L65" s="50">
        <f>VLOOKUP($A65,'Data shares'!$C:$FB,61)*100</f>
        <v>-14.940000000000001</v>
      </c>
      <c r="M65" s="49">
        <f>VLOOKUP($A65,'Data shares'!$C:$FB,62)</f>
        <v>3154725</v>
      </c>
      <c r="N65" s="49">
        <f>VLOOKUP($A65,'Data shares'!$C:$FB,63)</f>
        <v>2514225</v>
      </c>
      <c r="O65" s="140">
        <f>VLOOKUP($A65,'Data shares'!$C:$FB,65)*100</f>
        <v>25.480000000000004</v>
      </c>
    </row>
    <row r="66" spans="1:15" x14ac:dyDescent="0.25">
      <c r="A66" s="101" t="str">
        <f>'Data shares'!C61</f>
        <v>ETERNAL</v>
      </c>
      <c r="B66" s="50">
        <f>VLOOKUP($A66,'Data shares'!$C:$FB,7)</f>
        <v>284.75</v>
      </c>
      <c r="C66" s="50">
        <f>VLOOKUP($A66,'Data shares'!$C:$FB,10)*100</f>
        <v>0.11</v>
      </c>
      <c r="D66" s="49">
        <f>VLOOKUP($A66,'Data shares'!$C:$FB,66)</f>
        <v>130940300</v>
      </c>
      <c r="E66" s="49">
        <f>VLOOKUP($A66,'Data shares'!$C:$FB,67)</f>
        <v>189865375</v>
      </c>
      <c r="F66" s="50">
        <f>VLOOKUP($A66,'Data shares'!$C:$FB,69)*100</f>
        <v>-31.04</v>
      </c>
      <c r="G66" s="49">
        <f>VLOOKUP($A66,'Data shares'!$C:$FB,42)</f>
        <v>23035075</v>
      </c>
      <c r="H66" s="49">
        <f>VLOOKUP($A66,'Data shares'!$C:$FB,43)</f>
        <v>26381575</v>
      </c>
      <c r="I66" s="50">
        <f>VLOOKUP($A66,'Data shares'!$C:$FB,45)*100</f>
        <v>-12.68</v>
      </c>
      <c r="J66" s="49">
        <f>VLOOKUP($A66,'Data shares'!$C:$FB,58)</f>
        <v>69524750</v>
      </c>
      <c r="K66" s="49">
        <f>VLOOKUP($A66,'Data shares'!$C:$FB,59)</f>
        <v>102351975</v>
      </c>
      <c r="L66" s="50">
        <f>VLOOKUP($A66,'Data shares'!$C:$FB,61)*100</f>
        <v>-32.07</v>
      </c>
      <c r="M66" s="49">
        <f>VLOOKUP($A66,'Data shares'!$C:$FB,62)</f>
        <v>38380475</v>
      </c>
      <c r="N66" s="49">
        <f>VLOOKUP($A66,'Data shares'!$C:$FB,63)</f>
        <v>61131825</v>
      </c>
      <c r="O66" s="140">
        <f>VLOOKUP($A66,'Data shares'!$C:$FB,65)*100</f>
        <v>-37.22</v>
      </c>
    </row>
    <row r="67" spans="1:15" x14ac:dyDescent="0.25">
      <c r="A67" s="101" t="str">
        <f>'Data shares'!C62</f>
        <v>EXIDEIND</v>
      </c>
      <c r="B67" s="50">
        <f>VLOOKUP($A67,'Data shares'!$C:$FB,7)</f>
        <v>359.05</v>
      </c>
      <c r="C67" s="50">
        <f>VLOOKUP($A67,'Data shares'!$C:$FB,10)*100</f>
        <v>-1.31</v>
      </c>
      <c r="D67" s="49">
        <f>VLOOKUP($A67,'Data shares'!$C:$FB,66)</f>
        <v>22291200</v>
      </c>
      <c r="E67" s="49">
        <f>VLOOKUP($A67,'Data shares'!$C:$FB,67)</f>
        <v>16549200</v>
      </c>
      <c r="F67" s="50">
        <f>VLOOKUP($A67,'Data shares'!$C:$FB,69)*100</f>
        <v>34.699999999999996</v>
      </c>
      <c r="G67" s="49">
        <f>VLOOKUP($A67,'Data shares'!$C:$FB,42)</f>
        <v>3704400</v>
      </c>
      <c r="H67" s="49">
        <f>VLOOKUP($A67,'Data shares'!$C:$FB,43)</f>
        <v>2070000</v>
      </c>
      <c r="I67" s="50">
        <f>VLOOKUP($A67,'Data shares'!$C:$FB,45)*100</f>
        <v>78.959999999999994</v>
      </c>
      <c r="J67" s="49">
        <f>VLOOKUP($A67,'Data shares'!$C:$FB,58)</f>
        <v>12623400</v>
      </c>
      <c r="K67" s="49">
        <f>VLOOKUP($A67,'Data shares'!$C:$FB,59)</f>
        <v>10245600</v>
      </c>
      <c r="L67" s="50">
        <f>VLOOKUP($A67,'Data shares'!$C:$FB,61)*100</f>
        <v>23.21</v>
      </c>
      <c r="M67" s="49">
        <f>VLOOKUP($A67,'Data shares'!$C:$FB,62)</f>
        <v>5963400</v>
      </c>
      <c r="N67" s="49">
        <f>VLOOKUP($A67,'Data shares'!$C:$FB,63)</f>
        <v>4233600</v>
      </c>
      <c r="O67" s="140">
        <f>VLOOKUP($A67,'Data shares'!$C:$FB,65)*100</f>
        <v>40.86</v>
      </c>
    </row>
    <row r="68" spans="1:15" x14ac:dyDescent="0.25">
      <c r="A68" s="101" t="str">
        <f>'Data shares'!C63</f>
        <v>FEDERALBNK</v>
      </c>
      <c r="B68" s="50">
        <f>VLOOKUP($A68,'Data shares'!$C:$FB,7)</f>
        <v>265.39999999999998</v>
      </c>
      <c r="C68" s="50">
        <f>VLOOKUP($A68,'Data shares'!$C:$FB,10)*100</f>
        <v>0.67999999999999994</v>
      </c>
      <c r="D68" s="49">
        <f>VLOOKUP($A68,'Data shares'!$C:$FB,66)</f>
        <v>111965000</v>
      </c>
      <c r="E68" s="49">
        <f>VLOOKUP($A68,'Data shares'!$C:$FB,67)</f>
        <v>87350000</v>
      </c>
      <c r="F68" s="50">
        <f>VLOOKUP($A68,'Data shares'!$C:$FB,69)*100</f>
        <v>28.18</v>
      </c>
      <c r="G68" s="49">
        <f>VLOOKUP($A68,'Data shares'!$C:$FB,42)</f>
        <v>12035000</v>
      </c>
      <c r="H68" s="49">
        <f>VLOOKUP($A68,'Data shares'!$C:$FB,43)</f>
        <v>11685000</v>
      </c>
      <c r="I68" s="50">
        <f>VLOOKUP($A68,'Data shares'!$C:$FB,45)*100</f>
        <v>3</v>
      </c>
      <c r="J68" s="49">
        <f>VLOOKUP($A68,'Data shares'!$C:$FB,58)</f>
        <v>57350000</v>
      </c>
      <c r="K68" s="49">
        <f>VLOOKUP($A68,'Data shares'!$C:$FB,59)</f>
        <v>47700000</v>
      </c>
      <c r="L68" s="50">
        <f>VLOOKUP($A68,'Data shares'!$C:$FB,61)*100</f>
        <v>20.23</v>
      </c>
      <c r="M68" s="49">
        <f>VLOOKUP($A68,'Data shares'!$C:$FB,62)</f>
        <v>42580000</v>
      </c>
      <c r="N68" s="49">
        <f>VLOOKUP($A68,'Data shares'!$C:$FB,63)</f>
        <v>27965000</v>
      </c>
      <c r="O68" s="140">
        <f>VLOOKUP($A68,'Data shares'!$C:$FB,65)*100</f>
        <v>52.26</v>
      </c>
    </row>
    <row r="69" spans="1:15" x14ac:dyDescent="0.25">
      <c r="A69" s="101" t="str">
        <f>'Data shares'!C64</f>
        <v>FINNIFTY</v>
      </c>
      <c r="B69" s="50">
        <f>VLOOKUP($A69,'Data shares'!$C:$FB,7)</f>
        <v>27267.1</v>
      </c>
      <c r="C69" s="50">
        <f>VLOOKUP($A69,'Data shares'!$C:$FB,10)*100</f>
        <v>0.06</v>
      </c>
      <c r="D69" s="49">
        <f>VLOOKUP($A69,'Data shares'!$C:$FB,66)</f>
        <v>2775630</v>
      </c>
      <c r="E69" s="49">
        <f>VLOOKUP($A69,'Data shares'!$C:$FB,67)</f>
        <v>2995785</v>
      </c>
      <c r="F69" s="50">
        <f>VLOOKUP($A69,'Data shares'!$C:$FB,69)*100</f>
        <v>-7.35</v>
      </c>
      <c r="G69" s="49">
        <f>VLOOKUP($A69,'Data shares'!$C:$FB,42)</f>
        <v>12155</v>
      </c>
      <c r="H69" s="49">
        <f>VLOOKUP($A69,'Data shares'!$C:$FB,43)</f>
        <v>27690</v>
      </c>
      <c r="I69" s="50">
        <f>VLOOKUP($A69,'Data shares'!$C:$FB,45)*100</f>
        <v>-56.100000000000009</v>
      </c>
      <c r="J69" s="49">
        <f>VLOOKUP($A69,'Data shares'!$C:$FB,58)</f>
        <v>1483495</v>
      </c>
      <c r="K69" s="49">
        <f>VLOOKUP($A69,'Data shares'!$C:$FB,59)</f>
        <v>1789060</v>
      </c>
      <c r="L69" s="50">
        <f>VLOOKUP($A69,'Data shares'!$C:$FB,61)*100</f>
        <v>-17.080000000000002</v>
      </c>
      <c r="M69" s="49">
        <f>VLOOKUP($A69,'Data shares'!$C:$FB,62)</f>
        <v>1279980</v>
      </c>
      <c r="N69" s="49">
        <f>VLOOKUP($A69,'Data shares'!$C:$FB,63)</f>
        <v>1179035</v>
      </c>
      <c r="O69" s="140">
        <f>VLOOKUP($A69,'Data shares'!$C:$FB,65)*100</f>
        <v>8.5599999999999987</v>
      </c>
    </row>
    <row r="70" spans="1:15" x14ac:dyDescent="0.25">
      <c r="A70" s="101" t="str">
        <f>'Data shares'!C65</f>
        <v>FORTIS</v>
      </c>
      <c r="B70" s="50">
        <f>VLOOKUP($A70,'Data shares'!$C:$FB,7)</f>
        <v>866.35</v>
      </c>
      <c r="C70" s="50">
        <f>VLOOKUP($A70,'Data shares'!$C:$FB,10)*100</f>
        <v>-0.53</v>
      </c>
      <c r="D70" s="49">
        <f>VLOOKUP($A70,'Data shares'!$C:$FB,66)</f>
        <v>11113500</v>
      </c>
      <c r="E70" s="49">
        <f>VLOOKUP($A70,'Data shares'!$C:$FB,67)</f>
        <v>6222475</v>
      </c>
      <c r="F70" s="50">
        <f>VLOOKUP($A70,'Data shares'!$C:$FB,69)*100</f>
        <v>78.600000000000009</v>
      </c>
      <c r="G70" s="49">
        <f>VLOOKUP($A70,'Data shares'!$C:$FB,42)</f>
        <v>1813500</v>
      </c>
      <c r="H70" s="49">
        <f>VLOOKUP($A70,'Data shares'!$C:$FB,43)</f>
        <v>2116525</v>
      </c>
      <c r="I70" s="50">
        <f>VLOOKUP($A70,'Data shares'!$C:$FB,45)*100</f>
        <v>-14.32</v>
      </c>
      <c r="J70" s="49">
        <f>VLOOKUP($A70,'Data shares'!$C:$FB,58)</f>
        <v>5968275</v>
      </c>
      <c r="K70" s="49">
        <f>VLOOKUP($A70,'Data shares'!$C:$FB,59)</f>
        <v>2927950</v>
      </c>
      <c r="L70" s="50">
        <f>VLOOKUP($A70,'Data shares'!$C:$FB,61)*100</f>
        <v>103.84</v>
      </c>
      <c r="M70" s="49">
        <f>VLOOKUP($A70,'Data shares'!$C:$FB,62)</f>
        <v>3331725</v>
      </c>
      <c r="N70" s="49">
        <f>VLOOKUP($A70,'Data shares'!$C:$FB,63)</f>
        <v>1178000</v>
      </c>
      <c r="O70" s="140">
        <f>VLOOKUP($A70,'Data shares'!$C:$FB,65)*100</f>
        <v>182.83</v>
      </c>
    </row>
    <row r="71" spans="1:15" x14ac:dyDescent="0.25">
      <c r="A71" s="101" t="str">
        <f>'Data shares'!C66</f>
        <v>GAIL</v>
      </c>
      <c r="B71" s="50">
        <f>VLOOKUP($A71,'Data shares'!$C:$FB,7)</f>
        <v>167.55</v>
      </c>
      <c r="C71" s="50">
        <f>VLOOKUP($A71,'Data shares'!$C:$FB,10)*100</f>
        <v>-0.89999999999999991</v>
      </c>
      <c r="D71" s="49">
        <f>VLOOKUP($A71,'Data shares'!$C:$FB,66)</f>
        <v>40178250</v>
      </c>
      <c r="E71" s="49">
        <f>VLOOKUP($A71,'Data shares'!$C:$FB,67)</f>
        <v>41312250</v>
      </c>
      <c r="F71" s="50">
        <f>VLOOKUP($A71,'Data shares'!$C:$FB,69)*100</f>
        <v>-2.74</v>
      </c>
      <c r="G71" s="49">
        <f>VLOOKUP($A71,'Data shares'!$C:$FB,42)</f>
        <v>8413650</v>
      </c>
      <c r="H71" s="49">
        <f>VLOOKUP($A71,'Data shares'!$C:$FB,43)</f>
        <v>7440300</v>
      </c>
      <c r="I71" s="50">
        <f>VLOOKUP($A71,'Data shares'!$C:$FB,45)*100</f>
        <v>13.08</v>
      </c>
      <c r="J71" s="49">
        <f>VLOOKUP($A71,'Data shares'!$C:$FB,58)</f>
        <v>22683150</v>
      </c>
      <c r="K71" s="49">
        <f>VLOOKUP($A71,'Data shares'!$C:$FB,59)</f>
        <v>24453450</v>
      </c>
      <c r="L71" s="50">
        <f>VLOOKUP($A71,'Data shares'!$C:$FB,61)*100</f>
        <v>-7.24</v>
      </c>
      <c r="M71" s="49">
        <f>VLOOKUP($A71,'Data shares'!$C:$FB,62)</f>
        <v>9081450</v>
      </c>
      <c r="N71" s="49">
        <f>VLOOKUP($A71,'Data shares'!$C:$FB,63)</f>
        <v>9418500</v>
      </c>
      <c r="O71" s="140">
        <f>VLOOKUP($A71,'Data shares'!$C:$FB,65)*100</f>
        <v>-3.58</v>
      </c>
    </row>
    <row r="72" spans="1:15" x14ac:dyDescent="0.25">
      <c r="A72" s="101" t="str">
        <f>'Data shares'!C67</f>
        <v>GLENMARK</v>
      </c>
      <c r="B72" s="50">
        <f>VLOOKUP($A72,'Data shares'!$C:$FB,7)</f>
        <v>1957.1</v>
      </c>
      <c r="C72" s="50">
        <f>VLOOKUP($A72,'Data shares'!$C:$FB,10)*100</f>
        <v>0.44999999999999996</v>
      </c>
      <c r="D72" s="49">
        <f>VLOOKUP($A72,'Data shares'!$C:$FB,66)</f>
        <v>6627000</v>
      </c>
      <c r="E72" s="49">
        <f>VLOOKUP($A72,'Data shares'!$C:$FB,67)</f>
        <v>6593625</v>
      </c>
      <c r="F72" s="50">
        <f>VLOOKUP($A72,'Data shares'!$C:$FB,69)*100</f>
        <v>0.51</v>
      </c>
      <c r="G72" s="49">
        <f>VLOOKUP($A72,'Data shares'!$C:$FB,42)</f>
        <v>1337250</v>
      </c>
      <c r="H72" s="49">
        <f>VLOOKUP($A72,'Data shares'!$C:$FB,43)</f>
        <v>1385625</v>
      </c>
      <c r="I72" s="50">
        <f>VLOOKUP($A72,'Data shares'!$C:$FB,45)*100</f>
        <v>-3.49</v>
      </c>
      <c r="J72" s="49">
        <f>VLOOKUP($A72,'Data shares'!$C:$FB,58)</f>
        <v>3359625</v>
      </c>
      <c r="K72" s="49">
        <f>VLOOKUP($A72,'Data shares'!$C:$FB,59)</f>
        <v>3508875</v>
      </c>
      <c r="L72" s="50">
        <f>VLOOKUP($A72,'Data shares'!$C:$FB,61)*100</f>
        <v>-4.25</v>
      </c>
      <c r="M72" s="49">
        <f>VLOOKUP($A72,'Data shares'!$C:$FB,62)</f>
        <v>1930125</v>
      </c>
      <c r="N72" s="49">
        <f>VLOOKUP($A72,'Data shares'!$C:$FB,63)</f>
        <v>1699125</v>
      </c>
      <c r="O72" s="140">
        <f>VLOOKUP($A72,'Data shares'!$C:$FB,65)*100</f>
        <v>13.600000000000001</v>
      </c>
    </row>
    <row r="73" spans="1:15" x14ac:dyDescent="0.25">
      <c r="A73" s="101" t="str">
        <f>'Data shares'!C68</f>
        <v>GMRAIRPORT</v>
      </c>
      <c r="B73" s="50">
        <f>VLOOKUP($A73,'Data shares'!$C:$FB,7)</f>
        <v>100.59</v>
      </c>
      <c r="C73" s="50">
        <f>VLOOKUP($A73,'Data shares'!$C:$FB,10)*100</f>
        <v>-0.36</v>
      </c>
      <c r="D73" s="49">
        <f>VLOOKUP($A73,'Data shares'!$C:$FB,66)</f>
        <v>211475025</v>
      </c>
      <c r="E73" s="49">
        <f>VLOOKUP($A73,'Data shares'!$C:$FB,67)</f>
        <v>218254725</v>
      </c>
      <c r="F73" s="50">
        <f>VLOOKUP($A73,'Data shares'!$C:$FB,69)*100</f>
        <v>-3.11</v>
      </c>
      <c r="G73" s="49">
        <f>VLOOKUP($A73,'Data shares'!$C:$FB,42)</f>
        <v>24140475</v>
      </c>
      <c r="H73" s="49">
        <f>VLOOKUP($A73,'Data shares'!$C:$FB,43)</f>
        <v>29594925</v>
      </c>
      <c r="I73" s="50">
        <f>VLOOKUP($A73,'Data shares'!$C:$FB,45)*100</f>
        <v>-18.43</v>
      </c>
      <c r="J73" s="49">
        <f>VLOOKUP($A73,'Data shares'!$C:$FB,58)</f>
        <v>132239025</v>
      </c>
      <c r="K73" s="49">
        <f>VLOOKUP($A73,'Data shares'!$C:$FB,59)</f>
        <v>128953800</v>
      </c>
      <c r="L73" s="50">
        <f>VLOOKUP($A73,'Data shares'!$C:$FB,61)*100</f>
        <v>2.5499999999999998</v>
      </c>
      <c r="M73" s="49">
        <f>VLOOKUP($A73,'Data shares'!$C:$FB,62)</f>
        <v>55095525</v>
      </c>
      <c r="N73" s="49">
        <f>VLOOKUP($A73,'Data shares'!$C:$FB,63)</f>
        <v>59706000</v>
      </c>
      <c r="O73" s="140">
        <f>VLOOKUP($A73,'Data shares'!$C:$FB,65)*100</f>
        <v>-7.7200000000000006</v>
      </c>
    </row>
    <row r="74" spans="1:15" x14ac:dyDescent="0.25">
      <c r="A74" s="101" t="str">
        <f>'Data shares'!C69</f>
        <v>GODREJCP</v>
      </c>
      <c r="B74" s="50">
        <f>VLOOKUP($A74,'Data shares'!$C:$FB,7)</f>
        <v>1186.8</v>
      </c>
      <c r="C74" s="50">
        <f>VLOOKUP($A74,'Data shares'!$C:$FB,10)*100</f>
        <v>0.6</v>
      </c>
      <c r="D74" s="49">
        <f>VLOOKUP($A74,'Data shares'!$C:$FB,66)</f>
        <v>4483500</v>
      </c>
      <c r="E74" s="49">
        <f>VLOOKUP($A74,'Data shares'!$C:$FB,67)</f>
        <v>4818000</v>
      </c>
      <c r="F74" s="50">
        <f>VLOOKUP($A74,'Data shares'!$C:$FB,69)*100</f>
        <v>-6.94</v>
      </c>
      <c r="G74" s="49">
        <f>VLOOKUP($A74,'Data shares'!$C:$FB,42)</f>
        <v>993000</v>
      </c>
      <c r="H74" s="49">
        <f>VLOOKUP($A74,'Data shares'!$C:$FB,43)</f>
        <v>947500</v>
      </c>
      <c r="I74" s="50">
        <f>VLOOKUP($A74,'Data shares'!$C:$FB,45)*100</f>
        <v>4.8</v>
      </c>
      <c r="J74" s="49">
        <f>VLOOKUP($A74,'Data shares'!$C:$FB,58)</f>
        <v>2241500</v>
      </c>
      <c r="K74" s="49">
        <f>VLOOKUP($A74,'Data shares'!$C:$FB,59)</f>
        <v>2602000</v>
      </c>
      <c r="L74" s="50">
        <f>VLOOKUP($A74,'Data shares'!$C:$FB,61)*100</f>
        <v>-13.850000000000001</v>
      </c>
      <c r="M74" s="49">
        <f>VLOOKUP($A74,'Data shares'!$C:$FB,62)</f>
        <v>1249000</v>
      </c>
      <c r="N74" s="49">
        <f>VLOOKUP($A74,'Data shares'!$C:$FB,63)</f>
        <v>1268500</v>
      </c>
      <c r="O74" s="140">
        <f>VLOOKUP($A74,'Data shares'!$C:$FB,65)*100</f>
        <v>-1.54</v>
      </c>
    </row>
    <row r="75" spans="1:15" x14ac:dyDescent="0.25">
      <c r="A75" s="101" t="str">
        <f>'Data shares'!C70</f>
        <v>GODREJPROP</v>
      </c>
      <c r="B75" s="50">
        <f>VLOOKUP($A75,'Data shares'!$C:$FB,7)</f>
        <v>1999.8</v>
      </c>
      <c r="C75" s="50">
        <f>VLOOKUP($A75,'Data shares'!$C:$FB,10)*100</f>
        <v>-0.75</v>
      </c>
      <c r="D75" s="49">
        <f>VLOOKUP($A75,'Data shares'!$C:$FB,66)</f>
        <v>4797925</v>
      </c>
      <c r="E75" s="49">
        <f>VLOOKUP($A75,'Data shares'!$C:$FB,67)</f>
        <v>3151775</v>
      </c>
      <c r="F75" s="50">
        <f>VLOOKUP($A75,'Data shares'!$C:$FB,69)*100</f>
        <v>52.23</v>
      </c>
      <c r="G75" s="49">
        <f>VLOOKUP($A75,'Data shares'!$C:$FB,42)</f>
        <v>1177550</v>
      </c>
      <c r="H75" s="49">
        <f>VLOOKUP($A75,'Data shares'!$C:$FB,43)</f>
        <v>1335400</v>
      </c>
      <c r="I75" s="50">
        <f>VLOOKUP($A75,'Data shares'!$C:$FB,45)*100</f>
        <v>-11.82</v>
      </c>
      <c r="J75" s="49">
        <f>VLOOKUP($A75,'Data shares'!$C:$FB,58)</f>
        <v>2770350</v>
      </c>
      <c r="K75" s="49">
        <f>VLOOKUP($A75,'Data shares'!$C:$FB,59)</f>
        <v>1131350</v>
      </c>
      <c r="L75" s="50">
        <f>VLOOKUP($A75,'Data shares'!$C:$FB,61)*100</f>
        <v>144.87</v>
      </c>
      <c r="M75" s="49">
        <f>VLOOKUP($A75,'Data shares'!$C:$FB,62)</f>
        <v>850025</v>
      </c>
      <c r="N75" s="49">
        <f>VLOOKUP($A75,'Data shares'!$C:$FB,63)</f>
        <v>685025</v>
      </c>
      <c r="O75" s="140">
        <f>VLOOKUP($A75,'Data shares'!$C:$FB,65)*100</f>
        <v>24.09</v>
      </c>
    </row>
    <row r="76" spans="1:15" x14ac:dyDescent="0.25">
      <c r="A76" s="101" t="str">
        <f>'Data shares'!C71</f>
        <v>GRASIM</v>
      </c>
      <c r="B76" s="50">
        <f>VLOOKUP($A76,'Data shares'!$C:$FB,7)</f>
        <v>2807.6</v>
      </c>
      <c r="C76" s="50">
        <f>VLOOKUP($A76,'Data shares'!$C:$FB,10)*100</f>
        <v>0.04</v>
      </c>
      <c r="D76" s="49">
        <f>VLOOKUP($A76,'Data shares'!$C:$FB,66)</f>
        <v>2752500</v>
      </c>
      <c r="E76" s="49">
        <f>VLOOKUP($A76,'Data shares'!$C:$FB,67)</f>
        <v>2956500</v>
      </c>
      <c r="F76" s="50">
        <f>VLOOKUP($A76,'Data shares'!$C:$FB,69)*100</f>
        <v>-6.9</v>
      </c>
      <c r="G76" s="49">
        <f>VLOOKUP($A76,'Data shares'!$C:$FB,42)</f>
        <v>798000</v>
      </c>
      <c r="H76" s="49">
        <f>VLOOKUP($A76,'Data shares'!$C:$FB,43)</f>
        <v>983250</v>
      </c>
      <c r="I76" s="50">
        <f>VLOOKUP($A76,'Data shares'!$C:$FB,45)*100</f>
        <v>-18.84</v>
      </c>
      <c r="J76" s="49">
        <f>VLOOKUP($A76,'Data shares'!$C:$FB,58)</f>
        <v>1276500</v>
      </c>
      <c r="K76" s="49">
        <f>VLOOKUP($A76,'Data shares'!$C:$FB,59)</f>
        <v>1291750</v>
      </c>
      <c r="L76" s="50">
        <f>VLOOKUP($A76,'Data shares'!$C:$FB,61)*100</f>
        <v>-1.18</v>
      </c>
      <c r="M76" s="49">
        <f>VLOOKUP($A76,'Data shares'!$C:$FB,62)</f>
        <v>678000</v>
      </c>
      <c r="N76" s="49">
        <f>VLOOKUP($A76,'Data shares'!$C:$FB,63)</f>
        <v>681500</v>
      </c>
      <c r="O76" s="140">
        <f>VLOOKUP($A76,'Data shares'!$C:$FB,65)*100</f>
        <v>-0.51</v>
      </c>
    </row>
    <row r="77" spans="1:15" x14ac:dyDescent="0.25">
      <c r="A77" s="101" t="str">
        <f>'Data shares'!C72</f>
        <v>HAL</v>
      </c>
      <c r="B77" s="50">
        <f>VLOOKUP($A77,'Data shares'!$C:$FB,7)</f>
        <v>4259.5</v>
      </c>
      <c r="C77" s="50">
        <f>VLOOKUP($A77,'Data shares'!$C:$FB,10)*100</f>
        <v>0.74</v>
      </c>
      <c r="D77" s="49">
        <f>VLOOKUP($A77,'Data shares'!$C:$FB,66)</f>
        <v>11170350</v>
      </c>
      <c r="E77" s="49">
        <f>VLOOKUP($A77,'Data shares'!$C:$FB,67)</f>
        <v>9669600</v>
      </c>
      <c r="F77" s="50">
        <f>VLOOKUP($A77,'Data shares'!$C:$FB,69)*100</f>
        <v>15.52</v>
      </c>
      <c r="G77" s="49">
        <f>VLOOKUP($A77,'Data shares'!$C:$FB,42)</f>
        <v>1002450</v>
      </c>
      <c r="H77" s="49">
        <f>VLOOKUP($A77,'Data shares'!$C:$FB,43)</f>
        <v>729750</v>
      </c>
      <c r="I77" s="50">
        <f>VLOOKUP($A77,'Data shares'!$C:$FB,45)*100</f>
        <v>37.369999999999997</v>
      </c>
      <c r="J77" s="49">
        <f>VLOOKUP($A77,'Data shares'!$C:$FB,58)</f>
        <v>6958500</v>
      </c>
      <c r="K77" s="49">
        <f>VLOOKUP($A77,'Data shares'!$C:$FB,59)</f>
        <v>6190650</v>
      </c>
      <c r="L77" s="50">
        <f>VLOOKUP($A77,'Data shares'!$C:$FB,61)*100</f>
        <v>12.4</v>
      </c>
      <c r="M77" s="49">
        <f>VLOOKUP($A77,'Data shares'!$C:$FB,62)</f>
        <v>3209400</v>
      </c>
      <c r="N77" s="49">
        <f>VLOOKUP($A77,'Data shares'!$C:$FB,63)</f>
        <v>2749200</v>
      </c>
      <c r="O77" s="140">
        <f>VLOOKUP($A77,'Data shares'!$C:$FB,65)*100</f>
        <v>16.739999999999998</v>
      </c>
    </row>
    <row r="78" spans="1:15" x14ac:dyDescent="0.25">
      <c r="A78" s="101" t="str">
        <f>'Data shares'!C73</f>
        <v>HAVELLS</v>
      </c>
      <c r="B78" s="50">
        <f>VLOOKUP($A78,'Data shares'!$C:$FB,7)</f>
        <v>1401.2</v>
      </c>
      <c r="C78" s="50">
        <f>VLOOKUP($A78,'Data shares'!$C:$FB,10)*100</f>
        <v>0.3</v>
      </c>
      <c r="D78" s="49">
        <f>VLOOKUP($A78,'Data shares'!$C:$FB,66)</f>
        <v>4572000</v>
      </c>
      <c r="E78" s="49">
        <f>VLOOKUP($A78,'Data shares'!$C:$FB,67)</f>
        <v>3960500</v>
      </c>
      <c r="F78" s="50">
        <f>VLOOKUP($A78,'Data shares'!$C:$FB,69)*100</f>
        <v>15.440000000000001</v>
      </c>
      <c r="G78" s="49">
        <f>VLOOKUP($A78,'Data shares'!$C:$FB,42)</f>
        <v>1101500</v>
      </c>
      <c r="H78" s="49">
        <f>VLOOKUP($A78,'Data shares'!$C:$FB,43)</f>
        <v>1057500</v>
      </c>
      <c r="I78" s="50">
        <f>VLOOKUP($A78,'Data shares'!$C:$FB,45)*100</f>
        <v>4.16</v>
      </c>
      <c r="J78" s="49">
        <f>VLOOKUP($A78,'Data shares'!$C:$FB,58)</f>
        <v>2326000</v>
      </c>
      <c r="K78" s="49">
        <f>VLOOKUP($A78,'Data shares'!$C:$FB,59)</f>
        <v>1673000</v>
      </c>
      <c r="L78" s="50">
        <f>VLOOKUP($A78,'Data shares'!$C:$FB,61)*100</f>
        <v>39.03</v>
      </c>
      <c r="M78" s="49">
        <f>VLOOKUP($A78,'Data shares'!$C:$FB,62)</f>
        <v>1144500</v>
      </c>
      <c r="N78" s="49">
        <f>VLOOKUP($A78,'Data shares'!$C:$FB,63)</f>
        <v>1230000</v>
      </c>
      <c r="O78" s="140">
        <f>VLOOKUP($A78,'Data shares'!$C:$FB,65)*100</f>
        <v>-6.9500000000000011</v>
      </c>
    </row>
    <row r="79" spans="1:15" x14ac:dyDescent="0.25">
      <c r="A79" s="101" t="str">
        <f>'Data shares'!C74</f>
        <v>HCLTECH</v>
      </c>
      <c r="B79" s="50">
        <f>VLOOKUP($A79,'Data shares'!$C:$FB,7)</f>
        <v>1661.4</v>
      </c>
      <c r="C79" s="50">
        <f>VLOOKUP($A79,'Data shares'!$C:$FB,10)*100</f>
        <v>0.38999999999999996</v>
      </c>
      <c r="D79" s="49">
        <f>VLOOKUP($A79,'Data shares'!$C:$FB,66)</f>
        <v>16983400</v>
      </c>
      <c r="E79" s="49">
        <f>VLOOKUP($A79,'Data shares'!$C:$FB,67)</f>
        <v>9174900</v>
      </c>
      <c r="F79" s="50">
        <f>VLOOKUP($A79,'Data shares'!$C:$FB,69)*100</f>
        <v>85.11</v>
      </c>
      <c r="G79" s="49">
        <f>VLOOKUP($A79,'Data shares'!$C:$FB,42)</f>
        <v>2363200</v>
      </c>
      <c r="H79" s="49">
        <f>VLOOKUP($A79,'Data shares'!$C:$FB,43)</f>
        <v>1625050</v>
      </c>
      <c r="I79" s="50">
        <f>VLOOKUP($A79,'Data shares'!$C:$FB,45)*100</f>
        <v>45.42</v>
      </c>
      <c r="J79" s="49">
        <f>VLOOKUP($A79,'Data shares'!$C:$FB,58)</f>
        <v>11208750</v>
      </c>
      <c r="K79" s="49">
        <f>VLOOKUP($A79,'Data shares'!$C:$FB,59)</f>
        <v>5045250</v>
      </c>
      <c r="L79" s="50">
        <f>VLOOKUP($A79,'Data shares'!$C:$FB,61)*100</f>
        <v>122.16</v>
      </c>
      <c r="M79" s="49">
        <f>VLOOKUP($A79,'Data shares'!$C:$FB,62)</f>
        <v>3411450</v>
      </c>
      <c r="N79" s="49">
        <f>VLOOKUP($A79,'Data shares'!$C:$FB,63)</f>
        <v>2504600</v>
      </c>
      <c r="O79" s="140">
        <f>VLOOKUP($A79,'Data shares'!$C:$FB,65)*100</f>
        <v>36.21</v>
      </c>
    </row>
    <row r="80" spans="1:15" x14ac:dyDescent="0.25">
      <c r="A80" s="101" t="str">
        <f>'Data shares'!C75</f>
        <v>HDFCAMC</v>
      </c>
      <c r="B80" s="50">
        <f>VLOOKUP($A80,'Data shares'!$C:$FB,7)</f>
        <v>2722.9</v>
      </c>
      <c r="C80" s="50">
        <f>VLOOKUP($A80,'Data shares'!$C:$FB,10)*100</f>
        <v>7.1499999999999995</v>
      </c>
      <c r="D80" s="49">
        <f>VLOOKUP($A80,'Data shares'!$C:$FB,66)</f>
        <v>52314900</v>
      </c>
      <c r="E80" s="49">
        <f>VLOOKUP($A80,'Data shares'!$C:$FB,67)</f>
        <v>5461200</v>
      </c>
      <c r="F80" s="50">
        <f>VLOOKUP($A80,'Data shares'!$C:$FB,69)*100</f>
        <v>857.93999999999994</v>
      </c>
      <c r="G80" s="49">
        <f>VLOOKUP($A80,'Data shares'!$C:$FB,42)</f>
        <v>5221800</v>
      </c>
      <c r="H80" s="49">
        <f>VLOOKUP($A80,'Data shares'!$C:$FB,43)</f>
        <v>1247100</v>
      </c>
      <c r="I80" s="50">
        <f>VLOOKUP($A80,'Data shares'!$C:$FB,45)*100</f>
        <v>318.71999999999997</v>
      </c>
      <c r="J80" s="49">
        <f>VLOOKUP($A80,'Data shares'!$C:$FB,58)</f>
        <v>32444400</v>
      </c>
      <c r="K80" s="49">
        <f>VLOOKUP($A80,'Data shares'!$C:$FB,59)</f>
        <v>2131200</v>
      </c>
      <c r="L80" s="50">
        <f>VLOOKUP($A80,'Data shares'!$C:$FB,61)*100</f>
        <v>1422.35</v>
      </c>
      <c r="M80" s="49">
        <f>VLOOKUP($A80,'Data shares'!$C:$FB,62)</f>
        <v>14648700</v>
      </c>
      <c r="N80" s="49">
        <f>VLOOKUP($A80,'Data shares'!$C:$FB,63)</f>
        <v>2082900</v>
      </c>
      <c r="O80" s="140">
        <f>VLOOKUP($A80,'Data shares'!$C:$FB,65)*100</f>
        <v>603.28</v>
      </c>
    </row>
    <row r="81" spans="1:15" x14ac:dyDescent="0.25">
      <c r="A81" s="101" t="str">
        <f>'Data shares'!C76</f>
        <v>HDFCBANK</v>
      </c>
      <c r="B81" s="50">
        <f>VLOOKUP($A81,'Data shares'!$C:$FB,7)</f>
        <v>979.7</v>
      </c>
      <c r="C81" s="50">
        <f>VLOOKUP($A81,'Data shares'!$C:$FB,10)*100</f>
        <v>-0.44</v>
      </c>
      <c r="D81" s="49">
        <f>VLOOKUP($A81,'Data shares'!$C:$FB,66)</f>
        <v>109487400</v>
      </c>
      <c r="E81" s="49">
        <f>VLOOKUP($A81,'Data shares'!$C:$FB,67)</f>
        <v>104513200</v>
      </c>
      <c r="F81" s="50">
        <f>VLOOKUP($A81,'Data shares'!$C:$FB,69)*100</f>
        <v>4.7600000000000007</v>
      </c>
      <c r="G81" s="49">
        <f>VLOOKUP($A81,'Data shares'!$C:$FB,42)</f>
        <v>32693650</v>
      </c>
      <c r="H81" s="49">
        <f>VLOOKUP($A81,'Data shares'!$C:$FB,43)</f>
        <v>20124500</v>
      </c>
      <c r="I81" s="50">
        <f>VLOOKUP($A81,'Data shares'!$C:$FB,45)*100</f>
        <v>62.460000000000008</v>
      </c>
      <c r="J81" s="49">
        <f>VLOOKUP($A81,'Data shares'!$C:$FB,58)</f>
        <v>48039750</v>
      </c>
      <c r="K81" s="49">
        <f>VLOOKUP($A81,'Data shares'!$C:$FB,59)</f>
        <v>51999750</v>
      </c>
      <c r="L81" s="50">
        <f>VLOOKUP($A81,'Data shares'!$C:$FB,61)*100</f>
        <v>-7.62</v>
      </c>
      <c r="M81" s="49">
        <f>VLOOKUP($A81,'Data shares'!$C:$FB,62)</f>
        <v>28754000</v>
      </c>
      <c r="N81" s="49">
        <f>VLOOKUP($A81,'Data shares'!$C:$FB,63)</f>
        <v>32388950</v>
      </c>
      <c r="O81" s="140">
        <f>VLOOKUP($A81,'Data shares'!$C:$FB,65)*100</f>
        <v>-11.219999999999999</v>
      </c>
    </row>
    <row r="82" spans="1:15" x14ac:dyDescent="0.25">
      <c r="A82" s="101" t="str">
        <f>'Data shares'!C77</f>
        <v>HDFCLIFE</v>
      </c>
      <c r="B82" s="50">
        <f>VLOOKUP($A82,'Data shares'!$C:$FB,7)</f>
        <v>757</v>
      </c>
      <c r="C82" s="50">
        <f>VLOOKUP($A82,'Data shares'!$C:$FB,10)*100</f>
        <v>0.45999999999999996</v>
      </c>
      <c r="D82" s="49">
        <f>VLOOKUP($A82,'Data shares'!$C:$FB,66)</f>
        <v>18846300</v>
      </c>
      <c r="E82" s="49">
        <f>VLOOKUP($A82,'Data shares'!$C:$FB,67)</f>
        <v>44337700</v>
      </c>
      <c r="F82" s="50">
        <f>VLOOKUP($A82,'Data shares'!$C:$FB,69)*100</f>
        <v>-57.489999999999995</v>
      </c>
      <c r="G82" s="49">
        <f>VLOOKUP($A82,'Data shares'!$C:$FB,42)</f>
        <v>2740100</v>
      </c>
      <c r="H82" s="49">
        <f>VLOOKUP($A82,'Data shares'!$C:$FB,43)</f>
        <v>4440700</v>
      </c>
      <c r="I82" s="50">
        <f>VLOOKUP($A82,'Data shares'!$C:$FB,45)*100</f>
        <v>-38.299999999999997</v>
      </c>
      <c r="J82" s="49">
        <f>VLOOKUP($A82,'Data shares'!$C:$FB,58)</f>
        <v>12063700</v>
      </c>
      <c r="K82" s="49">
        <f>VLOOKUP($A82,'Data shares'!$C:$FB,59)</f>
        <v>30162000</v>
      </c>
      <c r="L82" s="50">
        <f>VLOOKUP($A82,'Data shares'!$C:$FB,61)*100</f>
        <v>-60</v>
      </c>
      <c r="M82" s="49">
        <f>VLOOKUP($A82,'Data shares'!$C:$FB,62)</f>
        <v>4042500</v>
      </c>
      <c r="N82" s="49">
        <f>VLOOKUP($A82,'Data shares'!$C:$FB,63)</f>
        <v>9735000</v>
      </c>
      <c r="O82" s="140">
        <f>VLOOKUP($A82,'Data shares'!$C:$FB,65)*100</f>
        <v>-58.47</v>
      </c>
    </row>
    <row r="83" spans="1:15" x14ac:dyDescent="0.25">
      <c r="A83" s="101" t="str">
        <f>'Data shares'!C78</f>
        <v>HEROMOTOCO</v>
      </c>
      <c r="B83" s="50">
        <f>VLOOKUP($A83,'Data shares'!$C:$FB,7)</f>
        <v>5748.5</v>
      </c>
      <c r="C83" s="50">
        <f>VLOOKUP($A83,'Data shares'!$C:$FB,10)*100</f>
        <v>-1.18</v>
      </c>
      <c r="D83" s="49">
        <f>VLOOKUP($A83,'Data shares'!$C:$FB,66)</f>
        <v>26961750</v>
      </c>
      <c r="E83" s="49">
        <f>VLOOKUP($A83,'Data shares'!$C:$FB,67)</f>
        <v>13040550</v>
      </c>
      <c r="F83" s="50">
        <f>VLOOKUP($A83,'Data shares'!$C:$FB,69)*100</f>
        <v>106.74999999999999</v>
      </c>
      <c r="G83" s="49">
        <f>VLOOKUP($A83,'Data shares'!$C:$FB,42)</f>
        <v>1990200</v>
      </c>
      <c r="H83" s="49">
        <f>VLOOKUP($A83,'Data shares'!$C:$FB,43)</f>
        <v>987450</v>
      </c>
      <c r="I83" s="50">
        <f>VLOOKUP($A83,'Data shares'!$C:$FB,45)*100</f>
        <v>101.55000000000001</v>
      </c>
      <c r="J83" s="49">
        <f>VLOOKUP($A83,'Data shares'!$C:$FB,58)</f>
        <v>14958150</v>
      </c>
      <c r="K83" s="49">
        <f>VLOOKUP($A83,'Data shares'!$C:$FB,59)</f>
        <v>6744450</v>
      </c>
      <c r="L83" s="50">
        <f>VLOOKUP($A83,'Data shares'!$C:$FB,61)*100</f>
        <v>121.78</v>
      </c>
      <c r="M83" s="49">
        <f>VLOOKUP($A83,'Data shares'!$C:$FB,62)</f>
        <v>10013400</v>
      </c>
      <c r="N83" s="49">
        <f>VLOOKUP($A83,'Data shares'!$C:$FB,63)</f>
        <v>5308650</v>
      </c>
      <c r="O83" s="140">
        <f>VLOOKUP($A83,'Data shares'!$C:$FB,65)*100</f>
        <v>88.62</v>
      </c>
    </row>
    <row r="84" spans="1:15" x14ac:dyDescent="0.25">
      <c r="A84" s="101" t="str">
        <f>'Data shares'!C79</f>
        <v>HFCL</v>
      </c>
      <c r="B84" s="50">
        <f>VLOOKUP($A84,'Data shares'!$C:$FB,7)</f>
        <v>64.62</v>
      </c>
      <c r="C84" s="50">
        <f>VLOOKUP($A84,'Data shares'!$C:$FB,10)*100</f>
        <v>0.13999999999999999</v>
      </c>
      <c r="D84" s="49">
        <f>VLOOKUP($A84,'Data shares'!$C:$FB,66)</f>
        <v>48484650</v>
      </c>
      <c r="E84" s="49">
        <f>VLOOKUP($A84,'Data shares'!$C:$FB,67)</f>
        <v>56927700</v>
      </c>
      <c r="F84" s="50">
        <f>VLOOKUP($A84,'Data shares'!$C:$FB,69)*100</f>
        <v>-14.829999999999998</v>
      </c>
      <c r="G84" s="49">
        <f>VLOOKUP($A84,'Data shares'!$C:$FB,42)</f>
        <v>8694600</v>
      </c>
      <c r="H84" s="49">
        <f>VLOOKUP($A84,'Data shares'!$C:$FB,43)</f>
        <v>7759350</v>
      </c>
      <c r="I84" s="50">
        <f>VLOOKUP($A84,'Data shares'!$C:$FB,45)*100</f>
        <v>12.049999999999999</v>
      </c>
      <c r="J84" s="49">
        <f>VLOOKUP($A84,'Data shares'!$C:$FB,58)</f>
        <v>28631550</v>
      </c>
      <c r="K84" s="49">
        <f>VLOOKUP($A84,'Data shares'!$C:$FB,59)</f>
        <v>30031200</v>
      </c>
      <c r="L84" s="50">
        <f>VLOOKUP($A84,'Data shares'!$C:$FB,61)*100</f>
        <v>-4.66</v>
      </c>
      <c r="M84" s="49">
        <f>VLOOKUP($A84,'Data shares'!$C:$FB,62)</f>
        <v>11158500</v>
      </c>
      <c r="N84" s="49">
        <f>VLOOKUP($A84,'Data shares'!$C:$FB,63)</f>
        <v>19137150</v>
      </c>
      <c r="O84" s="140">
        <f>VLOOKUP($A84,'Data shares'!$C:$FB,65)*100</f>
        <v>-41.69</v>
      </c>
    </row>
    <row r="85" spans="1:15" x14ac:dyDescent="0.25">
      <c r="A85" s="101" t="str">
        <f>'Data shares'!C80</f>
        <v>HINDALCO</v>
      </c>
      <c r="B85" s="50">
        <f>VLOOKUP($A85,'Data shares'!$C:$FB,7)</f>
        <v>856.7</v>
      </c>
      <c r="C85" s="50">
        <f>VLOOKUP($A85,'Data shares'!$C:$FB,10)*100</f>
        <v>0.92999999999999994</v>
      </c>
      <c r="D85" s="49">
        <f>VLOOKUP($A85,'Data shares'!$C:$FB,66)</f>
        <v>72985500</v>
      </c>
      <c r="E85" s="49">
        <f>VLOOKUP($A85,'Data shares'!$C:$FB,67)</f>
        <v>46651500</v>
      </c>
      <c r="F85" s="50">
        <f>VLOOKUP($A85,'Data shares'!$C:$FB,69)*100</f>
        <v>56.45</v>
      </c>
      <c r="G85" s="49">
        <f>VLOOKUP($A85,'Data shares'!$C:$FB,42)</f>
        <v>19485200</v>
      </c>
      <c r="H85" s="49">
        <f>VLOOKUP($A85,'Data shares'!$C:$FB,43)</f>
        <v>8379000</v>
      </c>
      <c r="I85" s="50">
        <f>VLOOKUP($A85,'Data shares'!$C:$FB,45)*100</f>
        <v>132.54999999999998</v>
      </c>
      <c r="J85" s="49">
        <f>VLOOKUP($A85,'Data shares'!$C:$FB,58)</f>
        <v>34814500</v>
      </c>
      <c r="K85" s="49">
        <f>VLOOKUP($A85,'Data shares'!$C:$FB,59)</f>
        <v>26565000</v>
      </c>
      <c r="L85" s="50">
        <f>VLOOKUP($A85,'Data shares'!$C:$FB,61)*100</f>
        <v>31.05</v>
      </c>
      <c r="M85" s="49">
        <f>VLOOKUP($A85,'Data shares'!$C:$FB,62)</f>
        <v>18685800</v>
      </c>
      <c r="N85" s="49">
        <f>VLOOKUP($A85,'Data shares'!$C:$FB,63)</f>
        <v>11707500</v>
      </c>
      <c r="O85" s="140">
        <f>VLOOKUP($A85,'Data shares'!$C:$FB,65)*100</f>
        <v>59.61</v>
      </c>
    </row>
    <row r="86" spans="1:15" x14ac:dyDescent="0.25">
      <c r="A86" s="101" t="str">
        <f>'Data shares'!C81</f>
        <v>HINDPETRO</v>
      </c>
      <c r="B86" s="50">
        <f>VLOOKUP($A86,'Data shares'!$C:$FB,7)</f>
        <v>464</v>
      </c>
      <c r="C86" s="50">
        <f>VLOOKUP($A86,'Data shares'!$C:$FB,10)*100</f>
        <v>-0.31</v>
      </c>
      <c r="D86" s="49">
        <f>VLOOKUP($A86,'Data shares'!$C:$FB,66)</f>
        <v>21610800</v>
      </c>
      <c r="E86" s="49">
        <f>VLOOKUP($A86,'Data shares'!$C:$FB,67)</f>
        <v>31142475</v>
      </c>
      <c r="F86" s="50">
        <f>VLOOKUP($A86,'Data shares'!$C:$FB,69)*100</f>
        <v>-30.61</v>
      </c>
      <c r="G86" s="49">
        <f>VLOOKUP($A86,'Data shares'!$C:$FB,42)</f>
        <v>4058100</v>
      </c>
      <c r="H86" s="49">
        <f>VLOOKUP($A86,'Data shares'!$C:$FB,43)</f>
        <v>4305150</v>
      </c>
      <c r="I86" s="50">
        <f>VLOOKUP($A86,'Data shares'!$C:$FB,45)*100</f>
        <v>-5.74</v>
      </c>
      <c r="J86" s="49">
        <f>VLOOKUP($A86,'Data shares'!$C:$FB,58)</f>
        <v>11540475</v>
      </c>
      <c r="K86" s="49">
        <f>VLOOKUP($A86,'Data shares'!$C:$FB,59)</f>
        <v>19496700</v>
      </c>
      <c r="L86" s="50">
        <f>VLOOKUP($A86,'Data shares'!$C:$FB,61)*100</f>
        <v>-40.81</v>
      </c>
      <c r="M86" s="49">
        <f>VLOOKUP($A86,'Data shares'!$C:$FB,62)</f>
        <v>6012225</v>
      </c>
      <c r="N86" s="49">
        <f>VLOOKUP($A86,'Data shares'!$C:$FB,63)</f>
        <v>7340625</v>
      </c>
      <c r="O86" s="140">
        <f>VLOOKUP($A86,'Data shares'!$C:$FB,65)*100</f>
        <v>-18.099999999999998</v>
      </c>
    </row>
    <row r="87" spans="1:15" x14ac:dyDescent="0.25">
      <c r="A87" s="101" t="str">
        <f>'Data shares'!C82</f>
        <v>HINDUNILVR</v>
      </c>
      <c r="B87" s="50">
        <f>VLOOKUP($A87,'Data shares'!$C:$FB,7)</f>
        <v>2265.5</v>
      </c>
      <c r="C87" s="50">
        <f>VLOOKUP($A87,'Data shares'!$C:$FB,10)*100</f>
        <v>-0.44</v>
      </c>
      <c r="D87" s="49">
        <f>VLOOKUP($A87,'Data shares'!$C:$FB,66)</f>
        <v>10076400</v>
      </c>
      <c r="E87" s="49">
        <f>VLOOKUP($A87,'Data shares'!$C:$FB,67)</f>
        <v>8140500</v>
      </c>
      <c r="F87" s="50">
        <f>VLOOKUP($A87,'Data shares'!$C:$FB,69)*100</f>
        <v>23.78</v>
      </c>
      <c r="G87" s="49">
        <f>VLOOKUP($A87,'Data shares'!$C:$FB,42)</f>
        <v>1919400</v>
      </c>
      <c r="H87" s="49">
        <f>VLOOKUP($A87,'Data shares'!$C:$FB,43)</f>
        <v>1203300</v>
      </c>
      <c r="I87" s="50">
        <f>VLOOKUP($A87,'Data shares'!$C:$FB,45)*100</f>
        <v>59.51</v>
      </c>
      <c r="J87" s="49">
        <f>VLOOKUP($A87,'Data shares'!$C:$FB,58)</f>
        <v>5951400</v>
      </c>
      <c r="K87" s="49">
        <f>VLOOKUP($A87,'Data shares'!$C:$FB,59)</f>
        <v>5253900</v>
      </c>
      <c r="L87" s="50">
        <f>VLOOKUP($A87,'Data shares'!$C:$FB,61)*100</f>
        <v>13.28</v>
      </c>
      <c r="M87" s="49">
        <f>VLOOKUP($A87,'Data shares'!$C:$FB,62)</f>
        <v>2205600</v>
      </c>
      <c r="N87" s="49">
        <f>VLOOKUP($A87,'Data shares'!$C:$FB,63)</f>
        <v>1683300</v>
      </c>
      <c r="O87" s="140">
        <f>VLOOKUP($A87,'Data shares'!$C:$FB,65)*100</f>
        <v>31.03</v>
      </c>
    </row>
    <row r="88" spans="1:15" x14ac:dyDescent="0.25">
      <c r="A88" s="101" t="str">
        <f>'Data shares'!C83</f>
        <v>HINDZINC</v>
      </c>
      <c r="B88" s="50">
        <f>VLOOKUP($A88,'Data shares'!$C:$FB,7)</f>
        <v>592.15</v>
      </c>
      <c r="C88" s="50">
        <f>VLOOKUP($A88,'Data shares'!$C:$FB,10)*100</f>
        <v>2.39</v>
      </c>
      <c r="D88" s="49">
        <f>VLOOKUP($A88,'Data shares'!$C:$FB,66)</f>
        <v>220165575</v>
      </c>
      <c r="E88" s="49">
        <f>VLOOKUP($A88,'Data shares'!$C:$FB,67)</f>
        <v>308184275</v>
      </c>
      <c r="F88" s="50">
        <f>VLOOKUP($A88,'Data shares'!$C:$FB,69)*100</f>
        <v>-28.560000000000002</v>
      </c>
      <c r="G88" s="49">
        <f>VLOOKUP($A88,'Data shares'!$C:$FB,42)</f>
        <v>19533850</v>
      </c>
      <c r="H88" s="49">
        <f>VLOOKUP($A88,'Data shares'!$C:$FB,43)</f>
        <v>24537975</v>
      </c>
      <c r="I88" s="50">
        <f>VLOOKUP($A88,'Data shares'!$C:$FB,45)*100</f>
        <v>-20.39</v>
      </c>
      <c r="J88" s="49">
        <f>VLOOKUP($A88,'Data shares'!$C:$FB,58)</f>
        <v>137746350</v>
      </c>
      <c r="K88" s="49">
        <f>VLOOKUP($A88,'Data shares'!$C:$FB,59)</f>
        <v>200877950</v>
      </c>
      <c r="L88" s="50">
        <f>VLOOKUP($A88,'Data shares'!$C:$FB,61)*100</f>
        <v>-31.430000000000003</v>
      </c>
      <c r="M88" s="49">
        <f>VLOOKUP($A88,'Data shares'!$C:$FB,62)</f>
        <v>62885375</v>
      </c>
      <c r="N88" s="49">
        <f>VLOOKUP($A88,'Data shares'!$C:$FB,63)</f>
        <v>82768350</v>
      </c>
      <c r="O88" s="140">
        <f>VLOOKUP($A88,'Data shares'!$C:$FB,65)*100</f>
        <v>-24.02</v>
      </c>
    </row>
    <row r="89" spans="1:15" x14ac:dyDescent="0.25">
      <c r="A89" s="101" t="str">
        <f>'Data shares'!C84</f>
        <v>HUDCO</v>
      </c>
      <c r="B89" s="50">
        <f>VLOOKUP($A89,'Data shares'!$C:$FB,7)</f>
        <v>206.9</v>
      </c>
      <c r="C89" s="50">
        <f>VLOOKUP($A89,'Data shares'!$C:$FB,10)*100</f>
        <v>-0.49</v>
      </c>
      <c r="D89" s="49">
        <f>VLOOKUP($A89,'Data shares'!$C:$FB,66)</f>
        <v>57201075</v>
      </c>
      <c r="E89" s="49">
        <f>VLOOKUP($A89,'Data shares'!$C:$FB,67)</f>
        <v>36424650</v>
      </c>
      <c r="F89" s="50">
        <f>VLOOKUP($A89,'Data shares'!$C:$FB,69)*100</f>
        <v>57.04</v>
      </c>
      <c r="G89" s="49">
        <f>VLOOKUP($A89,'Data shares'!$C:$FB,42)</f>
        <v>7317675</v>
      </c>
      <c r="H89" s="49">
        <f>VLOOKUP($A89,'Data shares'!$C:$FB,43)</f>
        <v>6085575</v>
      </c>
      <c r="I89" s="50">
        <f>VLOOKUP($A89,'Data shares'!$C:$FB,45)*100</f>
        <v>20.25</v>
      </c>
      <c r="J89" s="49">
        <f>VLOOKUP($A89,'Data shares'!$C:$FB,58)</f>
        <v>37615125</v>
      </c>
      <c r="K89" s="49">
        <f>VLOOKUP($A89,'Data shares'!$C:$FB,59)</f>
        <v>20521125</v>
      </c>
      <c r="L89" s="50">
        <f>VLOOKUP($A89,'Data shares'!$C:$FB,61)*100</f>
        <v>83.3</v>
      </c>
      <c r="M89" s="49">
        <f>VLOOKUP($A89,'Data shares'!$C:$FB,62)</f>
        <v>12268275</v>
      </c>
      <c r="N89" s="49">
        <f>VLOOKUP($A89,'Data shares'!$C:$FB,63)</f>
        <v>9817950</v>
      </c>
      <c r="O89" s="140">
        <f>VLOOKUP($A89,'Data shares'!$C:$FB,65)*100</f>
        <v>24.959999999999997</v>
      </c>
    </row>
    <row r="90" spans="1:15" x14ac:dyDescent="0.25">
      <c r="A90" s="101" t="str">
        <f>'Data shares'!C85</f>
        <v>ICICIBANK</v>
      </c>
      <c r="B90" s="50">
        <f>VLOOKUP($A90,'Data shares'!$C:$FB,7)</f>
        <v>1356.8</v>
      </c>
      <c r="C90" s="50">
        <f>VLOOKUP($A90,'Data shares'!$C:$FB,10)*100</f>
        <v>0.33</v>
      </c>
      <c r="D90" s="49">
        <f>VLOOKUP($A90,'Data shares'!$C:$FB,66)</f>
        <v>107546600</v>
      </c>
      <c r="E90" s="49">
        <f>VLOOKUP($A90,'Data shares'!$C:$FB,67)</f>
        <v>106170400</v>
      </c>
      <c r="F90" s="50">
        <f>VLOOKUP($A90,'Data shares'!$C:$FB,69)*100</f>
        <v>1.3</v>
      </c>
      <c r="G90" s="49">
        <f>VLOOKUP($A90,'Data shares'!$C:$FB,42)</f>
        <v>27444200</v>
      </c>
      <c r="H90" s="49">
        <f>VLOOKUP($A90,'Data shares'!$C:$FB,43)</f>
        <v>15409800</v>
      </c>
      <c r="I90" s="50">
        <f>VLOOKUP($A90,'Data shares'!$C:$FB,45)*100</f>
        <v>78.100000000000009</v>
      </c>
      <c r="J90" s="49">
        <f>VLOOKUP($A90,'Data shares'!$C:$FB,58)</f>
        <v>49450100</v>
      </c>
      <c r="K90" s="49">
        <f>VLOOKUP($A90,'Data shares'!$C:$FB,59)</f>
        <v>51583700</v>
      </c>
      <c r="L90" s="50">
        <f>VLOOKUP($A90,'Data shares'!$C:$FB,61)*100</f>
        <v>-4.1399999999999997</v>
      </c>
      <c r="M90" s="49">
        <f>VLOOKUP($A90,'Data shares'!$C:$FB,62)</f>
        <v>30652300</v>
      </c>
      <c r="N90" s="49">
        <f>VLOOKUP($A90,'Data shares'!$C:$FB,63)</f>
        <v>39176900</v>
      </c>
      <c r="O90" s="140">
        <f>VLOOKUP($A90,'Data shares'!$C:$FB,65)*100</f>
        <v>-21.759999999999998</v>
      </c>
    </row>
    <row r="91" spans="1:15" x14ac:dyDescent="0.25">
      <c r="A91" s="101" t="str">
        <f>'Data shares'!C86</f>
        <v>ICICIGI</v>
      </c>
      <c r="B91" s="50">
        <f>VLOOKUP($A91,'Data shares'!$C:$FB,7)</f>
        <v>1949.8</v>
      </c>
      <c r="C91" s="50">
        <f>VLOOKUP($A91,'Data shares'!$C:$FB,10)*100</f>
        <v>0.13999999999999999</v>
      </c>
      <c r="D91" s="49">
        <f>VLOOKUP($A91,'Data shares'!$C:$FB,66)</f>
        <v>1664975</v>
      </c>
      <c r="E91" s="49">
        <f>VLOOKUP($A91,'Data shares'!$C:$FB,67)</f>
        <v>1707550</v>
      </c>
      <c r="F91" s="50">
        <f>VLOOKUP($A91,'Data shares'!$C:$FB,69)*100</f>
        <v>-2.4899999999999998</v>
      </c>
      <c r="G91" s="49">
        <f>VLOOKUP($A91,'Data shares'!$C:$FB,42)</f>
        <v>504075</v>
      </c>
      <c r="H91" s="49">
        <f>VLOOKUP($A91,'Data shares'!$C:$FB,43)</f>
        <v>664625</v>
      </c>
      <c r="I91" s="50">
        <f>VLOOKUP($A91,'Data shares'!$C:$FB,45)*100</f>
        <v>-24.16</v>
      </c>
      <c r="J91" s="49">
        <f>VLOOKUP($A91,'Data shares'!$C:$FB,58)</f>
        <v>681525</v>
      </c>
      <c r="K91" s="49">
        <f>VLOOKUP($A91,'Data shares'!$C:$FB,59)</f>
        <v>792350</v>
      </c>
      <c r="L91" s="50">
        <f>VLOOKUP($A91,'Data shares'!$C:$FB,61)*100</f>
        <v>-13.99</v>
      </c>
      <c r="M91" s="49">
        <f>VLOOKUP($A91,'Data shares'!$C:$FB,62)</f>
        <v>479375</v>
      </c>
      <c r="N91" s="49">
        <f>VLOOKUP($A91,'Data shares'!$C:$FB,63)</f>
        <v>250575</v>
      </c>
      <c r="O91" s="140">
        <f>VLOOKUP($A91,'Data shares'!$C:$FB,65)*100</f>
        <v>91.31</v>
      </c>
    </row>
    <row r="92" spans="1:15" x14ac:dyDescent="0.25">
      <c r="A92" s="101" t="str">
        <f>'Data shares'!C87</f>
        <v>ICICIPRULI</v>
      </c>
      <c r="B92" s="50">
        <f>VLOOKUP($A92,'Data shares'!$C:$FB,7)</f>
        <v>645.65</v>
      </c>
      <c r="C92" s="50">
        <f>VLOOKUP($A92,'Data shares'!$C:$FB,10)*100</f>
        <v>2.4</v>
      </c>
      <c r="D92" s="49">
        <f>VLOOKUP($A92,'Data shares'!$C:$FB,66)</f>
        <v>10422900</v>
      </c>
      <c r="E92" s="49">
        <f>VLOOKUP($A92,'Data shares'!$C:$FB,67)</f>
        <v>5757200</v>
      </c>
      <c r="F92" s="50">
        <f>VLOOKUP($A92,'Data shares'!$C:$FB,69)*100</f>
        <v>81.040000000000006</v>
      </c>
      <c r="G92" s="49">
        <f>VLOOKUP($A92,'Data shares'!$C:$FB,42)</f>
        <v>2043325</v>
      </c>
      <c r="H92" s="49">
        <f>VLOOKUP($A92,'Data shares'!$C:$FB,43)</f>
        <v>1507750</v>
      </c>
      <c r="I92" s="50">
        <f>VLOOKUP($A92,'Data shares'!$C:$FB,45)*100</f>
        <v>35.520000000000003</v>
      </c>
      <c r="J92" s="49">
        <f>VLOOKUP($A92,'Data shares'!$C:$FB,58)</f>
        <v>6087425</v>
      </c>
      <c r="K92" s="49">
        <f>VLOOKUP($A92,'Data shares'!$C:$FB,59)</f>
        <v>3059900</v>
      </c>
      <c r="L92" s="50">
        <f>VLOOKUP($A92,'Data shares'!$C:$FB,61)*100</f>
        <v>98.94</v>
      </c>
      <c r="M92" s="49">
        <f>VLOOKUP($A92,'Data shares'!$C:$FB,62)</f>
        <v>2292150</v>
      </c>
      <c r="N92" s="49">
        <f>VLOOKUP($A92,'Data shares'!$C:$FB,63)</f>
        <v>1189550</v>
      </c>
      <c r="O92" s="140">
        <f>VLOOKUP($A92,'Data shares'!$C:$FB,65)*100</f>
        <v>92.69</v>
      </c>
    </row>
    <row r="93" spans="1:15" x14ac:dyDescent="0.25">
      <c r="A93" s="101" t="str">
        <f>'Data shares'!C88</f>
        <v>IDEA</v>
      </c>
      <c r="B93" s="50">
        <f>VLOOKUP($A93,'Data shares'!$C:$FB,7)</f>
        <v>11.3</v>
      </c>
      <c r="C93" s="50">
        <f>VLOOKUP($A93,'Data shares'!$C:$FB,10)*100</f>
        <v>1.53</v>
      </c>
      <c r="D93" s="49">
        <f>VLOOKUP($A93,'Data shares'!$C:$FB,66)</f>
        <v>5891827200</v>
      </c>
      <c r="E93" s="49">
        <f>VLOOKUP($A93,'Data shares'!$C:$FB,67)</f>
        <v>3211157325</v>
      </c>
      <c r="F93" s="50">
        <f>VLOOKUP($A93,'Data shares'!$C:$FB,69)*100</f>
        <v>83.48</v>
      </c>
      <c r="G93" s="49">
        <f>VLOOKUP($A93,'Data shares'!$C:$FB,42)</f>
        <v>1190416125</v>
      </c>
      <c r="H93" s="49">
        <f>VLOOKUP($A93,'Data shares'!$C:$FB,43)</f>
        <v>634555050</v>
      </c>
      <c r="I93" s="50">
        <f>VLOOKUP($A93,'Data shares'!$C:$FB,45)*100</f>
        <v>87.6</v>
      </c>
      <c r="J93" s="49">
        <f>VLOOKUP($A93,'Data shares'!$C:$FB,58)</f>
        <v>3682106100</v>
      </c>
      <c r="K93" s="49">
        <f>VLOOKUP($A93,'Data shares'!$C:$FB,59)</f>
        <v>2044542375</v>
      </c>
      <c r="L93" s="50">
        <f>VLOOKUP($A93,'Data shares'!$C:$FB,61)*100</f>
        <v>80.089999999999989</v>
      </c>
      <c r="M93" s="49">
        <f>VLOOKUP($A93,'Data shares'!$C:$FB,62)</f>
        <v>1019304975</v>
      </c>
      <c r="N93" s="49">
        <f>VLOOKUP($A93,'Data shares'!$C:$FB,63)</f>
        <v>532059900</v>
      </c>
      <c r="O93" s="140">
        <f>VLOOKUP($A93,'Data shares'!$C:$FB,65)*100</f>
        <v>91.58</v>
      </c>
    </row>
    <row r="94" spans="1:15" x14ac:dyDescent="0.25">
      <c r="A94" s="101" t="str">
        <f>'Data shares'!C89</f>
        <v>IDFCFIRSTB</v>
      </c>
      <c r="B94" s="50">
        <f>VLOOKUP($A94,'Data shares'!$C:$FB,7)</f>
        <v>83.79</v>
      </c>
      <c r="C94" s="50">
        <f>VLOOKUP($A94,'Data shares'!$C:$FB,10)*100</f>
        <v>-0.19</v>
      </c>
      <c r="D94" s="49">
        <f>VLOOKUP($A94,'Data shares'!$C:$FB,66)</f>
        <v>240278150</v>
      </c>
      <c r="E94" s="49">
        <f>VLOOKUP($A94,'Data shares'!$C:$FB,67)</f>
        <v>167552875</v>
      </c>
      <c r="F94" s="50">
        <f>VLOOKUP($A94,'Data shares'!$C:$FB,69)*100</f>
        <v>43.4</v>
      </c>
      <c r="G94" s="49">
        <f>VLOOKUP($A94,'Data shares'!$C:$FB,42)</f>
        <v>57783250</v>
      </c>
      <c r="H94" s="49">
        <f>VLOOKUP($A94,'Data shares'!$C:$FB,43)</f>
        <v>46375000</v>
      </c>
      <c r="I94" s="50">
        <f>VLOOKUP($A94,'Data shares'!$C:$FB,45)*100</f>
        <v>24.6</v>
      </c>
      <c r="J94" s="49">
        <f>VLOOKUP($A94,'Data shares'!$C:$FB,58)</f>
        <v>119925750</v>
      </c>
      <c r="K94" s="49">
        <f>VLOOKUP($A94,'Data shares'!$C:$FB,59)</f>
        <v>81397400</v>
      </c>
      <c r="L94" s="50">
        <f>VLOOKUP($A94,'Data shares'!$C:$FB,61)*100</f>
        <v>47.33</v>
      </c>
      <c r="M94" s="49">
        <f>VLOOKUP($A94,'Data shares'!$C:$FB,62)</f>
        <v>62569150</v>
      </c>
      <c r="N94" s="49">
        <f>VLOOKUP($A94,'Data shares'!$C:$FB,63)</f>
        <v>39780475</v>
      </c>
      <c r="O94" s="140">
        <f>VLOOKUP($A94,'Data shares'!$C:$FB,65)*100</f>
        <v>57.29</v>
      </c>
    </row>
    <row r="95" spans="1:15" x14ac:dyDescent="0.25">
      <c r="A95" s="101" t="str">
        <f>'Data shares'!C90</f>
        <v>IEX</v>
      </c>
      <c r="B95" s="50">
        <f>VLOOKUP($A95,'Data shares'!$C:$FB,7)</f>
        <v>139.76</v>
      </c>
      <c r="C95" s="50">
        <f>VLOOKUP($A95,'Data shares'!$C:$FB,10)*100</f>
        <v>-0.33</v>
      </c>
      <c r="D95" s="49">
        <f>VLOOKUP($A95,'Data shares'!$C:$FB,66)</f>
        <v>36772500</v>
      </c>
      <c r="E95" s="49">
        <f>VLOOKUP($A95,'Data shares'!$C:$FB,67)</f>
        <v>22845000</v>
      </c>
      <c r="F95" s="50">
        <f>VLOOKUP($A95,'Data shares'!$C:$FB,69)*100</f>
        <v>60.97</v>
      </c>
      <c r="G95" s="49">
        <f>VLOOKUP($A95,'Data shares'!$C:$FB,42)</f>
        <v>8741250</v>
      </c>
      <c r="H95" s="49">
        <f>VLOOKUP($A95,'Data shares'!$C:$FB,43)</f>
        <v>4106250</v>
      </c>
      <c r="I95" s="50">
        <f>VLOOKUP($A95,'Data shares'!$C:$FB,45)*100</f>
        <v>112.88</v>
      </c>
      <c r="J95" s="49">
        <f>VLOOKUP($A95,'Data shares'!$C:$FB,58)</f>
        <v>19586250</v>
      </c>
      <c r="K95" s="49">
        <f>VLOOKUP($A95,'Data shares'!$C:$FB,59)</f>
        <v>14276250</v>
      </c>
      <c r="L95" s="50">
        <f>VLOOKUP($A95,'Data shares'!$C:$FB,61)*100</f>
        <v>37.19</v>
      </c>
      <c r="M95" s="49">
        <f>VLOOKUP($A95,'Data shares'!$C:$FB,62)</f>
        <v>8445000</v>
      </c>
      <c r="N95" s="49">
        <f>VLOOKUP($A95,'Data shares'!$C:$FB,63)</f>
        <v>4462500</v>
      </c>
      <c r="O95" s="140">
        <f>VLOOKUP($A95,'Data shares'!$C:$FB,65)*100</f>
        <v>89.24</v>
      </c>
    </row>
    <row r="96" spans="1:15" x14ac:dyDescent="0.25">
      <c r="A96" s="101" t="str">
        <f>'Data shares'!C91</f>
        <v>IIFL</v>
      </c>
      <c r="B96" s="50">
        <f>VLOOKUP($A96,'Data shares'!$C:$FB,7)</f>
        <v>560.5</v>
      </c>
      <c r="C96" s="50">
        <f>VLOOKUP($A96,'Data shares'!$C:$FB,10)*100</f>
        <v>-0.45999999999999996</v>
      </c>
      <c r="D96" s="49">
        <f>VLOOKUP($A96,'Data shares'!$C:$FB,66)</f>
        <v>13079550</v>
      </c>
      <c r="E96" s="49">
        <f>VLOOKUP($A96,'Data shares'!$C:$FB,67)</f>
        <v>13411200</v>
      </c>
      <c r="F96" s="50">
        <f>VLOOKUP($A96,'Data shares'!$C:$FB,69)*100</f>
        <v>-2.4699999999999998</v>
      </c>
      <c r="G96" s="49">
        <f>VLOOKUP($A96,'Data shares'!$C:$FB,42)</f>
        <v>2503050</v>
      </c>
      <c r="H96" s="49">
        <f>VLOOKUP($A96,'Data shares'!$C:$FB,43)</f>
        <v>1555950</v>
      </c>
      <c r="I96" s="50">
        <f>VLOOKUP($A96,'Data shares'!$C:$FB,45)*100</f>
        <v>60.870000000000005</v>
      </c>
      <c r="J96" s="49">
        <f>VLOOKUP($A96,'Data shares'!$C:$FB,58)</f>
        <v>7928250</v>
      </c>
      <c r="K96" s="49">
        <f>VLOOKUP($A96,'Data shares'!$C:$FB,59)</f>
        <v>9726750</v>
      </c>
      <c r="L96" s="50">
        <f>VLOOKUP($A96,'Data shares'!$C:$FB,61)*100</f>
        <v>-18.490000000000002</v>
      </c>
      <c r="M96" s="49">
        <f>VLOOKUP($A96,'Data shares'!$C:$FB,62)</f>
        <v>2648250</v>
      </c>
      <c r="N96" s="49">
        <f>VLOOKUP($A96,'Data shares'!$C:$FB,63)</f>
        <v>2128500</v>
      </c>
      <c r="O96" s="140">
        <f>VLOOKUP($A96,'Data shares'!$C:$FB,65)*100</f>
        <v>24.42</v>
      </c>
    </row>
    <row r="97" spans="1:15" x14ac:dyDescent="0.25">
      <c r="A97" s="101" t="str">
        <f>'Data shares'!C92</f>
        <v>INDHOTEL</v>
      </c>
      <c r="B97" s="50">
        <f>VLOOKUP($A97,'Data shares'!$C:$FB,7)</f>
        <v>722</v>
      </c>
      <c r="C97" s="50">
        <f>VLOOKUP($A97,'Data shares'!$C:$FB,10)*100</f>
        <v>1.23</v>
      </c>
      <c r="D97" s="49">
        <f>VLOOKUP($A97,'Data shares'!$C:$FB,66)</f>
        <v>17548000</v>
      </c>
      <c r="E97" s="49">
        <f>VLOOKUP($A97,'Data shares'!$C:$FB,67)</f>
        <v>15794000</v>
      </c>
      <c r="F97" s="50">
        <f>VLOOKUP($A97,'Data shares'!$C:$FB,69)*100</f>
        <v>11.110000000000001</v>
      </c>
      <c r="G97" s="49">
        <f>VLOOKUP($A97,'Data shares'!$C:$FB,42)</f>
        <v>4047000</v>
      </c>
      <c r="H97" s="49">
        <f>VLOOKUP($A97,'Data shares'!$C:$FB,43)</f>
        <v>3476000</v>
      </c>
      <c r="I97" s="50">
        <f>VLOOKUP($A97,'Data shares'!$C:$FB,45)*100</f>
        <v>16.43</v>
      </c>
      <c r="J97" s="49">
        <f>VLOOKUP($A97,'Data shares'!$C:$FB,58)</f>
        <v>9102000</v>
      </c>
      <c r="K97" s="49">
        <f>VLOOKUP($A97,'Data shares'!$C:$FB,59)</f>
        <v>8767000</v>
      </c>
      <c r="L97" s="50">
        <f>VLOOKUP($A97,'Data shares'!$C:$FB,61)*100</f>
        <v>3.82</v>
      </c>
      <c r="M97" s="49">
        <f>VLOOKUP($A97,'Data shares'!$C:$FB,62)</f>
        <v>4399000</v>
      </c>
      <c r="N97" s="49">
        <f>VLOOKUP($A97,'Data shares'!$C:$FB,63)</f>
        <v>3551000</v>
      </c>
      <c r="O97" s="140">
        <f>VLOOKUP($A97,'Data shares'!$C:$FB,65)*100</f>
        <v>23.880000000000003</v>
      </c>
    </row>
    <row r="98" spans="1:15" x14ac:dyDescent="0.25">
      <c r="A98" s="101" t="str">
        <f>'Data shares'!C93</f>
        <v>INDIANB</v>
      </c>
      <c r="B98" s="50">
        <f>VLOOKUP($A98,'Data shares'!$C:$FB,7)</f>
        <v>777.85</v>
      </c>
      <c r="C98" s="50">
        <f>VLOOKUP($A98,'Data shares'!$C:$FB,10)*100</f>
        <v>0.37</v>
      </c>
      <c r="D98" s="49">
        <f>VLOOKUP($A98,'Data shares'!$C:$FB,66)</f>
        <v>8069000</v>
      </c>
      <c r="E98" s="49">
        <f>VLOOKUP($A98,'Data shares'!$C:$FB,67)</f>
        <v>8025000</v>
      </c>
      <c r="F98" s="50">
        <f>VLOOKUP($A98,'Data shares'!$C:$FB,69)*100</f>
        <v>0.54999999999999993</v>
      </c>
      <c r="G98" s="49">
        <f>VLOOKUP($A98,'Data shares'!$C:$FB,42)</f>
        <v>1450000</v>
      </c>
      <c r="H98" s="49">
        <f>VLOOKUP($A98,'Data shares'!$C:$FB,43)</f>
        <v>1526000</v>
      </c>
      <c r="I98" s="50">
        <f>VLOOKUP($A98,'Data shares'!$C:$FB,45)*100</f>
        <v>-4.9799999999999995</v>
      </c>
      <c r="J98" s="49">
        <f>VLOOKUP($A98,'Data shares'!$C:$FB,58)</f>
        <v>5256000</v>
      </c>
      <c r="K98" s="49">
        <f>VLOOKUP($A98,'Data shares'!$C:$FB,59)</f>
        <v>4781000</v>
      </c>
      <c r="L98" s="50">
        <f>VLOOKUP($A98,'Data shares'!$C:$FB,61)*100</f>
        <v>9.94</v>
      </c>
      <c r="M98" s="49">
        <f>VLOOKUP($A98,'Data shares'!$C:$FB,62)</f>
        <v>1363000</v>
      </c>
      <c r="N98" s="49">
        <f>VLOOKUP($A98,'Data shares'!$C:$FB,63)</f>
        <v>1718000</v>
      </c>
      <c r="O98" s="140">
        <f>VLOOKUP($A98,'Data shares'!$C:$FB,65)*100</f>
        <v>-20.66</v>
      </c>
    </row>
    <row r="99" spans="1:15" x14ac:dyDescent="0.25">
      <c r="A99" s="101" t="str">
        <f>'Data shares'!C94</f>
        <v>INDIAVIX</v>
      </c>
      <c r="B99" s="50">
        <f>VLOOKUP($A99,'Data shares'!$C:$FB,7)</f>
        <v>9.7100000000000009</v>
      </c>
      <c r="C99" s="50">
        <f>VLOOKUP($A99,'Data shares'!$C:$FB,10)*100</f>
        <v>-1.35</v>
      </c>
      <c r="D99" s="49">
        <f>VLOOKUP($A99,'Data shares'!$C:$FB,66)</f>
        <v>0</v>
      </c>
      <c r="E99" s="49">
        <f>VLOOKUP($A99,'Data shares'!$C:$FB,67)</f>
        <v>0</v>
      </c>
      <c r="F99" s="50">
        <f>VLOOKUP($A99,'Data shares'!$C:$FB,69)*100</f>
        <v>0</v>
      </c>
      <c r="G99" s="49">
        <f>VLOOKUP($A99,'Data shares'!$C:$FB,42)</f>
        <v>0</v>
      </c>
      <c r="H99" s="49">
        <f>VLOOKUP($A99,'Data shares'!$C:$FB,43)</f>
        <v>0</v>
      </c>
      <c r="I99" s="50">
        <f>VLOOKUP($A99,'Data shares'!$C:$FB,45)*100</f>
        <v>0</v>
      </c>
      <c r="J99" s="49">
        <f>VLOOKUP($A99,'Data shares'!$C:$FB,58)</f>
        <v>0</v>
      </c>
      <c r="K99" s="49">
        <f>VLOOKUP($A99,'Data shares'!$C:$FB,59)</f>
        <v>0</v>
      </c>
      <c r="L99" s="50">
        <f>VLOOKUP($A99,'Data shares'!$C:$FB,61)*100</f>
        <v>0</v>
      </c>
      <c r="M99" s="49">
        <f>VLOOKUP($A99,'Data shares'!$C:$FB,62)</f>
        <v>0</v>
      </c>
      <c r="N99" s="49">
        <f>VLOOKUP($A99,'Data shares'!$C:$FB,63)</f>
        <v>0</v>
      </c>
      <c r="O99" s="140">
        <f>VLOOKUP($A99,'Data shares'!$C:$FB,65)*100</f>
        <v>0</v>
      </c>
    </row>
    <row r="100" spans="1:15" x14ac:dyDescent="0.25">
      <c r="A100" s="101" t="str">
        <f>'Data shares'!C95</f>
        <v>INDIGO</v>
      </c>
      <c r="B100" s="50">
        <f>VLOOKUP($A100,'Data shares'!$C:$FB,7)</f>
        <v>5115.5</v>
      </c>
      <c r="C100" s="50">
        <f>VLOOKUP($A100,'Data shares'!$C:$FB,10)*100</f>
        <v>2.71</v>
      </c>
      <c r="D100" s="49">
        <f>VLOOKUP($A100,'Data shares'!$C:$FB,66)</f>
        <v>57352350</v>
      </c>
      <c r="E100" s="49">
        <f>VLOOKUP($A100,'Data shares'!$C:$FB,67)</f>
        <v>14007300</v>
      </c>
      <c r="F100" s="50">
        <f>VLOOKUP($A100,'Data shares'!$C:$FB,69)*100</f>
        <v>309.45</v>
      </c>
      <c r="G100" s="49">
        <f>VLOOKUP($A100,'Data shares'!$C:$FB,42)</f>
        <v>4519500</v>
      </c>
      <c r="H100" s="49">
        <f>VLOOKUP($A100,'Data shares'!$C:$FB,43)</f>
        <v>1128150</v>
      </c>
      <c r="I100" s="50">
        <f>VLOOKUP($A100,'Data shares'!$C:$FB,45)*100</f>
        <v>300.61</v>
      </c>
      <c r="J100" s="49">
        <f>VLOOKUP($A100,'Data shares'!$C:$FB,58)</f>
        <v>35718300</v>
      </c>
      <c r="K100" s="49">
        <f>VLOOKUP($A100,'Data shares'!$C:$FB,59)</f>
        <v>8553900</v>
      </c>
      <c r="L100" s="50">
        <f>VLOOKUP($A100,'Data shares'!$C:$FB,61)*100</f>
        <v>317.57</v>
      </c>
      <c r="M100" s="49">
        <f>VLOOKUP($A100,'Data shares'!$C:$FB,62)</f>
        <v>17114550</v>
      </c>
      <c r="N100" s="49">
        <f>VLOOKUP($A100,'Data shares'!$C:$FB,63)</f>
        <v>4325250</v>
      </c>
      <c r="O100" s="140">
        <f>VLOOKUP($A100,'Data shares'!$C:$FB,65)*100</f>
        <v>295.69</v>
      </c>
    </row>
    <row r="101" spans="1:15" x14ac:dyDescent="0.25">
      <c r="A101" s="101" t="str">
        <f>'Data shares'!C96</f>
        <v>INDUSINDBK</v>
      </c>
      <c r="B101" s="50">
        <f>VLOOKUP($A101,'Data shares'!$C:$FB,7)</f>
        <v>834.9</v>
      </c>
      <c r="C101" s="50">
        <f>VLOOKUP($A101,'Data shares'!$C:$FB,10)*100</f>
        <v>0.13</v>
      </c>
      <c r="D101" s="49">
        <f>VLOOKUP($A101,'Data shares'!$C:$FB,66)</f>
        <v>25594800</v>
      </c>
      <c r="E101" s="49">
        <f>VLOOKUP($A101,'Data shares'!$C:$FB,67)</f>
        <v>40085500</v>
      </c>
      <c r="F101" s="50">
        <f>VLOOKUP($A101,'Data shares'!$C:$FB,69)*100</f>
        <v>-36.15</v>
      </c>
      <c r="G101" s="49">
        <f>VLOOKUP($A101,'Data shares'!$C:$FB,42)</f>
        <v>5204500</v>
      </c>
      <c r="H101" s="49">
        <f>VLOOKUP($A101,'Data shares'!$C:$FB,43)</f>
        <v>7035700</v>
      </c>
      <c r="I101" s="50">
        <f>VLOOKUP($A101,'Data shares'!$C:$FB,45)*100</f>
        <v>-26.029999999999998</v>
      </c>
      <c r="J101" s="49">
        <f>VLOOKUP($A101,'Data shares'!$C:$FB,58)</f>
        <v>11987500</v>
      </c>
      <c r="K101" s="49">
        <f>VLOOKUP($A101,'Data shares'!$C:$FB,59)</f>
        <v>17574900</v>
      </c>
      <c r="L101" s="50">
        <f>VLOOKUP($A101,'Data shares'!$C:$FB,61)*100</f>
        <v>-31.790000000000003</v>
      </c>
      <c r="M101" s="49">
        <f>VLOOKUP($A101,'Data shares'!$C:$FB,62)</f>
        <v>8402800</v>
      </c>
      <c r="N101" s="49">
        <f>VLOOKUP($A101,'Data shares'!$C:$FB,63)</f>
        <v>15474900</v>
      </c>
      <c r="O101" s="140">
        <f>VLOOKUP($A101,'Data shares'!$C:$FB,65)*100</f>
        <v>-45.7</v>
      </c>
    </row>
    <row r="102" spans="1:15" x14ac:dyDescent="0.25">
      <c r="A102" s="101" t="str">
        <f>'Data shares'!C97</f>
        <v>INDUSTOWER</v>
      </c>
      <c r="B102" s="50">
        <f>VLOOKUP($A102,'Data shares'!$C:$FB,7)</f>
        <v>408.75</v>
      </c>
      <c r="C102" s="50">
        <f>VLOOKUP($A102,'Data shares'!$C:$FB,10)*100</f>
        <v>0.38</v>
      </c>
      <c r="D102" s="49">
        <f>VLOOKUP($A102,'Data shares'!$C:$FB,66)</f>
        <v>35419500</v>
      </c>
      <c r="E102" s="49">
        <f>VLOOKUP($A102,'Data shares'!$C:$FB,67)</f>
        <v>27801800</v>
      </c>
      <c r="F102" s="50">
        <f>VLOOKUP($A102,'Data shares'!$C:$FB,69)*100</f>
        <v>27.400000000000002</v>
      </c>
      <c r="G102" s="49">
        <f>VLOOKUP($A102,'Data shares'!$C:$FB,42)</f>
        <v>8741400</v>
      </c>
      <c r="H102" s="49">
        <f>VLOOKUP($A102,'Data shares'!$C:$FB,43)</f>
        <v>5943200</v>
      </c>
      <c r="I102" s="50">
        <f>VLOOKUP($A102,'Data shares'!$C:$FB,45)*100</f>
        <v>47.08</v>
      </c>
      <c r="J102" s="49">
        <f>VLOOKUP($A102,'Data shares'!$C:$FB,58)</f>
        <v>19781200</v>
      </c>
      <c r="K102" s="49">
        <f>VLOOKUP($A102,'Data shares'!$C:$FB,59)</f>
        <v>17535500</v>
      </c>
      <c r="L102" s="50">
        <f>VLOOKUP($A102,'Data shares'!$C:$FB,61)*100</f>
        <v>12.809999999999999</v>
      </c>
      <c r="M102" s="49">
        <f>VLOOKUP($A102,'Data shares'!$C:$FB,62)</f>
        <v>6896900</v>
      </c>
      <c r="N102" s="49">
        <f>VLOOKUP($A102,'Data shares'!$C:$FB,63)</f>
        <v>4323100</v>
      </c>
      <c r="O102" s="140">
        <f>VLOOKUP($A102,'Data shares'!$C:$FB,65)*100</f>
        <v>59.540000000000006</v>
      </c>
    </row>
    <row r="103" spans="1:15" x14ac:dyDescent="0.25">
      <c r="A103" s="101" t="str">
        <f>'Data shares'!C98</f>
        <v>INFY</v>
      </c>
      <c r="B103" s="50">
        <f>VLOOKUP($A103,'Data shares'!$C:$FB,7)</f>
        <v>1626.8</v>
      </c>
      <c r="C103" s="50">
        <f>VLOOKUP($A103,'Data shares'!$C:$FB,10)*100</f>
        <v>1.55</v>
      </c>
      <c r="D103" s="49">
        <f>VLOOKUP($A103,'Data shares'!$C:$FB,66)</f>
        <v>87880800</v>
      </c>
      <c r="E103" s="49">
        <f>VLOOKUP($A103,'Data shares'!$C:$FB,67)</f>
        <v>43017200</v>
      </c>
      <c r="F103" s="50">
        <f>VLOOKUP($A103,'Data shares'!$C:$FB,69)*100</f>
        <v>104.28999999999999</v>
      </c>
      <c r="G103" s="49">
        <f>VLOOKUP($A103,'Data shares'!$C:$FB,42)</f>
        <v>16700400</v>
      </c>
      <c r="H103" s="49">
        <f>VLOOKUP($A103,'Data shares'!$C:$FB,43)</f>
        <v>9063600</v>
      </c>
      <c r="I103" s="50">
        <f>VLOOKUP($A103,'Data shares'!$C:$FB,45)*100</f>
        <v>84.26</v>
      </c>
      <c r="J103" s="49">
        <f>VLOOKUP($A103,'Data shares'!$C:$FB,58)</f>
        <v>45302000</v>
      </c>
      <c r="K103" s="49">
        <f>VLOOKUP($A103,'Data shares'!$C:$FB,59)</f>
        <v>22052400</v>
      </c>
      <c r="L103" s="50">
        <f>VLOOKUP($A103,'Data shares'!$C:$FB,61)*100</f>
        <v>105.43</v>
      </c>
      <c r="M103" s="49">
        <f>VLOOKUP($A103,'Data shares'!$C:$FB,62)</f>
        <v>25878400</v>
      </c>
      <c r="N103" s="49">
        <f>VLOOKUP($A103,'Data shares'!$C:$FB,63)</f>
        <v>11901200</v>
      </c>
      <c r="O103" s="140">
        <f>VLOOKUP($A103,'Data shares'!$C:$FB,65)*100</f>
        <v>117.44000000000001</v>
      </c>
    </row>
    <row r="104" spans="1:15" x14ac:dyDescent="0.25">
      <c r="A104" s="101" t="str">
        <f>'Data shares'!C99</f>
        <v>INOXWIND</v>
      </c>
      <c r="B104" s="50">
        <f>VLOOKUP($A104,'Data shares'!$C:$FB,7)</f>
        <v>124.21</v>
      </c>
      <c r="C104" s="50">
        <f>VLOOKUP($A104,'Data shares'!$C:$FB,10)*100</f>
        <v>-1.4500000000000002</v>
      </c>
      <c r="D104" s="49">
        <f>VLOOKUP($A104,'Data shares'!$C:$FB,66)</f>
        <v>35749872</v>
      </c>
      <c r="E104" s="49">
        <f>VLOOKUP($A104,'Data shares'!$C:$FB,67)</f>
        <v>23807072</v>
      </c>
      <c r="F104" s="50">
        <f>VLOOKUP($A104,'Data shares'!$C:$FB,69)*100</f>
        <v>50.160000000000004</v>
      </c>
      <c r="G104" s="49">
        <f>VLOOKUP($A104,'Data shares'!$C:$FB,42)</f>
        <v>7928056</v>
      </c>
      <c r="H104" s="49">
        <f>VLOOKUP($A104,'Data shares'!$C:$FB,43)</f>
        <v>7499424</v>
      </c>
      <c r="I104" s="50">
        <f>VLOOKUP($A104,'Data shares'!$C:$FB,45)*100</f>
        <v>5.72</v>
      </c>
      <c r="J104" s="49">
        <f>VLOOKUP($A104,'Data shares'!$C:$FB,58)</f>
        <v>16415624</v>
      </c>
      <c r="K104" s="49">
        <f>VLOOKUP($A104,'Data shares'!$C:$FB,59)</f>
        <v>10215184</v>
      </c>
      <c r="L104" s="50">
        <f>VLOOKUP($A104,'Data shares'!$C:$FB,61)*100</f>
        <v>60.699999999999996</v>
      </c>
      <c r="M104" s="49">
        <f>VLOOKUP($A104,'Data shares'!$C:$FB,62)</f>
        <v>11406192</v>
      </c>
      <c r="N104" s="49">
        <f>VLOOKUP($A104,'Data shares'!$C:$FB,63)</f>
        <v>6092464</v>
      </c>
      <c r="O104" s="140">
        <f>VLOOKUP($A104,'Data shares'!$C:$FB,65)*100</f>
        <v>87.22</v>
      </c>
    </row>
    <row r="105" spans="1:15" x14ac:dyDescent="0.25">
      <c r="A105" s="101" t="str">
        <f>'Data shares'!C100</f>
        <v>IOC</v>
      </c>
      <c r="B105" s="50">
        <f>VLOOKUP($A105,'Data shares'!$C:$FB,7)</f>
        <v>161.75</v>
      </c>
      <c r="C105" s="50">
        <f>VLOOKUP($A105,'Data shares'!$C:$FB,10)*100</f>
        <v>-3.81</v>
      </c>
      <c r="D105" s="49">
        <f>VLOOKUP($A105,'Data shares'!$C:$FB,66)</f>
        <v>127218000</v>
      </c>
      <c r="E105" s="49">
        <f>VLOOKUP($A105,'Data shares'!$C:$FB,67)</f>
        <v>170483625</v>
      </c>
      <c r="F105" s="50">
        <f>VLOOKUP($A105,'Data shares'!$C:$FB,69)*100</f>
        <v>-25.380000000000003</v>
      </c>
      <c r="G105" s="49">
        <f>VLOOKUP($A105,'Data shares'!$C:$FB,42)</f>
        <v>15478125</v>
      </c>
      <c r="H105" s="49">
        <f>VLOOKUP($A105,'Data shares'!$C:$FB,43)</f>
        <v>19305000</v>
      </c>
      <c r="I105" s="50">
        <f>VLOOKUP($A105,'Data shares'!$C:$FB,45)*100</f>
        <v>-19.82</v>
      </c>
      <c r="J105" s="49">
        <f>VLOOKUP($A105,'Data shares'!$C:$FB,58)</f>
        <v>71058000</v>
      </c>
      <c r="K105" s="49">
        <f>VLOOKUP($A105,'Data shares'!$C:$FB,59)</f>
        <v>95706000</v>
      </c>
      <c r="L105" s="50">
        <f>VLOOKUP($A105,'Data shares'!$C:$FB,61)*100</f>
        <v>-25.75</v>
      </c>
      <c r="M105" s="49">
        <f>VLOOKUP($A105,'Data shares'!$C:$FB,62)</f>
        <v>40681875</v>
      </c>
      <c r="N105" s="49">
        <f>VLOOKUP($A105,'Data shares'!$C:$FB,63)</f>
        <v>55472625</v>
      </c>
      <c r="O105" s="140">
        <f>VLOOKUP($A105,'Data shares'!$C:$FB,65)*100</f>
        <v>-26.66</v>
      </c>
    </row>
    <row r="106" spans="1:15" x14ac:dyDescent="0.25">
      <c r="A106" s="101" t="str">
        <f>'Data shares'!C101</f>
        <v>IRCTC</v>
      </c>
      <c r="B106" s="50">
        <f>VLOOKUP($A106,'Data shares'!$C:$FB,7)</f>
        <v>663.85</v>
      </c>
      <c r="C106" s="50">
        <f>VLOOKUP($A106,'Data shares'!$C:$FB,10)*100</f>
        <v>-0.33999999999999997</v>
      </c>
      <c r="D106" s="49">
        <f>VLOOKUP($A106,'Data shares'!$C:$FB,66)</f>
        <v>10476375</v>
      </c>
      <c r="E106" s="49">
        <f>VLOOKUP($A106,'Data shares'!$C:$FB,67)</f>
        <v>10350375</v>
      </c>
      <c r="F106" s="50">
        <f>VLOOKUP($A106,'Data shares'!$C:$FB,69)*100</f>
        <v>1.22</v>
      </c>
      <c r="G106" s="49">
        <f>VLOOKUP($A106,'Data shares'!$C:$FB,42)</f>
        <v>1485750</v>
      </c>
      <c r="H106" s="49">
        <f>VLOOKUP($A106,'Data shares'!$C:$FB,43)</f>
        <v>1570625</v>
      </c>
      <c r="I106" s="50">
        <f>VLOOKUP($A106,'Data shares'!$C:$FB,45)*100</f>
        <v>-5.4</v>
      </c>
      <c r="J106" s="49">
        <f>VLOOKUP($A106,'Data shares'!$C:$FB,58)</f>
        <v>6656125</v>
      </c>
      <c r="K106" s="49">
        <f>VLOOKUP($A106,'Data shares'!$C:$FB,59)</f>
        <v>5396125</v>
      </c>
      <c r="L106" s="50">
        <f>VLOOKUP($A106,'Data shares'!$C:$FB,61)*100</f>
        <v>23.35</v>
      </c>
      <c r="M106" s="49">
        <f>VLOOKUP($A106,'Data shares'!$C:$FB,62)</f>
        <v>2334500</v>
      </c>
      <c r="N106" s="49">
        <f>VLOOKUP($A106,'Data shares'!$C:$FB,63)</f>
        <v>3383625</v>
      </c>
      <c r="O106" s="140">
        <f>VLOOKUP($A106,'Data shares'!$C:$FB,65)*100</f>
        <v>-31.009999999999998</v>
      </c>
    </row>
    <row r="107" spans="1:15" x14ac:dyDescent="0.25">
      <c r="A107" s="101" t="str">
        <f>'Data shares'!C102</f>
        <v>IREDA</v>
      </c>
      <c r="B107" s="50">
        <f>VLOOKUP($A107,'Data shares'!$C:$FB,7)</f>
        <v>131.41999999999999</v>
      </c>
      <c r="C107" s="50">
        <f>VLOOKUP($A107,'Data shares'!$C:$FB,10)*100</f>
        <v>-0.01</v>
      </c>
      <c r="D107" s="49">
        <f>VLOOKUP($A107,'Data shares'!$C:$FB,66)</f>
        <v>34475850</v>
      </c>
      <c r="E107" s="49">
        <f>VLOOKUP($A107,'Data shares'!$C:$FB,67)</f>
        <v>29266350</v>
      </c>
      <c r="F107" s="50">
        <f>VLOOKUP($A107,'Data shares'!$C:$FB,69)*100</f>
        <v>17.8</v>
      </c>
      <c r="G107" s="49">
        <f>VLOOKUP($A107,'Data shares'!$C:$FB,42)</f>
        <v>10436250</v>
      </c>
      <c r="H107" s="49">
        <f>VLOOKUP($A107,'Data shares'!$C:$FB,43)</f>
        <v>10522500</v>
      </c>
      <c r="I107" s="50">
        <f>VLOOKUP($A107,'Data shares'!$C:$FB,45)*100</f>
        <v>-0.82000000000000006</v>
      </c>
      <c r="J107" s="49">
        <f>VLOOKUP($A107,'Data shares'!$C:$FB,58)</f>
        <v>17229300</v>
      </c>
      <c r="K107" s="49">
        <f>VLOOKUP($A107,'Data shares'!$C:$FB,59)</f>
        <v>14169150</v>
      </c>
      <c r="L107" s="50">
        <f>VLOOKUP($A107,'Data shares'!$C:$FB,61)*100</f>
        <v>21.6</v>
      </c>
      <c r="M107" s="49">
        <f>VLOOKUP($A107,'Data shares'!$C:$FB,62)</f>
        <v>6810300</v>
      </c>
      <c r="N107" s="49">
        <f>VLOOKUP($A107,'Data shares'!$C:$FB,63)</f>
        <v>4574700</v>
      </c>
      <c r="O107" s="140">
        <f>VLOOKUP($A107,'Data shares'!$C:$FB,65)*100</f>
        <v>48.870000000000005</v>
      </c>
    </row>
    <row r="108" spans="1:15" x14ac:dyDescent="0.25">
      <c r="A108" s="101" t="str">
        <f>'Data shares'!C103</f>
        <v>IRFC</v>
      </c>
      <c r="B108" s="50">
        <f>VLOOKUP($A108,'Data shares'!$C:$FB,7)</f>
        <v>110.81</v>
      </c>
      <c r="C108" s="50">
        <f>VLOOKUP($A108,'Data shares'!$C:$FB,10)*100</f>
        <v>-0.24</v>
      </c>
      <c r="D108" s="49">
        <f>VLOOKUP($A108,'Data shares'!$C:$FB,66)</f>
        <v>40239000</v>
      </c>
      <c r="E108" s="49">
        <f>VLOOKUP($A108,'Data shares'!$C:$FB,67)</f>
        <v>36435250</v>
      </c>
      <c r="F108" s="50">
        <f>VLOOKUP($A108,'Data shares'!$C:$FB,69)*100</f>
        <v>10.440000000000001</v>
      </c>
      <c r="G108" s="49">
        <f>VLOOKUP($A108,'Data shares'!$C:$FB,42)</f>
        <v>5869250</v>
      </c>
      <c r="H108" s="49">
        <f>VLOOKUP($A108,'Data shares'!$C:$FB,43)</f>
        <v>5393250</v>
      </c>
      <c r="I108" s="50">
        <f>VLOOKUP($A108,'Data shares'!$C:$FB,45)*100</f>
        <v>8.83</v>
      </c>
      <c r="J108" s="49">
        <f>VLOOKUP($A108,'Data shares'!$C:$FB,58)</f>
        <v>23494000</v>
      </c>
      <c r="K108" s="49">
        <f>VLOOKUP($A108,'Data shares'!$C:$FB,59)</f>
        <v>21874750</v>
      </c>
      <c r="L108" s="50">
        <f>VLOOKUP($A108,'Data shares'!$C:$FB,61)*100</f>
        <v>7.3999999999999995</v>
      </c>
      <c r="M108" s="49">
        <f>VLOOKUP($A108,'Data shares'!$C:$FB,62)</f>
        <v>10875750</v>
      </c>
      <c r="N108" s="49">
        <f>VLOOKUP($A108,'Data shares'!$C:$FB,63)</f>
        <v>9167250</v>
      </c>
      <c r="O108" s="140">
        <f>VLOOKUP($A108,'Data shares'!$C:$FB,65)*100</f>
        <v>18.64</v>
      </c>
    </row>
    <row r="109" spans="1:15" x14ac:dyDescent="0.25">
      <c r="A109" s="101" t="str">
        <f>'Data shares'!C104</f>
        <v>ITC</v>
      </c>
      <c r="B109" s="50">
        <f>VLOOKUP($A109,'Data shares'!$C:$FB,7)</f>
        <v>400.4</v>
      </c>
      <c r="C109" s="50">
        <f>VLOOKUP($A109,'Data shares'!$C:$FB,10)*100</f>
        <v>0.15</v>
      </c>
      <c r="D109" s="49">
        <f>VLOOKUP($A109,'Data shares'!$C:$FB,66)</f>
        <v>64072000</v>
      </c>
      <c r="E109" s="49">
        <f>VLOOKUP($A109,'Data shares'!$C:$FB,67)</f>
        <v>72676800</v>
      </c>
      <c r="F109" s="50">
        <f>VLOOKUP($A109,'Data shares'!$C:$FB,69)*100</f>
        <v>-11.84</v>
      </c>
      <c r="G109" s="49">
        <f>VLOOKUP($A109,'Data shares'!$C:$FB,42)</f>
        <v>17598400</v>
      </c>
      <c r="H109" s="49">
        <f>VLOOKUP($A109,'Data shares'!$C:$FB,43)</f>
        <v>13742400</v>
      </c>
      <c r="I109" s="50">
        <f>VLOOKUP($A109,'Data shares'!$C:$FB,45)*100</f>
        <v>28.060000000000002</v>
      </c>
      <c r="J109" s="49">
        <f>VLOOKUP($A109,'Data shares'!$C:$FB,58)</f>
        <v>29828800</v>
      </c>
      <c r="K109" s="49">
        <f>VLOOKUP($A109,'Data shares'!$C:$FB,59)</f>
        <v>39790400</v>
      </c>
      <c r="L109" s="50">
        <f>VLOOKUP($A109,'Data shares'!$C:$FB,61)*100</f>
        <v>-25.040000000000003</v>
      </c>
      <c r="M109" s="49">
        <f>VLOOKUP($A109,'Data shares'!$C:$FB,62)</f>
        <v>16644800</v>
      </c>
      <c r="N109" s="49">
        <f>VLOOKUP($A109,'Data shares'!$C:$FB,63)</f>
        <v>19144000</v>
      </c>
      <c r="O109" s="140">
        <f>VLOOKUP($A109,'Data shares'!$C:$FB,65)*100</f>
        <v>-13.05</v>
      </c>
    </row>
    <row r="110" spans="1:15" x14ac:dyDescent="0.25">
      <c r="A110" s="101" t="str">
        <f>'Data shares'!C105</f>
        <v>JINDALSTEL</v>
      </c>
      <c r="B110" s="50">
        <f>VLOOKUP($A110,'Data shares'!$C:$FB,7)</f>
        <v>986</v>
      </c>
      <c r="C110" s="50">
        <f>VLOOKUP($A110,'Data shares'!$C:$FB,10)*100</f>
        <v>-1.55</v>
      </c>
      <c r="D110" s="49">
        <f>VLOOKUP($A110,'Data shares'!$C:$FB,66)</f>
        <v>17856875</v>
      </c>
      <c r="E110" s="49">
        <f>VLOOKUP($A110,'Data shares'!$C:$FB,67)</f>
        <v>8147500</v>
      </c>
      <c r="F110" s="50">
        <f>VLOOKUP($A110,'Data shares'!$C:$FB,69)*100</f>
        <v>119.17</v>
      </c>
      <c r="G110" s="49">
        <f>VLOOKUP($A110,'Data shares'!$C:$FB,42)</f>
        <v>3688750</v>
      </c>
      <c r="H110" s="49">
        <f>VLOOKUP($A110,'Data shares'!$C:$FB,43)</f>
        <v>1740000</v>
      </c>
      <c r="I110" s="50">
        <f>VLOOKUP($A110,'Data shares'!$C:$FB,45)*100</f>
        <v>112.00000000000001</v>
      </c>
      <c r="J110" s="49">
        <f>VLOOKUP($A110,'Data shares'!$C:$FB,58)</f>
        <v>8565000</v>
      </c>
      <c r="K110" s="49">
        <f>VLOOKUP($A110,'Data shares'!$C:$FB,59)</f>
        <v>4140625</v>
      </c>
      <c r="L110" s="50">
        <f>VLOOKUP($A110,'Data shares'!$C:$FB,61)*100</f>
        <v>106.85</v>
      </c>
      <c r="M110" s="49">
        <f>VLOOKUP($A110,'Data shares'!$C:$FB,62)</f>
        <v>5603125</v>
      </c>
      <c r="N110" s="49">
        <f>VLOOKUP($A110,'Data shares'!$C:$FB,63)</f>
        <v>2266875</v>
      </c>
      <c r="O110" s="140">
        <f>VLOOKUP($A110,'Data shares'!$C:$FB,65)*100</f>
        <v>147.16999999999999</v>
      </c>
    </row>
    <row r="111" spans="1:15" x14ac:dyDescent="0.25">
      <c r="A111" s="101" t="str">
        <f>'Data shares'!C106</f>
        <v>JIOFIN</v>
      </c>
      <c r="B111" s="50">
        <f>VLOOKUP($A111,'Data shares'!$C:$FB,7)</f>
        <v>292.3</v>
      </c>
      <c r="C111" s="50">
        <f>VLOOKUP($A111,'Data shares'!$C:$FB,10)*100</f>
        <v>-0.28999999999999998</v>
      </c>
      <c r="D111" s="49">
        <f>VLOOKUP($A111,'Data shares'!$C:$FB,66)</f>
        <v>75538400</v>
      </c>
      <c r="E111" s="49">
        <f>VLOOKUP($A111,'Data shares'!$C:$FB,67)</f>
        <v>59607750</v>
      </c>
      <c r="F111" s="50">
        <f>VLOOKUP($A111,'Data shares'!$C:$FB,69)*100</f>
        <v>26.729999999999997</v>
      </c>
      <c r="G111" s="49">
        <f>VLOOKUP($A111,'Data shares'!$C:$FB,42)</f>
        <v>16680300</v>
      </c>
      <c r="H111" s="49">
        <f>VLOOKUP($A111,'Data shares'!$C:$FB,43)</f>
        <v>9244900</v>
      </c>
      <c r="I111" s="50">
        <f>VLOOKUP($A111,'Data shares'!$C:$FB,45)*100</f>
        <v>80.430000000000007</v>
      </c>
      <c r="J111" s="49">
        <f>VLOOKUP($A111,'Data shares'!$C:$FB,58)</f>
        <v>42866350</v>
      </c>
      <c r="K111" s="49">
        <f>VLOOKUP($A111,'Data shares'!$C:$FB,59)</f>
        <v>37153500</v>
      </c>
      <c r="L111" s="50">
        <f>VLOOKUP($A111,'Data shares'!$C:$FB,61)*100</f>
        <v>15.379999999999999</v>
      </c>
      <c r="M111" s="49">
        <f>VLOOKUP($A111,'Data shares'!$C:$FB,62)</f>
        <v>15991750</v>
      </c>
      <c r="N111" s="49">
        <f>VLOOKUP($A111,'Data shares'!$C:$FB,63)</f>
        <v>13209350</v>
      </c>
      <c r="O111" s="140">
        <f>VLOOKUP($A111,'Data shares'!$C:$FB,65)*100</f>
        <v>21.060000000000002</v>
      </c>
    </row>
    <row r="112" spans="1:15" x14ac:dyDescent="0.25">
      <c r="A112" s="101" t="str">
        <f>'Data shares'!C107</f>
        <v>JSWENERGY</v>
      </c>
      <c r="B112" s="50">
        <f>VLOOKUP($A112,'Data shares'!$C:$FB,7)</f>
        <v>472</v>
      </c>
      <c r="C112" s="50">
        <f>VLOOKUP($A112,'Data shares'!$C:$FB,10)*100</f>
        <v>-0.67999999999999994</v>
      </c>
      <c r="D112" s="49">
        <f>VLOOKUP($A112,'Data shares'!$C:$FB,66)</f>
        <v>17968000</v>
      </c>
      <c r="E112" s="49">
        <f>VLOOKUP($A112,'Data shares'!$C:$FB,67)</f>
        <v>19059000</v>
      </c>
      <c r="F112" s="50">
        <f>VLOOKUP($A112,'Data shares'!$C:$FB,69)*100</f>
        <v>-5.72</v>
      </c>
      <c r="G112" s="49">
        <f>VLOOKUP($A112,'Data shares'!$C:$FB,42)</f>
        <v>3424000</v>
      </c>
      <c r="H112" s="49">
        <f>VLOOKUP($A112,'Data shares'!$C:$FB,43)</f>
        <v>3439000</v>
      </c>
      <c r="I112" s="50">
        <f>VLOOKUP($A112,'Data shares'!$C:$FB,45)*100</f>
        <v>-0.44</v>
      </c>
      <c r="J112" s="49">
        <f>VLOOKUP($A112,'Data shares'!$C:$FB,58)</f>
        <v>8795000</v>
      </c>
      <c r="K112" s="49">
        <f>VLOOKUP($A112,'Data shares'!$C:$FB,59)</f>
        <v>9747000</v>
      </c>
      <c r="L112" s="50">
        <f>VLOOKUP($A112,'Data shares'!$C:$FB,61)*100</f>
        <v>-9.77</v>
      </c>
      <c r="M112" s="49">
        <f>VLOOKUP($A112,'Data shares'!$C:$FB,62)</f>
        <v>5749000</v>
      </c>
      <c r="N112" s="49">
        <f>VLOOKUP($A112,'Data shares'!$C:$FB,63)</f>
        <v>5873000</v>
      </c>
      <c r="O112" s="140">
        <f>VLOOKUP($A112,'Data shares'!$C:$FB,65)*100</f>
        <v>-2.11</v>
      </c>
    </row>
    <row r="113" spans="1:15" x14ac:dyDescent="0.25">
      <c r="A113" s="101" t="str">
        <f>'Data shares'!C108</f>
        <v>JSWSTEEL</v>
      </c>
      <c r="B113" s="50">
        <f>VLOOKUP($A113,'Data shares'!$C:$FB,7)</f>
        <v>1082.2</v>
      </c>
      <c r="C113" s="50">
        <f>VLOOKUP($A113,'Data shares'!$C:$FB,10)*100</f>
        <v>0.27</v>
      </c>
      <c r="D113" s="49">
        <f>VLOOKUP($A113,'Data shares'!$C:$FB,66)</f>
        <v>28441800</v>
      </c>
      <c r="E113" s="49">
        <f>VLOOKUP($A113,'Data shares'!$C:$FB,67)</f>
        <v>22331025</v>
      </c>
      <c r="F113" s="50">
        <f>VLOOKUP($A113,'Data shares'!$C:$FB,69)*100</f>
        <v>27.36</v>
      </c>
      <c r="G113" s="49">
        <f>VLOOKUP($A113,'Data shares'!$C:$FB,42)</f>
        <v>5049000</v>
      </c>
      <c r="H113" s="49">
        <f>VLOOKUP($A113,'Data shares'!$C:$FB,43)</f>
        <v>3385125</v>
      </c>
      <c r="I113" s="50">
        <f>VLOOKUP($A113,'Data shares'!$C:$FB,45)*100</f>
        <v>49.15</v>
      </c>
      <c r="J113" s="49">
        <f>VLOOKUP($A113,'Data shares'!$C:$FB,58)</f>
        <v>16671825</v>
      </c>
      <c r="K113" s="49">
        <f>VLOOKUP($A113,'Data shares'!$C:$FB,59)</f>
        <v>13807800</v>
      </c>
      <c r="L113" s="50">
        <f>VLOOKUP($A113,'Data shares'!$C:$FB,61)*100</f>
        <v>20.74</v>
      </c>
      <c r="M113" s="49">
        <f>VLOOKUP($A113,'Data shares'!$C:$FB,62)</f>
        <v>6720975</v>
      </c>
      <c r="N113" s="49">
        <f>VLOOKUP($A113,'Data shares'!$C:$FB,63)</f>
        <v>5138100</v>
      </c>
      <c r="O113" s="140">
        <f>VLOOKUP($A113,'Data shares'!$C:$FB,65)*100</f>
        <v>30.81</v>
      </c>
    </row>
    <row r="114" spans="1:15" x14ac:dyDescent="0.25">
      <c r="A114" s="101" t="str">
        <f>'Data shares'!C109</f>
        <v>JUBLFOOD</v>
      </c>
      <c r="B114" s="50">
        <f>VLOOKUP($A114,'Data shares'!$C:$FB,7)</f>
        <v>558.70000000000005</v>
      </c>
      <c r="C114" s="50">
        <f>VLOOKUP($A114,'Data shares'!$C:$FB,10)*100</f>
        <v>0.84</v>
      </c>
      <c r="D114" s="49">
        <f>VLOOKUP($A114,'Data shares'!$C:$FB,66)</f>
        <v>19052500</v>
      </c>
      <c r="E114" s="49">
        <f>VLOOKUP($A114,'Data shares'!$C:$FB,67)</f>
        <v>27065000</v>
      </c>
      <c r="F114" s="50">
        <f>VLOOKUP($A114,'Data shares'!$C:$FB,69)*100</f>
        <v>-29.599999999999998</v>
      </c>
      <c r="G114" s="49">
        <f>VLOOKUP($A114,'Data shares'!$C:$FB,42)</f>
        <v>3658750</v>
      </c>
      <c r="H114" s="49">
        <f>VLOOKUP($A114,'Data shares'!$C:$FB,43)</f>
        <v>4928750</v>
      </c>
      <c r="I114" s="50">
        <f>VLOOKUP($A114,'Data shares'!$C:$FB,45)*100</f>
        <v>-25.77</v>
      </c>
      <c r="J114" s="49">
        <f>VLOOKUP($A114,'Data shares'!$C:$FB,58)</f>
        <v>9957500</v>
      </c>
      <c r="K114" s="49">
        <f>VLOOKUP($A114,'Data shares'!$C:$FB,59)</f>
        <v>13562500</v>
      </c>
      <c r="L114" s="50">
        <f>VLOOKUP($A114,'Data shares'!$C:$FB,61)*100</f>
        <v>-26.58</v>
      </c>
      <c r="M114" s="49">
        <f>VLOOKUP($A114,'Data shares'!$C:$FB,62)</f>
        <v>5436250</v>
      </c>
      <c r="N114" s="49">
        <f>VLOOKUP($A114,'Data shares'!$C:$FB,63)</f>
        <v>8573750</v>
      </c>
      <c r="O114" s="140">
        <f>VLOOKUP($A114,'Data shares'!$C:$FB,65)*100</f>
        <v>-36.590000000000003</v>
      </c>
    </row>
    <row r="115" spans="1:15" x14ac:dyDescent="0.25">
      <c r="A115" s="101" t="str">
        <f>'Data shares'!C110</f>
        <v>KALYANKJIL</v>
      </c>
      <c r="B115" s="50">
        <f>VLOOKUP($A115,'Data shares'!$C:$FB,7)</f>
        <v>470.85</v>
      </c>
      <c r="C115" s="50">
        <f>VLOOKUP($A115,'Data shares'!$C:$FB,10)*100</f>
        <v>-0.84</v>
      </c>
      <c r="D115" s="49">
        <f>VLOOKUP($A115,'Data shares'!$C:$FB,66)</f>
        <v>13120050</v>
      </c>
      <c r="E115" s="49">
        <f>VLOOKUP($A115,'Data shares'!$C:$FB,67)</f>
        <v>19448600</v>
      </c>
      <c r="F115" s="50">
        <f>VLOOKUP($A115,'Data shares'!$C:$FB,69)*100</f>
        <v>-32.54</v>
      </c>
      <c r="G115" s="49">
        <f>VLOOKUP($A115,'Data shares'!$C:$FB,42)</f>
        <v>1749575</v>
      </c>
      <c r="H115" s="49">
        <f>VLOOKUP($A115,'Data shares'!$C:$FB,43)</f>
        <v>3983250</v>
      </c>
      <c r="I115" s="50">
        <f>VLOOKUP($A115,'Data shares'!$C:$FB,45)*100</f>
        <v>-56.08</v>
      </c>
      <c r="J115" s="49">
        <f>VLOOKUP($A115,'Data shares'!$C:$FB,58)</f>
        <v>8718500</v>
      </c>
      <c r="K115" s="49">
        <f>VLOOKUP($A115,'Data shares'!$C:$FB,59)</f>
        <v>9995725</v>
      </c>
      <c r="L115" s="50">
        <f>VLOOKUP($A115,'Data shares'!$C:$FB,61)*100</f>
        <v>-12.78</v>
      </c>
      <c r="M115" s="49">
        <f>VLOOKUP($A115,'Data shares'!$C:$FB,62)</f>
        <v>2651975</v>
      </c>
      <c r="N115" s="49">
        <f>VLOOKUP($A115,'Data shares'!$C:$FB,63)</f>
        <v>5469625</v>
      </c>
      <c r="O115" s="140">
        <f>VLOOKUP($A115,'Data shares'!$C:$FB,65)*100</f>
        <v>-51.51</v>
      </c>
    </row>
    <row r="116" spans="1:15" x14ac:dyDescent="0.25">
      <c r="A116" s="101" t="str">
        <f>'Data shares'!C111</f>
        <v>KAYNES</v>
      </c>
      <c r="B116" s="50">
        <f>VLOOKUP($A116,'Data shares'!$C:$FB,7)</f>
        <v>4046.5</v>
      </c>
      <c r="C116" s="50">
        <f>VLOOKUP($A116,'Data shares'!$C:$FB,10)*100</f>
        <v>-1.1499999999999999</v>
      </c>
      <c r="D116" s="49">
        <f>VLOOKUP($A116,'Data shares'!$C:$FB,66)</f>
        <v>17476600</v>
      </c>
      <c r="E116" s="49">
        <f>VLOOKUP($A116,'Data shares'!$C:$FB,67)</f>
        <v>16644400</v>
      </c>
      <c r="F116" s="50">
        <f>VLOOKUP($A116,'Data shares'!$C:$FB,69)*100</f>
        <v>5</v>
      </c>
      <c r="G116" s="49">
        <f>VLOOKUP($A116,'Data shares'!$C:$FB,42)</f>
        <v>1193900</v>
      </c>
      <c r="H116" s="49">
        <f>VLOOKUP($A116,'Data shares'!$C:$FB,43)</f>
        <v>1303100</v>
      </c>
      <c r="I116" s="50">
        <f>VLOOKUP($A116,'Data shares'!$C:$FB,45)*100</f>
        <v>-8.3800000000000008</v>
      </c>
      <c r="J116" s="49">
        <f>VLOOKUP($A116,'Data shares'!$C:$FB,58)</f>
        <v>10814800</v>
      </c>
      <c r="K116" s="49">
        <f>VLOOKUP($A116,'Data shares'!$C:$FB,59)</f>
        <v>10252000</v>
      </c>
      <c r="L116" s="50">
        <f>VLOOKUP($A116,'Data shares'!$C:$FB,61)*100</f>
        <v>5.4899999999999993</v>
      </c>
      <c r="M116" s="49">
        <f>VLOOKUP($A116,'Data shares'!$C:$FB,62)</f>
        <v>5467900</v>
      </c>
      <c r="N116" s="49">
        <f>VLOOKUP($A116,'Data shares'!$C:$FB,63)</f>
        <v>5089300</v>
      </c>
      <c r="O116" s="140">
        <f>VLOOKUP($A116,'Data shares'!$C:$FB,65)*100</f>
        <v>7.4399999999999995</v>
      </c>
    </row>
    <row r="117" spans="1:15" x14ac:dyDescent="0.25">
      <c r="A117" s="101" t="str">
        <f>'Data shares'!C112</f>
        <v>KEI</v>
      </c>
      <c r="B117" s="50">
        <f>VLOOKUP($A117,'Data shares'!$C:$FB,7)</f>
        <v>4086.8</v>
      </c>
      <c r="C117" s="50">
        <f>VLOOKUP($A117,'Data shares'!$C:$FB,10)*100</f>
        <v>-0.48</v>
      </c>
      <c r="D117" s="49">
        <f>VLOOKUP($A117,'Data shares'!$C:$FB,66)</f>
        <v>1351875</v>
      </c>
      <c r="E117" s="49">
        <f>VLOOKUP($A117,'Data shares'!$C:$FB,67)</f>
        <v>2246825</v>
      </c>
      <c r="F117" s="50">
        <f>VLOOKUP($A117,'Data shares'!$C:$FB,69)*100</f>
        <v>-39.83</v>
      </c>
      <c r="G117" s="49">
        <f>VLOOKUP($A117,'Data shares'!$C:$FB,42)</f>
        <v>289275</v>
      </c>
      <c r="H117" s="49">
        <f>VLOOKUP($A117,'Data shares'!$C:$FB,43)</f>
        <v>367325</v>
      </c>
      <c r="I117" s="50">
        <f>VLOOKUP($A117,'Data shares'!$C:$FB,45)*100</f>
        <v>-21.25</v>
      </c>
      <c r="J117" s="49">
        <f>VLOOKUP($A117,'Data shares'!$C:$FB,58)</f>
        <v>558075</v>
      </c>
      <c r="K117" s="49">
        <f>VLOOKUP($A117,'Data shares'!$C:$FB,59)</f>
        <v>704200</v>
      </c>
      <c r="L117" s="50">
        <f>VLOOKUP($A117,'Data shares'!$C:$FB,61)*100</f>
        <v>-20.75</v>
      </c>
      <c r="M117" s="49">
        <f>VLOOKUP($A117,'Data shares'!$C:$FB,62)</f>
        <v>504525</v>
      </c>
      <c r="N117" s="49">
        <f>VLOOKUP($A117,'Data shares'!$C:$FB,63)</f>
        <v>1175300</v>
      </c>
      <c r="O117" s="140">
        <f>VLOOKUP($A117,'Data shares'!$C:$FB,65)*100</f>
        <v>-57.07</v>
      </c>
    </row>
    <row r="118" spans="1:15" x14ac:dyDescent="0.25">
      <c r="A118" s="101" t="str">
        <f>'Data shares'!C113</f>
        <v>KFINTECH</v>
      </c>
      <c r="B118" s="50">
        <f>VLOOKUP($A118,'Data shares'!$C:$FB,7)</f>
        <v>1069</v>
      </c>
      <c r="C118" s="50">
        <f>VLOOKUP($A118,'Data shares'!$C:$FB,10)*100</f>
        <v>3.66</v>
      </c>
      <c r="D118" s="49">
        <f>VLOOKUP($A118,'Data shares'!$C:$FB,66)</f>
        <v>9537750</v>
      </c>
      <c r="E118" s="49">
        <f>VLOOKUP($A118,'Data shares'!$C:$FB,67)</f>
        <v>2422800</v>
      </c>
      <c r="F118" s="50">
        <f>VLOOKUP($A118,'Data shares'!$C:$FB,69)*100</f>
        <v>293.67</v>
      </c>
      <c r="G118" s="49">
        <f>VLOOKUP($A118,'Data shares'!$C:$FB,42)</f>
        <v>2063700</v>
      </c>
      <c r="H118" s="49">
        <f>VLOOKUP($A118,'Data shares'!$C:$FB,43)</f>
        <v>616950</v>
      </c>
      <c r="I118" s="50">
        <f>VLOOKUP($A118,'Data shares'!$C:$FB,45)*100</f>
        <v>234.50000000000003</v>
      </c>
      <c r="J118" s="49">
        <f>VLOOKUP($A118,'Data shares'!$C:$FB,58)</f>
        <v>5461200</v>
      </c>
      <c r="K118" s="49">
        <f>VLOOKUP($A118,'Data shares'!$C:$FB,59)</f>
        <v>1226700</v>
      </c>
      <c r="L118" s="50">
        <f>VLOOKUP($A118,'Data shares'!$C:$FB,61)*100</f>
        <v>345.19</v>
      </c>
      <c r="M118" s="49">
        <f>VLOOKUP($A118,'Data shares'!$C:$FB,62)</f>
        <v>2012850</v>
      </c>
      <c r="N118" s="49">
        <f>VLOOKUP($A118,'Data shares'!$C:$FB,63)</f>
        <v>579150</v>
      </c>
      <c r="O118" s="140">
        <f>VLOOKUP($A118,'Data shares'!$C:$FB,65)*100</f>
        <v>247.54999999999998</v>
      </c>
    </row>
    <row r="119" spans="1:15" x14ac:dyDescent="0.25">
      <c r="A119" s="101" t="str">
        <f>'Data shares'!C114</f>
        <v>KOTAKBANK</v>
      </c>
      <c r="B119" s="50">
        <f>VLOOKUP($A119,'Data shares'!$C:$FB,7)</f>
        <v>2164.6</v>
      </c>
      <c r="C119" s="50">
        <f>VLOOKUP($A119,'Data shares'!$C:$FB,10)*100</f>
        <v>-0.4</v>
      </c>
      <c r="D119" s="49">
        <f>VLOOKUP($A119,'Data shares'!$C:$FB,66)</f>
        <v>17344000</v>
      </c>
      <c r="E119" s="49">
        <f>VLOOKUP($A119,'Data shares'!$C:$FB,67)</f>
        <v>16645200</v>
      </c>
      <c r="F119" s="50">
        <f>VLOOKUP($A119,'Data shares'!$C:$FB,69)*100</f>
        <v>4.2</v>
      </c>
      <c r="G119" s="49">
        <f>VLOOKUP($A119,'Data shares'!$C:$FB,42)</f>
        <v>5167600</v>
      </c>
      <c r="H119" s="49">
        <f>VLOOKUP($A119,'Data shares'!$C:$FB,43)</f>
        <v>4447600</v>
      </c>
      <c r="I119" s="50">
        <f>VLOOKUP($A119,'Data shares'!$C:$FB,45)*100</f>
        <v>16.189999999999998</v>
      </c>
      <c r="J119" s="49">
        <f>VLOOKUP($A119,'Data shares'!$C:$FB,58)</f>
        <v>8132400</v>
      </c>
      <c r="K119" s="49">
        <f>VLOOKUP($A119,'Data shares'!$C:$FB,59)</f>
        <v>7369600</v>
      </c>
      <c r="L119" s="50">
        <f>VLOOKUP($A119,'Data shares'!$C:$FB,61)*100</f>
        <v>10.35</v>
      </c>
      <c r="M119" s="49">
        <f>VLOOKUP($A119,'Data shares'!$C:$FB,62)</f>
        <v>4044000</v>
      </c>
      <c r="N119" s="49">
        <f>VLOOKUP($A119,'Data shares'!$C:$FB,63)</f>
        <v>4828000</v>
      </c>
      <c r="O119" s="140">
        <f>VLOOKUP($A119,'Data shares'!$C:$FB,65)*100</f>
        <v>-16.239999999999998</v>
      </c>
    </row>
    <row r="120" spans="1:15" x14ac:dyDescent="0.25">
      <c r="A120" s="101" t="str">
        <f>'Data shares'!C115</f>
        <v>KPITTECH</v>
      </c>
      <c r="B120" s="50">
        <f>VLOOKUP($A120,'Data shares'!$C:$FB,7)</f>
        <v>1160.8</v>
      </c>
      <c r="C120" s="50">
        <f>VLOOKUP($A120,'Data shares'!$C:$FB,10)*100</f>
        <v>-0.69</v>
      </c>
      <c r="D120" s="49">
        <f>VLOOKUP($A120,'Data shares'!$C:$FB,66)</f>
        <v>3902800</v>
      </c>
      <c r="E120" s="49">
        <f>VLOOKUP($A120,'Data shares'!$C:$FB,67)</f>
        <v>2969200</v>
      </c>
      <c r="F120" s="50">
        <f>VLOOKUP($A120,'Data shares'!$C:$FB,69)*100</f>
        <v>31.44</v>
      </c>
      <c r="G120" s="49">
        <f>VLOOKUP($A120,'Data shares'!$C:$FB,42)</f>
        <v>570000</v>
      </c>
      <c r="H120" s="49">
        <f>VLOOKUP($A120,'Data shares'!$C:$FB,43)</f>
        <v>498000</v>
      </c>
      <c r="I120" s="50">
        <f>VLOOKUP($A120,'Data shares'!$C:$FB,45)*100</f>
        <v>14.46</v>
      </c>
      <c r="J120" s="49">
        <f>VLOOKUP($A120,'Data shares'!$C:$FB,58)</f>
        <v>2499200</v>
      </c>
      <c r="K120" s="49">
        <f>VLOOKUP($A120,'Data shares'!$C:$FB,59)</f>
        <v>1492000</v>
      </c>
      <c r="L120" s="50">
        <f>VLOOKUP($A120,'Data shares'!$C:$FB,61)*100</f>
        <v>67.510000000000005</v>
      </c>
      <c r="M120" s="49">
        <f>VLOOKUP($A120,'Data shares'!$C:$FB,62)</f>
        <v>833600</v>
      </c>
      <c r="N120" s="49">
        <f>VLOOKUP($A120,'Data shares'!$C:$FB,63)</f>
        <v>979200</v>
      </c>
      <c r="O120" s="140">
        <f>VLOOKUP($A120,'Data shares'!$C:$FB,65)*100</f>
        <v>-14.87</v>
      </c>
    </row>
    <row r="121" spans="1:15" x14ac:dyDescent="0.25">
      <c r="A121" s="101" t="str">
        <f>'Data shares'!C116</f>
        <v>LAURUSLABS</v>
      </c>
      <c r="B121" s="50">
        <f>VLOOKUP($A121,'Data shares'!$C:$FB,7)</f>
        <v>1015.5</v>
      </c>
      <c r="C121" s="50">
        <f>VLOOKUP($A121,'Data shares'!$C:$FB,10)*100</f>
        <v>0.54</v>
      </c>
      <c r="D121" s="49">
        <f>VLOOKUP($A121,'Data shares'!$C:$FB,66)</f>
        <v>15785350</v>
      </c>
      <c r="E121" s="49">
        <f>VLOOKUP($A121,'Data shares'!$C:$FB,67)</f>
        <v>13636550</v>
      </c>
      <c r="F121" s="50">
        <f>VLOOKUP($A121,'Data shares'!$C:$FB,69)*100</f>
        <v>15.76</v>
      </c>
      <c r="G121" s="49">
        <f>VLOOKUP($A121,'Data shares'!$C:$FB,42)</f>
        <v>3027700</v>
      </c>
      <c r="H121" s="49">
        <f>VLOOKUP($A121,'Data shares'!$C:$FB,43)</f>
        <v>2533850</v>
      </c>
      <c r="I121" s="50">
        <f>VLOOKUP($A121,'Data shares'!$C:$FB,45)*100</f>
        <v>19.489999999999998</v>
      </c>
      <c r="J121" s="49">
        <f>VLOOKUP($A121,'Data shares'!$C:$FB,58)</f>
        <v>8688700</v>
      </c>
      <c r="K121" s="49">
        <f>VLOOKUP($A121,'Data shares'!$C:$FB,59)</f>
        <v>8028250</v>
      </c>
      <c r="L121" s="50">
        <f>VLOOKUP($A121,'Data shares'!$C:$FB,61)*100</f>
        <v>8.23</v>
      </c>
      <c r="M121" s="49">
        <f>VLOOKUP($A121,'Data shares'!$C:$FB,62)</f>
        <v>4068950</v>
      </c>
      <c r="N121" s="49">
        <f>VLOOKUP($A121,'Data shares'!$C:$FB,63)</f>
        <v>3074450</v>
      </c>
      <c r="O121" s="140">
        <f>VLOOKUP($A121,'Data shares'!$C:$FB,65)*100</f>
        <v>32.35</v>
      </c>
    </row>
    <row r="122" spans="1:15" x14ac:dyDescent="0.25">
      <c r="A122" s="101" t="str">
        <f>'Data shares'!C117</f>
        <v>LICHSGFIN</v>
      </c>
      <c r="B122" s="50">
        <f>VLOOKUP($A122,'Data shares'!$C:$FB,7)</f>
        <v>528.1</v>
      </c>
      <c r="C122" s="50">
        <f>VLOOKUP($A122,'Data shares'!$C:$FB,10)*100</f>
        <v>0.63</v>
      </c>
      <c r="D122" s="49">
        <f>VLOOKUP($A122,'Data shares'!$C:$FB,66)</f>
        <v>11140000</v>
      </c>
      <c r="E122" s="49">
        <f>VLOOKUP($A122,'Data shares'!$C:$FB,67)</f>
        <v>9153000</v>
      </c>
      <c r="F122" s="50">
        <f>VLOOKUP($A122,'Data shares'!$C:$FB,69)*100</f>
        <v>21.709999999999997</v>
      </c>
      <c r="G122" s="49">
        <f>VLOOKUP($A122,'Data shares'!$C:$FB,42)</f>
        <v>3383000</v>
      </c>
      <c r="H122" s="49">
        <f>VLOOKUP($A122,'Data shares'!$C:$FB,43)</f>
        <v>1941000</v>
      </c>
      <c r="I122" s="50">
        <f>VLOOKUP($A122,'Data shares'!$C:$FB,45)*100</f>
        <v>74.290000000000006</v>
      </c>
      <c r="J122" s="49">
        <f>VLOOKUP($A122,'Data shares'!$C:$FB,58)</f>
        <v>5776000</v>
      </c>
      <c r="K122" s="49">
        <f>VLOOKUP($A122,'Data shares'!$C:$FB,59)</f>
        <v>5456000</v>
      </c>
      <c r="L122" s="50">
        <f>VLOOKUP($A122,'Data shares'!$C:$FB,61)*100</f>
        <v>5.87</v>
      </c>
      <c r="M122" s="49">
        <f>VLOOKUP($A122,'Data shares'!$C:$FB,62)</f>
        <v>1981000</v>
      </c>
      <c r="N122" s="49">
        <f>VLOOKUP($A122,'Data shares'!$C:$FB,63)</f>
        <v>1756000</v>
      </c>
      <c r="O122" s="140">
        <f>VLOOKUP($A122,'Data shares'!$C:$FB,65)*100</f>
        <v>12.809999999999999</v>
      </c>
    </row>
    <row r="123" spans="1:15" x14ac:dyDescent="0.25">
      <c r="A123" s="101" t="str">
        <f>'Data shares'!C118</f>
        <v>LICI</v>
      </c>
      <c r="B123" s="50">
        <f>VLOOKUP($A123,'Data shares'!$C:$FB,7)</f>
        <v>847.4</v>
      </c>
      <c r="C123" s="50">
        <f>VLOOKUP($A123,'Data shares'!$C:$FB,10)*100</f>
        <v>0.33999999999999997</v>
      </c>
      <c r="D123" s="49">
        <f>VLOOKUP($A123,'Data shares'!$C:$FB,66)</f>
        <v>18094300</v>
      </c>
      <c r="E123" s="49">
        <f>VLOOKUP($A123,'Data shares'!$C:$FB,67)</f>
        <v>8952300</v>
      </c>
      <c r="F123" s="50">
        <f>VLOOKUP($A123,'Data shares'!$C:$FB,69)*100</f>
        <v>102.12</v>
      </c>
      <c r="G123" s="49">
        <f>VLOOKUP($A123,'Data shares'!$C:$FB,42)</f>
        <v>5905900</v>
      </c>
      <c r="H123" s="49">
        <f>VLOOKUP($A123,'Data shares'!$C:$FB,43)</f>
        <v>1478400</v>
      </c>
      <c r="I123" s="50">
        <f>VLOOKUP($A123,'Data shares'!$C:$FB,45)*100</f>
        <v>299.48</v>
      </c>
      <c r="J123" s="49">
        <f>VLOOKUP($A123,'Data shares'!$C:$FB,58)</f>
        <v>7809200</v>
      </c>
      <c r="K123" s="49">
        <f>VLOOKUP($A123,'Data shares'!$C:$FB,59)</f>
        <v>5096000</v>
      </c>
      <c r="L123" s="50">
        <f>VLOOKUP($A123,'Data shares'!$C:$FB,61)*100</f>
        <v>53.239999999999995</v>
      </c>
      <c r="M123" s="49">
        <f>VLOOKUP($A123,'Data shares'!$C:$FB,62)</f>
        <v>4379200</v>
      </c>
      <c r="N123" s="49">
        <f>VLOOKUP($A123,'Data shares'!$C:$FB,63)</f>
        <v>2377900</v>
      </c>
      <c r="O123" s="140">
        <f>VLOOKUP($A123,'Data shares'!$C:$FB,65)*100</f>
        <v>84.16</v>
      </c>
    </row>
    <row r="124" spans="1:15" x14ac:dyDescent="0.25">
      <c r="A124" s="101" t="str">
        <f>'Data shares'!C119</f>
        <v>LODHA</v>
      </c>
      <c r="B124" s="50">
        <f>VLOOKUP($A124,'Data shares'!$C:$FB,7)</f>
        <v>1069.0999999999999</v>
      </c>
      <c r="C124" s="50">
        <f>VLOOKUP($A124,'Data shares'!$C:$FB,10)*100</f>
        <v>0.5</v>
      </c>
      <c r="D124" s="49">
        <f>VLOOKUP($A124,'Data shares'!$C:$FB,66)</f>
        <v>7312500</v>
      </c>
      <c r="E124" s="49">
        <f>VLOOKUP($A124,'Data shares'!$C:$FB,67)</f>
        <v>11263050</v>
      </c>
      <c r="F124" s="50">
        <f>VLOOKUP($A124,'Data shares'!$C:$FB,69)*100</f>
        <v>-35.08</v>
      </c>
      <c r="G124" s="49">
        <f>VLOOKUP($A124,'Data shares'!$C:$FB,42)</f>
        <v>1318950</v>
      </c>
      <c r="H124" s="49">
        <f>VLOOKUP($A124,'Data shares'!$C:$FB,43)</f>
        <v>2084850</v>
      </c>
      <c r="I124" s="50">
        <f>VLOOKUP($A124,'Data shares'!$C:$FB,45)*100</f>
        <v>-36.74</v>
      </c>
      <c r="J124" s="49">
        <f>VLOOKUP($A124,'Data shares'!$C:$FB,58)</f>
        <v>4434750</v>
      </c>
      <c r="K124" s="49">
        <f>VLOOKUP($A124,'Data shares'!$C:$FB,59)</f>
        <v>6896700</v>
      </c>
      <c r="L124" s="50">
        <f>VLOOKUP($A124,'Data shares'!$C:$FB,61)*100</f>
        <v>-35.699999999999996</v>
      </c>
      <c r="M124" s="49">
        <f>VLOOKUP($A124,'Data shares'!$C:$FB,62)</f>
        <v>1558800</v>
      </c>
      <c r="N124" s="49">
        <f>VLOOKUP($A124,'Data shares'!$C:$FB,63)</f>
        <v>2281500</v>
      </c>
      <c r="O124" s="140">
        <f>VLOOKUP($A124,'Data shares'!$C:$FB,65)*100</f>
        <v>-31.680000000000003</v>
      </c>
    </row>
    <row r="125" spans="1:15" x14ac:dyDescent="0.25">
      <c r="A125" s="101" t="str">
        <f>'Data shares'!C120</f>
        <v>LT</v>
      </c>
      <c r="B125" s="50">
        <f>VLOOKUP($A125,'Data shares'!$C:$FB,7)</f>
        <v>4031.1</v>
      </c>
      <c r="C125" s="50">
        <f>VLOOKUP($A125,'Data shares'!$C:$FB,10)*100</f>
        <v>-0.77</v>
      </c>
      <c r="D125" s="49">
        <f>VLOOKUP($A125,'Data shares'!$C:$FB,66)</f>
        <v>9133600</v>
      </c>
      <c r="E125" s="49">
        <f>VLOOKUP($A125,'Data shares'!$C:$FB,67)</f>
        <v>6798400</v>
      </c>
      <c r="F125" s="50">
        <f>VLOOKUP($A125,'Data shares'!$C:$FB,69)*100</f>
        <v>34.35</v>
      </c>
      <c r="G125" s="49">
        <f>VLOOKUP($A125,'Data shares'!$C:$FB,42)</f>
        <v>2634100</v>
      </c>
      <c r="H125" s="49">
        <f>VLOOKUP($A125,'Data shares'!$C:$FB,43)</f>
        <v>1012025</v>
      </c>
      <c r="I125" s="50">
        <f>VLOOKUP($A125,'Data shares'!$C:$FB,45)*100</f>
        <v>160.28</v>
      </c>
      <c r="J125" s="49">
        <f>VLOOKUP($A125,'Data shares'!$C:$FB,58)</f>
        <v>4178650</v>
      </c>
      <c r="K125" s="49">
        <f>VLOOKUP($A125,'Data shares'!$C:$FB,59)</f>
        <v>3446800</v>
      </c>
      <c r="L125" s="50">
        <f>VLOOKUP($A125,'Data shares'!$C:$FB,61)*100</f>
        <v>21.23</v>
      </c>
      <c r="M125" s="49">
        <f>VLOOKUP($A125,'Data shares'!$C:$FB,62)</f>
        <v>2320850</v>
      </c>
      <c r="N125" s="49">
        <f>VLOOKUP($A125,'Data shares'!$C:$FB,63)</f>
        <v>2339575</v>
      </c>
      <c r="O125" s="140">
        <f>VLOOKUP($A125,'Data shares'!$C:$FB,65)*100</f>
        <v>-0.8</v>
      </c>
    </row>
    <row r="126" spans="1:15" x14ac:dyDescent="0.25">
      <c r="A126" s="101" t="str">
        <f>'Data shares'!C121</f>
        <v>LTF</v>
      </c>
      <c r="B126" s="50">
        <f>VLOOKUP($A126,'Data shares'!$C:$FB,7)</f>
        <v>299.85000000000002</v>
      </c>
      <c r="C126" s="50">
        <f>VLOOKUP($A126,'Data shares'!$C:$FB,10)*100</f>
        <v>-0.67999999999999994</v>
      </c>
      <c r="D126" s="49">
        <f>VLOOKUP($A126,'Data shares'!$C:$FB,66)</f>
        <v>75314098</v>
      </c>
      <c r="E126" s="49">
        <f>VLOOKUP($A126,'Data shares'!$C:$FB,67)</f>
        <v>65127352</v>
      </c>
      <c r="F126" s="50">
        <f>VLOOKUP($A126,'Data shares'!$C:$FB,69)*100</f>
        <v>15.64</v>
      </c>
      <c r="G126" s="49">
        <f>VLOOKUP($A126,'Data shares'!$C:$FB,42)</f>
        <v>13158438</v>
      </c>
      <c r="H126" s="49">
        <f>VLOOKUP($A126,'Data shares'!$C:$FB,43)</f>
        <v>11935850</v>
      </c>
      <c r="I126" s="50">
        <f>VLOOKUP($A126,'Data shares'!$C:$FB,45)*100</f>
        <v>10.24</v>
      </c>
      <c r="J126" s="49">
        <f>VLOOKUP($A126,'Data shares'!$C:$FB,58)</f>
        <v>38636458</v>
      </c>
      <c r="K126" s="49">
        <f>VLOOKUP($A126,'Data shares'!$C:$FB,59)</f>
        <v>36307294</v>
      </c>
      <c r="L126" s="50">
        <f>VLOOKUP($A126,'Data shares'!$C:$FB,61)*100</f>
        <v>6.419999999999999</v>
      </c>
      <c r="M126" s="49">
        <f>VLOOKUP($A126,'Data shares'!$C:$FB,62)</f>
        <v>23519202</v>
      </c>
      <c r="N126" s="49">
        <f>VLOOKUP($A126,'Data shares'!$C:$FB,63)</f>
        <v>16884208</v>
      </c>
      <c r="O126" s="140">
        <f>VLOOKUP($A126,'Data shares'!$C:$FB,65)*100</f>
        <v>39.300000000000004</v>
      </c>
    </row>
    <row r="127" spans="1:15" x14ac:dyDescent="0.25">
      <c r="A127" s="101" t="str">
        <f>'Data shares'!C122</f>
        <v>LTIM</v>
      </c>
      <c r="B127" s="50">
        <f>VLOOKUP($A127,'Data shares'!$C:$FB,7)</f>
        <v>6245</v>
      </c>
      <c r="C127" s="50">
        <f>VLOOKUP($A127,'Data shares'!$C:$FB,10)*100</f>
        <v>-0.12</v>
      </c>
      <c r="D127" s="49">
        <f>VLOOKUP($A127,'Data shares'!$C:$FB,66)</f>
        <v>3282150</v>
      </c>
      <c r="E127" s="49">
        <f>VLOOKUP($A127,'Data shares'!$C:$FB,67)</f>
        <v>2610600</v>
      </c>
      <c r="F127" s="50">
        <f>VLOOKUP($A127,'Data shares'!$C:$FB,69)*100</f>
        <v>25.72</v>
      </c>
      <c r="G127" s="49">
        <f>VLOOKUP($A127,'Data shares'!$C:$FB,42)</f>
        <v>523500</v>
      </c>
      <c r="H127" s="49">
        <f>VLOOKUP($A127,'Data shares'!$C:$FB,43)</f>
        <v>409350</v>
      </c>
      <c r="I127" s="50">
        <f>VLOOKUP($A127,'Data shares'!$C:$FB,45)*100</f>
        <v>27.889999999999997</v>
      </c>
      <c r="J127" s="49">
        <f>VLOOKUP($A127,'Data shares'!$C:$FB,58)</f>
        <v>2148450</v>
      </c>
      <c r="K127" s="49">
        <f>VLOOKUP($A127,'Data shares'!$C:$FB,59)</f>
        <v>1677000</v>
      </c>
      <c r="L127" s="50">
        <f>VLOOKUP($A127,'Data shares'!$C:$FB,61)*100</f>
        <v>28.110000000000003</v>
      </c>
      <c r="M127" s="49">
        <f>VLOOKUP($A127,'Data shares'!$C:$FB,62)</f>
        <v>610200</v>
      </c>
      <c r="N127" s="49">
        <f>VLOOKUP($A127,'Data shares'!$C:$FB,63)</f>
        <v>524250</v>
      </c>
      <c r="O127" s="140">
        <f>VLOOKUP($A127,'Data shares'!$C:$FB,65)*100</f>
        <v>16.39</v>
      </c>
    </row>
    <row r="128" spans="1:15" x14ac:dyDescent="0.25">
      <c r="A128" s="101" t="str">
        <f>'Data shares'!C123</f>
        <v>LUPIN</v>
      </c>
      <c r="B128" s="50">
        <f>VLOOKUP($A128,'Data shares'!$C:$FB,7)</f>
        <v>2119.1</v>
      </c>
      <c r="C128" s="50">
        <f>VLOOKUP($A128,'Data shares'!$C:$FB,10)*100</f>
        <v>0.27999999999999997</v>
      </c>
      <c r="D128" s="49">
        <f>VLOOKUP($A128,'Data shares'!$C:$FB,66)</f>
        <v>6707350</v>
      </c>
      <c r="E128" s="49">
        <f>VLOOKUP($A128,'Data shares'!$C:$FB,67)</f>
        <v>9213575</v>
      </c>
      <c r="F128" s="50">
        <f>VLOOKUP($A128,'Data shares'!$C:$FB,69)*100</f>
        <v>-27.200000000000003</v>
      </c>
      <c r="G128" s="49">
        <f>VLOOKUP($A128,'Data shares'!$C:$FB,42)</f>
        <v>1125400</v>
      </c>
      <c r="H128" s="49">
        <f>VLOOKUP($A128,'Data shares'!$C:$FB,43)</f>
        <v>1348525</v>
      </c>
      <c r="I128" s="50">
        <f>VLOOKUP($A128,'Data shares'!$C:$FB,45)*100</f>
        <v>-16.55</v>
      </c>
      <c r="J128" s="49">
        <f>VLOOKUP($A128,'Data shares'!$C:$FB,58)</f>
        <v>3970350</v>
      </c>
      <c r="K128" s="49">
        <f>VLOOKUP($A128,'Data shares'!$C:$FB,59)</f>
        <v>6031175</v>
      </c>
      <c r="L128" s="50">
        <f>VLOOKUP($A128,'Data shares'!$C:$FB,61)*100</f>
        <v>-34.17</v>
      </c>
      <c r="M128" s="49">
        <f>VLOOKUP($A128,'Data shares'!$C:$FB,62)</f>
        <v>1611600</v>
      </c>
      <c r="N128" s="49">
        <f>VLOOKUP($A128,'Data shares'!$C:$FB,63)</f>
        <v>1833875</v>
      </c>
      <c r="O128" s="140">
        <f>VLOOKUP($A128,'Data shares'!$C:$FB,65)*100</f>
        <v>-12.120000000000001</v>
      </c>
    </row>
    <row r="129" spans="1:15" x14ac:dyDescent="0.25">
      <c r="A129" s="101" t="str">
        <f>'Data shares'!C124</f>
        <v>M&amp;M</v>
      </c>
      <c r="B129" s="50">
        <f>VLOOKUP($A129,'Data shares'!$C:$FB,7)</f>
        <v>3586.6</v>
      </c>
      <c r="C129" s="50">
        <f>VLOOKUP($A129,'Data shares'!$C:$FB,10)*100</f>
        <v>-0.73</v>
      </c>
      <c r="D129" s="49">
        <f>VLOOKUP($A129,'Data shares'!$C:$FB,66)</f>
        <v>18092600</v>
      </c>
      <c r="E129" s="49">
        <f>VLOOKUP($A129,'Data shares'!$C:$FB,67)</f>
        <v>8533200</v>
      </c>
      <c r="F129" s="50">
        <f>VLOOKUP($A129,'Data shares'!$C:$FB,69)*100</f>
        <v>112.03</v>
      </c>
      <c r="G129" s="49">
        <f>VLOOKUP($A129,'Data shares'!$C:$FB,42)</f>
        <v>3614000</v>
      </c>
      <c r="H129" s="49">
        <f>VLOOKUP($A129,'Data shares'!$C:$FB,43)</f>
        <v>1500000</v>
      </c>
      <c r="I129" s="50">
        <f>VLOOKUP($A129,'Data shares'!$C:$FB,45)*100</f>
        <v>140.93</v>
      </c>
      <c r="J129" s="49">
        <f>VLOOKUP($A129,'Data shares'!$C:$FB,58)</f>
        <v>8533000</v>
      </c>
      <c r="K129" s="49">
        <f>VLOOKUP($A129,'Data shares'!$C:$FB,59)</f>
        <v>4651800</v>
      </c>
      <c r="L129" s="50">
        <f>VLOOKUP($A129,'Data shares'!$C:$FB,61)*100</f>
        <v>83.43</v>
      </c>
      <c r="M129" s="49">
        <f>VLOOKUP($A129,'Data shares'!$C:$FB,62)</f>
        <v>5945600</v>
      </c>
      <c r="N129" s="49">
        <f>VLOOKUP($A129,'Data shares'!$C:$FB,63)</f>
        <v>2381400</v>
      </c>
      <c r="O129" s="140">
        <f>VLOOKUP($A129,'Data shares'!$C:$FB,65)*100</f>
        <v>149.66999999999999</v>
      </c>
    </row>
    <row r="130" spans="1:15" x14ac:dyDescent="0.25">
      <c r="A130" s="101" t="str">
        <f>'Data shares'!C125</f>
        <v>MANAPPURAM</v>
      </c>
      <c r="B130" s="50">
        <f>VLOOKUP($A130,'Data shares'!$C:$FB,7)</f>
        <v>287.05</v>
      </c>
      <c r="C130" s="50">
        <f>VLOOKUP($A130,'Data shares'!$C:$FB,10)*100</f>
        <v>0.27999999999999997</v>
      </c>
      <c r="D130" s="49">
        <f>VLOOKUP($A130,'Data shares'!$C:$FB,66)</f>
        <v>63138000</v>
      </c>
      <c r="E130" s="49">
        <f>VLOOKUP($A130,'Data shares'!$C:$FB,67)</f>
        <v>26625000</v>
      </c>
      <c r="F130" s="50">
        <f>VLOOKUP($A130,'Data shares'!$C:$FB,69)*100</f>
        <v>137.13999999999999</v>
      </c>
      <c r="G130" s="49">
        <f>VLOOKUP($A130,'Data shares'!$C:$FB,42)</f>
        <v>11160000</v>
      </c>
      <c r="H130" s="49">
        <f>VLOOKUP($A130,'Data shares'!$C:$FB,43)</f>
        <v>7677000</v>
      </c>
      <c r="I130" s="50">
        <f>VLOOKUP($A130,'Data shares'!$C:$FB,45)*100</f>
        <v>45.37</v>
      </c>
      <c r="J130" s="49">
        <f>VLOOKUP($A130,'Data shares'!$C:$FB,58)</f>
        <v>38595000</v>
      </c>
      <c r="K130" s="49">
        <f>VLOOKUP($A130,'Data shares'!$C:$FB,59)</f>
        <v>13557000</v>
      </c>
      <c r="L130" s="50">
        <f>VLOOKUP($A130,'Data shares'!$C:$FB,61)*100</f>
        <v>184.69</v>
      </c>
      <c r="M130" s="49">
        <f>VLOOKUP($A130,'Data shares'!$C:$FB,62)</f>
        <v>13383000</v>
      </c>
      <c r="N130" s="49">
        <f>VLOOKUP($A130,'Data shares'!$C:$FB,63)</f>
        <v>5391000</v>
      </c>
      <c r="O130" s="140">
        <f>VLOOKUP($A130,'Data shares'!$C:$FB,65)*100</f>
        <v>148.25</v>
      </c>
    </row>
    <row r="131" spans="1:15" x14ac:dyDescent="0.25">
      <c r="A131" s="101" t="str">
        <f>'Data shares'!C126</f>
        <v>MANKIND</v>
      </c>
      <c r="B131" s="50">
        <f>VLOOKUP($A131,'Data shares'!$C:$FB,7)</f>
        <v>2142</v>
      </c>
      <c r="C131" s="50">
        <f>VLOOKUP($A131,'Data shares'!$C:$FB,10)*100</f>
        <v>1.46</v>
      </c>
      <c r="D131" s="49">
        <f>VLOOKUP($A131,'Data shares'!$C:$FB,66)</f>
        <v>2174625</v>
      </c>
      <c r="E131" s="49">
        <f>VLOOKUP($A131,'Data shares'!$C:$FB,67)</f>
        <v>1764450</v>
      </c>
      <c r="F131" s="50">
        <f>VLOOKUP($A131,'Data shares'!$C:$FB,69)*100</f>
        <v>23.25</v>
      </c>
      <c r="G131" s="49">
        <f>VLOOKUP($A131,'Data shares'!$C:$FB,42)</f>
        <v>423450</v>
      </c>
      <c r="H131" s="49">
        <f>VLOOKUP($A131,'Data shares'!$C:$FB,43)</f>
        <v>281475</v>
      </c>
      <c r="I131" s="50">
        <f>VLOOKUP($A131,'Data shares'!$C:$FB,45)*100</f>
        <v>50.44</v>
      </c>
      <c r="J131" s="49">
        <f>VLOOKUP($A131,'Data shares'!$C:$FB,58)</f>
        <v>1305675</v>
      </c>
      <c r="K131" s="49">
        <f>VLOOKUP($A131,'Data shares'!$C:$FB,59)</f>
        <v>1000125</v>
      </c>
      <c r="L131" s="50">
        <f>VLOOKUP($A131,'Data shares'!$C:$FB,61)*100</f>
        <v>30.55</v>
      </c>
      <c r="M131" s="49">
        <f>VLOOKUP($A131,'Data shares'!$C:$FB,62)</f>
        <v>445500</v>
      </c>
      <c r="N131" s="49">
        <f>VLOOKUP($A131,'Data shares'!$C:$FB,63)</f>
        <v>482850</v>
      </c>
      <c r="O131" s="140">
        <f>VLOOKUP($A131,'Data shares'!$C:$FB,65)*100</f>
        <v>-7.7399999999999993</v>
      </c>
    </row>
    <row r="132" spans="1:15" x14ac:dyDescent="0.25">
      <c r="A132" s="101" t="str">
        <f>'Data shares'!C127</f>
        <v>MARICO</v>
      </c>
      <c r="B132" s="50">
        <f>VLOOKUP($A132,'Data shares'!$C:$FB,7)</f>
        <v>742.45</v>
      </c>
      <c r="C132" s="50">
        <f>VLOOKUP($A132,'Data shares'!$C:$FB,10)*100</f>
        <v>0.57999999999999996</v>
      </c>
      <c r="D132" s="49">
        <f>VLOOKUP($A132,'Data shares'!$C:$FB,66)</f>
        <v>8433600</v>
      </c>
      <c r="E132" s="49">
        <f>VLOOKUP($A132,'Data shares'!$C:$FB,67)</f>
        <v>7419600</v>
      </c>
      <c r="F132" s="50">
        <f>VLOOKUP($A132,'Data shares'!$C:$FB,69)*100</f>
        <v>13.669999999999998</v>
      </c>
      <c r="G132" s="49">
        <f>VLOOKUP($A132,'Data shares'!$C:$FB,42)</f>
        <v>1797600</v>
      </c>
      <c r="H132" s="49">
        <f>VLOOKUP($A132,'Data shares'!$C:$FB,43)</f>
        <v>1098000</v>
      </c>
      <c r="I132" s="50">
        <f>VLOOKUP($A132,'Data shares'!$C:$FB,45)*100</f>
        <v>63.72</v>
      </c>
      <c r="J132" s="49">
        <f>VLOOKUP($A132,'Data shares'!$C:$FB,58)</f>
        <v>4720800</v>
      </c>
      <c r="K132" s="49">
        <f>VLOOKUP($A132,'Data shares'!$C:$FB,59)</f>
        <v>4837200</v>
      </c>
      <c r="L132" s="50">
        <f>VLOOKUP($A132,'Data shares'!$C:$FB,61)*100</f>
        <v>-2.41</v>
      </c>
      <c r="M132" s="49">
        <f>VLOOKUP($A132,'Data shares'!$C:$FB,62)</f>
        <v>1915200</v>
      </c>
      <c r="N132" s="49">
        <f>VLOOKUP($A132,'Data shares'!$C:$FB,63)</f>
        <v>1484400</v>
      </c>
      <c r="O132" s="140">
        <f>VLOOKUP($A132,'Data shares'!$C:$FB,65)*100</f>
        <v>29.020000000000003</v>
      </c>
    </row>
    <row r="133" spans="1:15" x14ac:dyDescent="0.25">
      <c r="A133" s="101" t="str">
        <f>'Data shares'!C128</f>
        <v>MARUTI</v>
      </c>
      <c r="B133" s="50">
        <f>VLOOKUP($A133,'Data shares'!$C:$FB,7)</f>
        <v>16329</v>
      </c>
      <c r="C133" s="50">
        <f>VLOOKUP($A133,'Data shares'!$C:$FB,10)*100</f>
        <v>-0.42</v>
      </c>
      <c r="D133" s="49">
        <f>VLOOKUP($A133,'Data shares'!$C:$FB,66)</f>
        <v>5651100</v>
      </c>
      <c r="E133" s="49">
        <f>VLOOKUP($A133,'Data shares'!$C:$FB,67)</f>
        <v>3743800</v>
      </c>
      <c r="F133" s="50">
        <f>VLOOKUP($A133,'Data shares'!$C:$FB,69)*100</f>
        <v>50.949999999999996</v>
      </c>
      <c r="G133" s="49">
        <f>VLOOKUP($A133,'Data shares'!$C:$FB,42)</f>
        <v>393050</v>
      </c>
      <c r="H133" s="49">
        <f>VLOOKUP($A133,'Data shares'!$C:$FB,43)</f>
        <v>261150</v>
      </c>
      <c r="I133" s="50">
        <f>VLOOKUP($A133,'Data shares'!$C:$FB,45)*100</f>
        <v>50.51</v>
      </c>
      <c r="J133" s="49">
        <f>VLOOKUP($A133,'Data shares'!$C:$FB,58)</f>
        <v>2508450</v>
      </c>
      <c r="K133" s="49">
        <f>VLOOKUP($A133,'Data shares'!$C:$FB,59)</f>
        <v>1964900</v>
      </c>
      <c r="L133" s="50">
        <f>VLOOKUP($A133,'Data shares'!$C:$FB,61)*100</f>
        <v>27.66</v>
      </c>
      <c r="M133" s="49">
        <f>VLOOKUP($A133,'Data shares'!$C:$FB,62)</f>
        <v>2749600</v>
      </c>
      <c r="N133" s="49">
        <f>VLOOKUP($A133,'Data shares'!$C:$FB,63)</f>
        <v>1517750</v>
      </c>
      <c r="O133" s="140">
        <f>VLOOKUP($A133,'Data shares'!$C:$FB,65)*100</f>
        <v>81.16</v>
      </c>
    </row>
    <row r="134" spans="1:15" x14ac:dyDescent="0.25">
      <c r="A134" s="101" t="str">
        <f>'Data shares'!C129</f>
        <v>MAXHEALTH</v>
      </c>
      <c r="B134" s="50">
        <f>VLOOKUP($A134,'Data shares'!$C:$FB,7)</f>
        <v>1048.5</v>
      </c>
      <c r="C134" s="50">
        <f>VLOOKUP($A134,'Data shares'!$C:$FB,10)*100</f>
        <v>1.69</v>
      </c>
      <c r="D134" s="49">
        <f>VLOOKUP($A134,'Data shares'!$C:$FB,66)</f>
        <v>24296475</v>
      </c>
      <c r="E134" s="49">
        <f>VLOOKUP($A134,'Data shares'!$C:$FB,67)</f>
        <v>37061325</v>
      </c>
      <c r="F134" s="50">
        <f>VLOOKUP($A134,'Data shares'!$C:$FB,69)*100</f>
        <v>-34.44</v>
      </c>
      <c r="G134" s="49">
        <f>VLOOKUP($A134,'Data shares'!$C:$FB,42)</f>
        <v>4613175</v>
      </c>
      <c r="H134" s="49">
        <f>VLOOKUP($A134,'Data shares'!$C:$FB,43)</f>
        <v>3700200</v>
      </c>
      <c r="I134" s="50">
        <f>VLOOKUP($A134,'Data shares'!$C:$FB,45)*100</f>
        <v>24.67</v>
      </c>
      <c r="J134" s="49">
        <f>VLOOKUP($A134,'Data shares'!$C:$FB,58)</f>
        <v>14187600</v>
      </c>
      <c r="K134" s="49">
        <f>VLOOKUP($A134,'Data shares'!$C:$FB,59)</f>
        <v>14431200</v>
      </c>
      <c r="L134" s="50">
        <f>VLOOKUP($A134,'Data shares'!$C:$FB,61)*100</f>
        <v>-1.69</v>
      </c>
      <c r="M134" s="49">
        <f>VLOOKUP($A134,'Data shares'!$C:$FB,62)</f>
        <v>5495700</v>
      </c>
      <c r="N134" s="49">
        <f>VLOOKUP($A134,'Data shares'!$C:$FB,63)</f>
        <v>18929925</v>
      </c>
      <c r="O134" s="140">
        <f>VLOOKUP($A134,'Data shares'!$C:$FB,65)*100</f>
        <v>-70.97</v>
      </c>
    </row>
    <row r="135" spans="1:15" x14ac:dyDescent="0.25">
      <c r="A135" s="101" t="str">
        <f>'Data shares'!C130</f>
        <v>MAZDOCK</v>
      </c>
      <c r="B135" s="50">
        <f>VLOOKUP($A135,'Data shares'!$C:$FB,7)</f>
        <v>2358</v>
      </c>
      <c r="C135" s="50">
        <f>VLOOKUP($A135,'Data shares'!$C:$FB,10)*100</f>
        <v>0.06</v>
      </c>
      <c r="D135" s="49">
        <f>VLOOKUP($A135,'Data shares'!$C:$FB,66)</f>
        <v>5486425</v>
      </c>
      <c r="E135" s="49">
        <f>VLOOKUP($A135,'Data shares'!$C:$FB,67)</f>
        <v>6462575</v>
      </c>
      <c r="F135" s="50">
        <f>VLOOKUP($A135,'Data shares'!$C:$FB,69)*100</f>
        <v>-15.1</v>
      </c>
      <c r="G135" s="49">
        <f>VLOOKUP($A135,'Data shares'!$C:$FB,42)</f>
        <v>641725</v>
      </c>
      <c r="H135" s="49">
        <f>VLOOKUP($A135,'Data shares'!$C:$FB,43)</f>
        <v>746725</v>
      </c>
      <c r="I135" s="50">
        <f>VLOOKUP($A135,'Data shares'!$C:$FB,45)*100</f>
        <v>-14.06</v>
      </c>
      <c r="J135" s="49">
        <f>VLOOKUP($A135,'Data shares'!$C:$FB,58)</f>
        <v>3295950</v>
      </c>
      <c r="K135" s="49">
        <f>VLOOKUP($A135,'Data shares'!$C:$FB,59)</f>
        <v>3565800</v>
      </c>
      <c r="L135" s="50">
        <f>VLOOKUP($A135,'Data shares'!$C:$FB,61)*100</f>
        <v>-7.57</v>
      </c>
      <c r="M135" s="49">
        <f>VLOOKUP($A135,'Data shares'!$C:$FB,62)</f>
        <v>1548750</v>
      </c>
      <c r="N135" s="49">
        <f>VLOOKUP($A135,'Data shares'!$C:$FB,63)</f>
        <v>2150050</v>
      </c>
      <c r="O135" s="140">
        <f>VLOOKUP($A135,'Data shares'!$C:$FB,65)*100</f>
        <v>-27.97</v>
      </c>
    </row>
    <row r="136" spans="1:15" x14ac:dyDescent="0.25">
      <c r="A136" s="101" t="str">
        <f>'Data shares'!C131</f>
        <v>MCX</v>
      </c>
      <c r="B136" s="50">
        <f>VLOOKUP($A136,'Data shares'!$C:$FB,7)</f>
        <v>10172</v>
      </c>
      <c r="C136" s="50">
        <f>VLOOKUP($A136,'Data shares'!$C:$FB,10)*100</f>
        <v>1.47</v>
      </c>
      <c r="D136" s="49">
        <f>VLOOKUP($A136,'Data shares'!$C:$FB,66)</f>
        <v>10834875</v>
      </c>
      <c r="E136" s="49">
        <f>VLOOKUP($A136,'Data shares'!$C:$FB,67)</f>
        <v>6345000</v>
      </c>
      <c r="F136" s="50">
        <f>VLOOKUP($A136,'Data shares'!$C:$FB,69)*100</f>
        <v>70.760000000000005</v>
      </c>
      <c r="G136" s="49">
        <f>VLOOKUP($A136,'Data shares'!$C:$FB,42)</f>
        <v>939125</v>
      </c>
      <c r="H136" s="49">
        <f>VLOOKUP($A136,'Data shares'!$C:$FB,43)</f>
        <v>562000</v>
      </c>
      <c r="I136" s="50">
        <f>VLOOKUP($A136,'Data shares'!$C:$FB,45)*100</f>
        <v>67.100000000000009</v>
      </c>
      <c r="J136" s="49">
        <f>VLOOKUP($A136,'Data shares'!$C:$FB,58)</f>
        <v>5942875</v>
      </c>
      <c r="K136" s="49">
        <f>VLOOKUP($A136,'Data shares'!$C:$FB,59)</f>
        <v>3499750</v>
      </c>
      <c r="L136" s="50">
        <f>VLOOKUP($A136,'Data shares'!$C:$FB,61)*100</f>
        <v>69.81</v>
      </c>
      <c r="M136" s="49">
        <f>VLOOKUP($A136,'Data shares'!$C:$FB,62)</f>
        <v>3952875</v>
      </c>
      <c r="N136" s="49">
        <f>VLOOKUP($A136,'Data shares'!$C:$FB,63)</f>
        <v>2283250</v>
      </c>
      <c r="O136" s="140">
        <f>VLOOKUP($A136,'Data shares'!$C:$FB,65)*100</f>
        <v>73.11999999999999</v>
      </c>
    </row>
    <row r="137" spans="1:15" x14ac:dyDescent="0.25">
      <c r="A137" s="101" t="str">
        <f>'Data shares'!C132</f>
        <v>MFSL</v>
      </c>
      <c r="B137" s="50">
        <f>VLOOKUP($A137,'Data shares'!$C:$FB,7)</f>
        <v>1686.6</v>
      </c>
      <c r="C137" s="50">
        <f>VLOOKUP($A137,'Data shares'!$C:$FB,10)*100</f>
        <v>1.3599999999999999</v>
      </c>
      <c r="D137" s="49">
        <f>VLOOKUP($A137,'Data shares'!$C:$FB,66)</f>
        <v>2933600</v>
      </c>
      <c r="E137" s="49">
        <f>VLOOKUP($A137,'Data shares'!$C:$FB,67)</f>
        <v>3749600</v>
      </c>
      <c r="F137" s="50">
        <f>VLOOKUP($A137,'Data shares'!$C:$FB,69)*100</f>
        <v>-21.759999999999998</v>
      </c>
      <c r="G137" s="49">
        <f>VLOOKUP($A137,'Data shares'!$C:$FB,42)</f>
        <v>642800</v>
      </c>
      <c r="H137" s="49">
        <f>VLOOKUP($A137,'Data shares'!$C:$FB,43)</f>
        <v>806400</v>
      </c>
      <c r="I137" s="50">
        <f>VLOOKUP($A137,'Data shares'!$C:$FB,45)*100</f>
        <v>-20.29</v>
      </c>
      <c r="J137" s="49">
        <f>VLOOKUP($A137,'Data shares'!$C:$FB,58)</f>
        <v>1525200</v>
      </c>
      <c r="K137" s="49">
        <f>VLOOKUP($A137,'Data shares'!$C:$FB,59)</f>
        <v>1825600</v>
      </c>
      <c r="L137" s="50">
        <f>VLOOKUP($A137,'Data shares'!$C:$FB,61)*100</f>
        <v>-16.45</v>
      </c>
      <c r="M137" s="49">
        <f>VLOOKUP($A137,'Data shares'!$C:$FB,62)</f>
        <v>765600</v>
      </c>
      <c r="N137" s="49">
        <f>VLOOKUP($A137,'Data shares'!$C:$FB,63)</f>
        <v>1117600</v>
      </c>
      <c r="O137" s="140">
        <f>VLOOKUP($A137,'Data shares'!$C:$FB,65)*100</f>
        <v>-31.5</v>
      </c>
    </row>
    <row r="138" spans="1:15" x14ac:dyDescent="0.25">
      <c r="A138" s="101" t="str">
        <f>'Data shares'!C133</f>
        <v>MIDCPNIFTY</v>
      </c>
      <c r="B138" s="50">
        <f>VLOOKUP($A138,'Data shares'!$C:$FB,7)</f>
        <v>13745.15</v>
      </c>
      <c r="C138" s="50">
        <f>VLOOKUP($A138,'Data shares'!$C:$FB,10)*100</f>
        <v>0.67999999999999994</v>
      </c>
      <c r="D138" s="49">
        <f>VLOOKUP($A138,'Data shares'!$C:$FB,66)</f>
        <v>53968460</v>
      </c>
      <c r="E138" s="49">
        <f>VLOOKUP($A138,'Data shares'!$C:$FB,67)</f>
        <v>43679300</v>
      </c>
      <c r="F138" s="50">
        <f>VLOOKUP($A138,'Data shares'!$C:$FB,69)*100</f>
        <v>23.56</v>
      </c>
      <c r="G138" s="49">
        <f>VLOOKUP($A138,'Data shares'!$C:$FB,42)</f>
        <v>727720</v>
      </c>
      <c r="H138" s="49">
        <f>VLOOKUP($A138,'Data shares'!$C:$FB,43)</f>
        <v>428540</v>
      </c>
      <c r="I138" s="50">
        <f>VLOOKUP($A138,'Data shares'!$C:$FB,45)*100</f>
        <v>69.81</v>
      </c>
      <c r="J138" s="49">
        <f>VLOOKUP($A138,'Data shares'!$C:$FB,58)</f>
        <v>28035980</v>
      </c>
      <c r="K138" s="49">
        <f>VLOOKUP($A138,'Data shares'!$C:$FB,59)</f>
        <v>24776360</v>
      </c>
      <c r="L138" s="50">
        <f>VLOOKUP($A138,'Data shares'!$C:$FB,61)*100</f>
        <v>13.16</v>
      </c>
      <c r="M138" s="49">
        <f>VLOOKUP($A138,'Data shares'!$C:$FB,62)</f>
        <v>25204760</v>
      </c>
      <c r="N138" s="49">
        <f>VLOOKUP($A138,'Data shares'!$C:$FB,63)</f>
        <v>18474400</v>
      </c>
      <c r="O138" s="140">
        <f>VLOOKUP($A138,'Data shares'!$C:$FB,65)*100</f>
        <v>36.43</v>
      </c>
    </row>
    <row r="139" spans="1:15" x14ac:dyDescent="0.25">
      <c r="A139" s="101" t="str">
        <f>'Data shares'!C134</f>
        <v>MOTHERSON</v>
      </c>
      <c r="B139" s="50">
        <f>VLOOKUP($A139,'Data shares'!$C:$FB,7)</f>
        <v>117.15</v>
      </c>
      <c r="C139" s="50">
        <f>VLOOKUP($A139,'Data shares'!$C:$FB,10)*100</f>
        <v>-2.02</v>
      </c>
      <c r="D139" s="49">
        <f>VLOOKUP($A139,'Data shares'!$C:$FB,66)</f>
        <v>155238300</v>
      </c>
      <c r="E139" s="49">
        <f>VLOOKUP($A139,'Data shares'!$C:$FB,67)</f>
        <v>71260050</v>
      </c>
      <c r="F139" s="50">
        <f>VLOOKUP($A139,'Data shares'!$C:$FB,69)*100</f>
        <v>117.85000000000001</v>
      </c>
      <c r="G139" s="49">
        <f>VLOOKUP($A139,'Data shares'!$C:$FB,42)</f>
        <v>29138700</v>
      </c>
      <c r="H139" s="49">
        <f>VLOOKUP($A139,'Data shares'!$C:$FB,43)</f>
        <v>15233550</v>
      </c>
      <c r="I139" s="50">
        <f>VLOOKUP($A139,'Data shares'!$C:$FB,45)*100</f>
        <v>91.28</v>
      </c>
      <c r="J139" s="49">
        <f>VLOOKUP($A139,'Data shares'!$C:$FB,58)</f>
        <v>69667200</v>
      </c>
      <c r="K139" s="49">
        <f>VLOOKUP($A139,'Data shares'!$C:$FB,59)</f>
        <v>38259150</v>
      </c>
      <c r="L139" s="50">
        <f>VLOOKUP($A139,'Data shares'!$C:$FB,61)*100</f>
        <v>82.09</v>
      </c>
      <c r="M139" s="49">
        <f>VLOOKUP($A139,'Data shares'!$C:$FB,62)</f>
        <v>56432400</v>
      </c>
      <c r="N139" s="49">
        <f>VLOOKUP($A139,'Data shares'!$C:$FB,63)</f>
        <v>17767350</v>
      </c>
      <c r="O139" s="140">
        <f>VLOOKUP($A139,'Data shares'!$C:$FB,65)*100</f>
        <v>217.62</v>
      </c>
    </row>
    <row r="140" spans="1:15" x14ac:dyDescent="0.25">
      <c r="A140" s="101" t="str">
        <f>'Data shares'!C135</f>
        <v>MPHASIS</v>
      </c>
      <c r="B140" s="50">
        <f>VLOOKUP($A140,'Data shares'!$C:$FB,7)</f>
        <v>2887.9</v>
      </c>
      <c r="C140" s="50">
        <f>VLOOKUP($A140,'Data shares'!$C:$FB,10)*100</f>
        <v>0.79</v>
      </c>
      <c r="D140" s="49">
        <f>VLOOKUP($A140,'Data shares'!$C:$FB,66)</f>
        <v>5243975</v>
      </c>
      <c r="E140" s="49">
        <f>VLOOKUP($A140,'Data shares'!$C:$FB,67)</f>
        <v>2127125</v>
      </c>
      <c r="F140" s="50">
        <f>VLOOKUP($A140,'Data shares'!$C:$FB,69)*100</f>
        <v>146.53</v>
      </c>
      <c r="G140" s="49">
        <f>VLOOKUP($A140,'Data shares'!$C:$FB,42)</f>
        <v>929225</v>
      </c>
      <c r="H140" s="49">
        <f>VLOOKUP($A140,'Data shares'!$C:$FB,43)</f>
        <v>569250</v>
      </c>
      <c r="I140" s="50">
        <f>VLOOKUP($A140,'Data shares'!$C:$FB,45)*100</f>
        <v>63.239999999999995</v>
      </c>
      <c r="J140" s="49">
        <f>VLOOKUP($A140,'Data shares'!$C:$FB,58)</f>
        <v>3526600</v>
      </c>
      <c r="K140" s="49">
        <f>VLOOKUP($A140,'Data shares'!$C:$FB,59)</f>
        <v>1220450</v>
      </c>
      <c r="L140" s="50">
        <f>VLOOKUP($A140,'Data shares'!$C:$FB,61)*100</f>
        <v>188.96</v>
      </c>
      <c r="M140" s="49">
        <f>VLOOKUP($A140,'Data shares'!$C:$FB,62)</f>
        <v>788150</v>
      </c>
      <c r="N140" s="49">
        <f>VLOOKUP($A140,'Data shares'!$C:$FB,63)</f>
        <v>337425</v>
      </c>
      <c r="O140" s="140">
        <f>VLOOKUP($A140,'Data shares'!$C:$FB,65)*100</f>
        <v>133.58000000000001</v>
      </c>
    </row>
    <row r="141" spans="1:15" x14ac:dyDescent="0.25">
      <c r="A141" s="101" t="str">
        <f>'Data shares'!C136</f>
        <v>MUTHOOTFIN</v>
      </c>
      <c r="B141" s="50">
        <f>VLOOKUP($A141,'Data shares'!$C:$FB,7)</f>
        <v>3749.9</v>
      </c>
      <c r="C141" s="50">
        <f>VLOOKUP($A141,'Data shares'!$C:$FB,10)*100</f>
        <v>-0.44</v>
      </c>
      <c r="D141" s="49">
        <f>VLOOKUP($A141,'Data shares'!$C:$FB,66)</f>
        <v>7396400</v>
      </c>
      <c r="E141" s="49">
        <f>VLOOKUP($A141,'Data shares'!$C:$FB,67)</f>
        <v>11112750</v>
      </c>
      <c r="F141" s="50">
        <f>VLOOKUP($A141,'Data shares'!$C:$FB,69)*100</f>
        <v>-33.44</v>
      </c>
      <c r="G141" s="49">
        <f>VLOOKUP($A141,'Data shares'!$C:$FB,42)</f>
        <v>1153075</v>
      </c>
      <c r="H141" s="49">
        <f>VLOOKUP($A141,'Data shares'!$C:$FB,43)</f>
        <v>1379675</v>
      </c>
      <c r="I141" s="50">
        <f>VLOOKUP($A141,'Data shares'!$C:$FB,45)*100</f>
        <v>-16.420000000000002</v>
      </c>
      <c r="J141" s="49">
        <f>VLOOKUP($A141,'Data shares'!$C:$FB,58)</f>
        <v>3687750</v>
      </c>
      <c r="K141" s="49">
        <f>VLOOKUP($A141,'Data shares'!$C:$FB,59)</f>
        <v>6904700</v>
      </c>
      <c r="L141" s="50">
        <f>VLOOKUP($A141,'Data shares'!$C:$FB,61)*100</f>
        <v>-46.589999999999996</v>
      </c>
      <c r="M141" s="49">
        <f>VLOOKUP($A141,'Data shares'!$C:$FB,62)</f>
        <v>2555575</v>
      </c>
      <c r="N141" s="49">
        <f>VLOOKUP($A141,'Data shares'!$C:$FB,63)</f>
        <v>2828375</v>
      </c>
      <c r="O141" s="140">
        <f>VLOOKUP($A141,'Data shares'!$C:$FB,65)*100</f>
        <v>-9.65</v>
      </c>
    </row>
    <row r="142" spans="1:15" x14ac:dyDescent="0.25">
      <c r="A142" s="101" t="str">
        <f>'Data shares'!C137</f>
        <v>NATIONALUM</v>
      </c>
      <c r="B142" s="50">
        <f>VLOOKUP($A142,'Data shares'!$C:$FB,7)</f>
        <v>279.25</v>
      </c>
      <c r="C142" s="50">
        <f>VLOOKUP($A142,'Data shares'!$C:$FB,10)*100</f>
        <v>-6.9999999999999993E-2</v>
      </c>
      <c r="D142" s="49">
        <f>VLOOKUP($A142,'Data shares'!$C:$FB,66)</f>
        <v>98685000</v>
      </c>
      <c r="E142" s="49">
        <f>VLOOKUP($A142,'Data shares'!$C:$FB,67)</f>
        <v>98197500</v>
      </c>
      <c r="F142" s="50">
        <f>VLOOKUP($A142,'Data shares'!$C:$FB,69)*100</f>
        <v>0.5</v>
      </c>
      <c r="G142" s="49">
        <f>VLOOKUP($A142,'Data shares'!$C:$FB,42)</f>
        <v>17621250</v>
      </c>
      <c r="H142" s="49">
        <f>VLOOKUP($A142,'Data shares'!$C:$FB,43)</f>
        <v>15671250</v>
      </c>
      <c r="I142" s="50">
        <f>VLOOKUP($A142,'Data shares'!$C:$FB,45)*100</f>
        <v>12.44</v>
      </c>
      <c r="J142" s="49">
        <f>VLOOKUP($A142,'Data shares'!$C:$FB,58)</f>
        <v>50722500</v>
      </c>
      <c r="K142" s="49">
        <f>VLOOKUP($A142,'Data shares'!$C:$FB,59)</f>
        <v>54761250</v>
      </c>
      <c r="L142" s="50">
        <f>VLOOKUP($A142,'Data shares'!$C:$FB,61)*100</f>
        <v>-7.3800000000000008</v>
      </c>
      <c r="M142" s="49">
        <f>VLOOKUP($A142,'Data shares'!$C:$FB,62)</f>
        <v>30341250</v>
      </c>
      <c r="N142" s="49">
        <f>VLOOKUP($A142,'Data shares'!$C:$FB,63)</f>
        <v>27765000</v>
      </c>
      <c r="O142" s="140">
        <f>VLOOKUP($A142,'Data shares'!$C:$FB,65)*100</f>
        <v>9.2799999999999994</v>
      </c>
    </row>
    <row r="143" spans="1:15" x14ac:dyDescent="0.25">
      <c r="A143" s="101" t="str">
        <f>'Data shares'!C138</f>
        <v>NAUKRI</v>
      </c>
      <c r="B143" s="50">
        <f>VLOOKUP($A143,'Data shares'!$C:$FB,7)</f>
        <v>1333.7</v>
      </c>
      <c r="C143" s="50">
        <f>VLOOKUP($A143,'Data shares'!$C:$FB,10)*100</f>
        <v>-0.33999999999999997</v>
      </c>
      <c r="D143" s="49">
        <f>VLOOKUP($A143,'Data shares'!$C:$FB,66)</f>
        <v>3292125</v>
      </c>
      <c r="E143" s="49">
        <f>VLOOKUP($A143,'Data shares'!$C:$FB,67)</f>
        <v>3103125</v>
      </c>
      <c r="F143" s="50">
        <f>VLOOKUP($A143,'Data shares'!$C:$FB,69)*100</f>
        <v>6.09</v>
      </c>
      <c r="G143" s="49">
        <f>VLOOKUP($A143,'Data shares'!$C:$FB,42)</f>
        <v>823500</v>
      </c>
      <c r="H143" s="49">
        <f>VLOOKUP($A143,'Data shares'!$C:$FB,43)</f>
        <v>689625</v>
      </c>
      <c r="I143" s="50">
        <f>VLOOKUP($A143,'Data shares'!$C:$FB,45)*100</f>
        <v>19.41</v>
      </c>
      <c r="J143" s="49">
        <f>VLOOKUP($A143,'Data shares'!$C:$FB,58)</f>
        <v>2026500</v>
      </c>
      <c r="K143" s="49">
        <f>VLOOKUP($A143,'Data shares'!$C:$FB,59)</f>
        <v>1844625</v>
      </c>
      <c r="L143" s="50">
        <f>VLOOKUP($A143,'Data shares'!$C:$FB,61)*100</f>
        <v>9.86</v>
      </c>
      <c r="M143" s="49">
        <f>VLOOKUP($A143,'Data shares'!$C:$FB,62)</f>
        <v>442125</v>
      </c>
      <c r="N143" s="49">
        <f>VLOOKUP($A143,'Data shares'!$C:$FB,63)</f>
        <v>568875</v>
      </c>
      <c r="O143" s="140">
        <f>VLOOKUP($A143,'Data shares'!$C:$FB,65)*100</f>
        <v>-22.28</v>
      </c>
    </row>
    <row r="144" spans="1:15" x14ac:dyDescent="0.25">
      <c r="A144" s="101" t="str">
        <f>'Data shares'!C139</f>
        <v>NBCC</v>
      </c>
      <c r="B144" s="50">
        <f>VLOOKUP($A144,'Data shares'!$C:$FB,7)</f>
        <v>108.26</v>
      </c>
      <c r="C144" s="50">
        <f>VLOOKUP($A144,'Data shares'!$C:$FB,10)*100</f>
        <v>-1.1900000000000002</v>
      </c>
      <c r="D144" s="49">
        <f>VLOOKUP($A144,'Data shares'!$C:$FB,66)</f>
        <v>79163500</v>
      </c>
      <c r="E144" s="49">
        <f>VLOOKUP($A144,'Data shares'!$C:$FB,67)</f>
        <v>79319500</v>
      </c>
      <c r="F144" s="50">
        <f>VLOOKUP($A144,'Data shares'!$C:$FB,69)*100</f>
        <v>-0.2</v>
      </c>
      <c r="G144" s="49">
        <f>VLOOKUP($A144,'Data shares'!$C:$FB,42)</f>
        <v>13819000</v>
      </c>
      <c r="H144" s="49">
        <f>VLOOKUP($A144,'Data shares'!$C:$FB,43)</f>
        <v>15652000</v>
      </c>
      <c r="I144" s="50">
        <f>VLOOKUP($A144,'Data shares'!$C:$FB,45)*100</f>
        <v>-11.709999999999999</v>
      </c>
      <c r="J144" s="49">
        <f>VLOOKUP($A144,'Data shares'!$C:$FB,58)</f>
        <v>48379500</v>
      </c>
      <c r="K144" s="49">
        <f>VLOOKUP($A144,'Data shares'!$C:$FB,59)</f>
        <v>49705500</v>
      </c>
      <c r="L144" s="50">
        <f>VLOOKUP($A144,'Data shares'!$C:$FB,61)*100</f>
        <v>-2.67</v>
      </c>
      <c r="M144" s="49">
        <f>VLOOKUP($A144,'Data shares'!$C:$FB,62)</f>
        <v>16965000</v>
      </c>
      <c r="N144" s="49">
        <f>VLOOKUP($A144,'Data shares'!$C:$FB,63)</f>
        <v>13962000</v>
      </c>
      <c r="O144" s="140">
        <f>VLOOKUP($A144,'Data shares'!$C:$FB,65)*100</f>
        <v>21.51</v>
      </c>
    </row>
    <row r="145" spans="1:15" x14ac:dyDescent="0.25">
      <c r="A145" s="101" t="str">
        <f>'Data shares'!C140</f>
        <v>NCC</v>
      </c>
      <c r="B145" s="50">
        <f>VLOOKUP($A145,'Data shares'!$C:$FB,7)</f>
        <v>153.07</v>
      </c>
      <c r="C145" s="50">
        <f>VLOOKUP($A145,'Data shares'!$C:$FB,10)*100</f>
        <v>-1.4500000000000002</v>
      </c>
      <c r="D145" s="49">
        <f>VLOOKUP($A145,'Data shares'!$C:$FB,66)</f>
        <v>21486600</v>
      </c>
      <c r="E145" s="49">
        <f>VLOOKUP($A145,'Data shares'!$C:$FB,67)</f>
        <v>20160900</v>
      </c>
      <c r="F145" s="50">
        <f>VLOOKUP($A145,'Data shares'!$C:$FB,69)*100</f>
        <v>6.58</v>
      </c>
      <c r="G145" s="49">
        <f>VLOOKUP($A145,'Data shares'!$C:$FB,42)</f>
        <v>3742200</v>
      </c>
      <c r="H145" s="49">
        <f>VLOOKUP($A145,'Data shares'!$C:$FB,43)</f>
        <v>3213000</v>
      </c>
      <c r="I145" s="50">
        <f>VLOOKUP($A145,'Data shares'!$C:$FB,45)*100</f>
        <v>16.470000000000002</v>
      </c>
      <c r="J145" s="49">
        <f>VLOOKUP($A145,'Data shares'!$C:$FB,58)</f>
        <v>11450700</v>
      </c>
      <c r="K145" s="49">
        <f>VLOOKUP($A145,'Data shares'!$C:$FB,59)</f>
        <v>11720700</v>
      </c>
      <c r="L145" s="50">
        <f>VLOOKUP($A145,'Data shares'!$C:$FB,61)*100</f>
        <v>-2.2999999999999998</v>
      </c>
      <c r="M145" s="49">
        <f>VLOOKUP($A145,'Data shares'!$C:$FB,62)</f>
        <v>6293700</v>
      </c>
      <c r="N145" s="49">
        <f>VLOOKUP($A145,'Data shares'!$C:$FB,63)</f>
        <v>5227200</v>
      </c>
      <c r="O145" s="140">
        <f>VLOOKUP($A145,'Data shares'!$C:$FB,65)*100</f>
        <v>20.399999999999999</v>
      </c>
    </row>
    <row r="146" spans="1:15" x14ac:dyDescent="0.25">
      <c r="A146" s="101" t="str">
        <f>'Data shares'!C141</f>
        <v>NESTLEIND</v>
      </c>
      <c r="B146" s="50">
        <f>VLOOKUP($A146,'Data shares'!$C:$FB,7)</f>
        <v>1233.5</v>
      </c>
      <c r="C146" s="50">
        <f>VLOOKUP($A146,'Data shares'!$C:$FB,10)*100</f>
        <v>-0.09</v>
      </c>
      <c r="D146" s="49">
        <f>VLOOKUP($A146,'Data shares'!$C:$FB,66)</f>
        <v>5881500</v>
      </c>
      <c r="E146" s="49">
        <f>VLOOKUP($A146,'Data shares'!$C:$FB,67)</f>
        <v>8468000</v>
      </c>
      <c r="F146" s="50">
        <f>VLOOKUP($A146,'Data shares'!$C:$FB,69)*100</f>
        <v>-30.54</v>
      </c>
      <c r="G146" s="49">
        <f>VLOOKUP($A146,'Data shares'!$C:$FB,42)</f>
        <v>1555500</v>
      </c>
      <c r="H146" s="49">
        <f>VLOOKUP($A146,'Data shares'!$C:$FB,43)</f>
        <v>2635500</v>
      </c>
      <c r="I146" s="50">
        <f>VLOOKUP($A146,'Data shares'!$C:$FB,45)*100</f>
        <v>-40.98</v>
      </c>
      <c r="J146" s="49">
        <f>VLOOKUP($A146,'Data shares'!$C:$FB,58)</f>
        <v>3436500</v>
      </c>
      <c r="K146" s="49">
        <f>VLOOKUP($A146,'Data shares'!$C:$FB,59)</f>
        <v>4279500</v>
      </c>
      <c r="L146" s="50">
        <f>VLOOKUP($A146,'Data shares'!$C:$FB,61)*100</f>
        <v>-19.7</v>
      </c>
      <c r="M146" s="49">
        <f>VLOOKUP($A146,'Data shares'!$C:$FB,62)</f>
        <v>889500</v>
      </c>
      <c r="N146" s="49">
        <f>VLOOKUP($A146,'Data shares'!$C:$FB,63)</f>
        <v>1553000</v>
      </c>
      <c r="O146" s="140">
        <f>VLOOKUP($A146,'Data shares'!$C:$FB,65)*100</f>
        <v>-42.72</v>
      </c>
    </row>
    <row r="147" spans="1:15" x14ac:dyDescent="0.25">
      <c r="A147" s="101" t="str">
        <f>'Data shares'!C142</f>
        <v>NHPC</v>
      </c>
      <c r="B147" s="50">
        <f>VLOOKUP($A147,'Data shares'!$C:$FB,7)</f>
        <v>75.040000000000006</v>
      </c>
      <c r="C147" s="50">
        <f>VLOOKUP($A147,'Data shares'!$C:$FB,10)*100</f>
        <v>-0.45999999999999996</v>
      </c>
      <c r="D147" s="49">
        <f>VLOOKUP($A147,'Data shares'!$C:$FB,66)</f>
        <v>42611200</v>
      </c>
      <c r="E147" s="49">
        <f>VLOOKUP($A147,'Data shares'!$C:$FB,67)</f>
        <v>38329600</v>
      </c>
      <c r="F147" s="50">
        <f>VLOOKUP($A147,'Data shares'!$C:$FB,69)*100</f>
        <v>11.17</v>
      </c>
      <c r="G147" s="49">
        <f>VLOOKUP($A147,'Data shares'!$C:$FB,42)</f>
        <v>10841600</v>
      </c>
      <c r="H147" s="49">
        <f>VLOOKUP($A147,'Data shares'!$C:$FB,43)</f>
        <v>10048000</v>
      </c>
      <c r="I147" s="50">
        <f>VLOOKUP($A147,'Data shares'!$C:$FB,45)*100</f>
        <v>7.9</v>
      </c>
      <c r="J147" s="49">
        <f>VLOOKUP($A147,'Data shares'!$C:$FB,58)</f>
        <v>24928000</v>
      </c>
      <c r="K147" s="49">
        <f>VLOOKUP($A147,'Data shares'!$C:$FB,59)</f>
        <v>21760000</v>
      </c>
      <c r="L147" s="50">
        <f>VLOOKUP($A147,'Data shares'!$C:$FB,61)*100</f>
        <v>14.56</v>
      </c>
      <c r="M147" s="49">
        <f>VLOOKUP($A147,'Data shares'!$C:$FB,62)</f>
        <v>6841600</v>
      </c>
      <c r="N147" s="49">
        <f>VLOOKUP($A147,'Data shares'!$C:$FB,63)</f>
        <v>6521600</v>
      </c>
      <c r="O147" s="140">
        <f>VLOOKUP($A147,'Data shares'!$C:$FB,65)*100</f>
        <v>4.91</v>
      </c>
    </row>
    <row r="148" spans="1:15" x14ac:dyDescent="0.25">
      <c r="A148" s="101" t="str">
        <f>'Data shares'!C143</f>
        <v>NIFTY</v>
      </c>
      <c r="B148" s="50">
        <f>VLOOKUP($A148,'Data shares'!$C:$FB,7)</f>
        <v>25815.55</v>
      </c>
      <c r="C148" s="50">
        <f>VLOOKUP($A148,'Data shares'!$C:$FB,10)*100</f>
        <v>-0.01</v>
      </c>
      <c r="D148" s="49">
        <f>VLOOKUP($A148,'Data shares'!$C:$FB,66)</f>
        <v>4192861200</v>
      </c>
      <c r="E148" s="49">
        <f>VLOOKUP($A148,'Data shares'!$C:$FB,67)</f>
        <v>3543722625</v>
      </c>
      <c r="F148" s="50">
        <f>VLOOKUP($A148,'Data shares'!$C:$FB,69)*100</f>
        <v>18.32</v>
      </c>
      <c r="G148" s="49">
        <f>VLOOKUP($A148,'Data shares'!$C:$FB,42)</f>
        <v>5736825</v>
      </c>
      <c r="H148" s="49">
        <f>VLOOKUP($A148,'Data shares'!$C:$FB,43)</f>
        <v>4114275</v>
      </c>
      <c r="I148" s="50">
        <f>VLOOKUP($A148,'Data shares'!$C:$FB,45)*100</f>
        <v>39.44</v>
      </c>
      <c r="J148" s="49">
        <f>VLOOKUP($A148,'Data shares'!$C:$FB,58)</f>
        <v>2190209025</v>
      </c>
      <c r="K148" s="49">
        <f>VLOOKUP($A148,'Data shares'!$C:$FB,59)</f>
        <v>1784614800</v>
      </c>
      <c r="L148" s="50">
        <f>VLOOKUP($A148,'Data shares'!$C:$FB,61)*100</f>
        <v>22.73</v>
      </c>
      <c r="M148" s="49">
        <f>VLOOKUP($A148,'Data shares'!$C:$FB,62)</f>
        <v>1996915350</v>
      </c>
      <c r="N148" s="49">
        <f>VLOOKUP($A148,'Data shares'!$C:$FB,63)</f>
        <v>1754993550</v>
      </c>
      <c r="O148" s="140">
        <f>VLOOKUP($A148,'Data shares'!$C:$FB,65)*100</f>
        <v>13.780000000000001</v>
      </c>
    </row>
    <row r="149" spans="1:15" x14ac:dyDescent="0.25">
      <c r="A149" s="101" t="str">
        <f>'Data shares'!C144</f>
        <v>NIFTYNXT50</v>
      </c>
      <c r="B149" s="50">
        <f>VLOOKUP($A149,'Data shares'!$C:$FB,7)</f>
        <v>67830.25</v>
      </c>
      <c r="C149" s="50">
        <f>VLOOKUP($A149,'Data shares'!$C:$FB,10)*100</f>
        <v>-0.36</v>
      </c>
      <c r="D149" s="49">
        <f>VLOOKUP($A149,'Data shares'!$C:$FB,66)</f>
        <v>39125</v>
      </c>
      <c r="E149" s="49">
        <f>VLOOKUP($A149,'Data shares'!$C:$FB,67)</f>
        <v>26775</v>
      </c>
      <c r="F149" s="50">
        <f>VLOOKUP($A149,'Data shares'!$C:$FB,69)*100</f>
        <v>46.129999999999995</v>
      </c>
      <c r="G149" s="49">
        <f>VLOOKUP($A149,'Data shares'!$C:$FB,42)</f>
        <v>12750</v>
      </c>
      <c r="H149" s="49">
        <f>VLOOKUP($A149,'Data shares'!$C:$FB,43)</f>
        <v>5550</v>
      </c>
      <c r="I149" s="50">
        <f>VLOOKUP($A149,'Data shares'!$C:$FB,45)*100</f>
        <v>129.72999999999999</v>
      </c>
      <c r="J149" s="49">
        <f>VLOOKUP($A149,'Data shares'!$C:$FB,58)</f>
        <v>15500</v>
      </c>
      <c r="K149" s="49">
        <f>VLOOKUP($A149,'Data shares'!$C:$FB,59)</f>
        <v>9000</v>
      </c>
      <c r="L149" s="50">
        <f>VLOOKUP($A149,'Data shares'!$C:$FB,61)*100</f>
        <v>72.22</v>
      </c>
      <c r="M149" s="49">
        <f>VLOOKUP($A149,'Data shares'!$C:$FB,62)</f>
        <v>10875</v>
      </c>
      <c r="N149" s="49">
        <f>VLOOKUP($A149,'Data shares'!$C:$FB,63)</f>
        <v>12225</v>
      </c>
      <c r="O149" s="140">
        <f>VLOOKUP($A149,'Data shares'!$C:$FB,65)*100</f>
        <v>-11.04</v>
      </c>
    </row>
    <row r="150" spans="1:15" x14ac:dyDescent="0.25">
      <c r="A150" s="101" t="str">
        <f>'Data shares'!C145</f>
        <v>NMDC</v>
      </c>
      <c r="B150" s="50">
        <f>VLOOKUP($A150,'Data shares'!$C:$FB,7)</f>
        <v>76.510000000000005</v>
      </c>
      <c r="C150" s="50">
        <f>VLOOKUP($A150,'Data shares'!$C:$FB,10)*100</f>
        <v>-1</v>
      </c>
      <c r="D150" s="49">
        <f>VLOOKUP($A150,'Data shares'!$C:$FB,66)</f>
        <v>101412000</v>
      </c>
      <c r="E150" s="49">
        <f>VLOOKUP($A150,'Data shares'!$C:$FB,67)</f>
        <v>122688000</v>
      </c>
      <c r="F150" s="50">
        <f>VLOOKUP($A150,'Data shares'!$C:$FB,69)*100</f>
        <v>-17.34</v>
      </c>
      <c r="G150" s="49">
        <f>VLOOKUP($A150,'Data shares'!$C:$FB,42)</f>
        <v>27060750</v>
      </c>
      <c r="H150" s="49">
        <f>VLOOKUP($A150,'Data shares'!$C:$FB,43)</f>
        <v>28930500</v>
      </c>
      <c r="I150" s="50">
        <f>VLOOKUP($A150,'Data shares'!$C:$FB,45)*100</f>
        <v>-6.4600000000000009</v>
      </c>
      <c r="J150" s="49">
        <f>VLOOKUP($A150,'Data shares'!$C:$FB,58)</f>
        <v>48404250</v>
      </c>
      <c r="K150" s="49">
        <f>VLOOKUP($A150,'Data shares'!$C:$FB,59)</f>
        <v>70895250</v>
      </c>
      <c r="L150" s="50">
        <f>VLOOKUP($A150,'Data shares'!$C:$FB,61)*100</f>
        <v>-31.72</v>
      </c>
      <c r="M150" s="49">
        <f>VLOOKUP($A150,'Data shares'!$C:$FB,62)</f>
        <v>25947000</v>
      </c>
      <c r="N150" s="49">
        <f>VLOOKUP($A150,'Data shares'!$C:$FB,63)</f>
        <v>22862250</v>
      </c>
      <c r="O150" s="140">
        <f>VLOOKUP($A150,'Data shares'!$C:$FB,65)*100</f>
        <v>13.489999999999998</v>
      </c>
    </row>
    <row r="151" spans="1:15" x14ac:dyDescent="0.25">
      <c r="A151" s="101" t="str">
        <f>'Data shares'!C146</f>
        <v>NTPC</v>
      </c>
      <c r="B151" s="50">
        <f>VLOOKUP($A151,'Data shares'!$C:$FB,7)</f>
        <v>318.5</v>
      </c>
      <c r="C151" s="50">
        <f>VLOOKUP($A151,'Data shares'!$C:$FB,10)*100</f>
        <v>-0.86</v>
      </c>
      <c r="D151" s="49">
        <f>VLOOKUP($A151,'Data shares'!$C:$FB,66)</f>
        <v>45489000</v>
      </c>
      <c r="E151" s="49">
        <f>VLOOKUP($A151,'Data shares'!$C:$FB,67)</f>
        <v>27538500</v>
      </c>
      <c r="F151" s="50">
        <f>VLOOKUP($A151,'Data shares'!$C:$FB,69)*100</f>
        <v>65.180000000000007</v>
      </c>
      <c r="G151" s="49">
        <f>VLOOKUP($A151,'Data shares'!$C:$FB,42)</f>
        <v>9940500</v>
      </c>
      <c r="H151" s="49">
        <f>VLOOKUP($A151,'Data shares'!$C:$FB,43)</f>
        <v>5532000</v>
      </c>
      <c r="I151" s="50">
        <f>VLOOKUP($A151,'Data shares'!$C:$FB,45)*100</f>
        <v>79.690000000000012</v>
      </c>
      <c r="J151" s="49">
        <f>VLOOKUP($A151,'Data shares'!$C:$FB,58)</f>
        <v>22767000</v>
      </c>
      <c r="K151" s="49">
        <f>VLOOKUP($A151,'Data shares'!$C:$FB,59)</f>
        <v>14524500</v>
      </c>
      <c r="L151" s="50">
        <f>VLOOKUP($A151,'Data shares'!$C:$FB,61)*100</f>
        <v>56.75</v>
      </c>
      <c r="M151" s="49">
        <f>VLOOKUP($A151,'Data shares'!$C:$FB,62)</f>
        <v>12781500</v>
      </c>
      <c r="N151" s="49">
        <f>VLOOKUP($A151,'Data shares'!$C:$FB,63)</f>
        <v>7482000</v>
      </c>
      <c r="O151" s="140">
        <f>VLOOKUP($A151,'Data shares'!$C:$FB,65)*100</f>
        <v>70.83</v>
      </c>
    </row>
    <row r="152" spans="1:15" x14ac:dyDescent="0.25">
      <c r="A152" s="101" t="str">
        <f>'Data shares'!C147</f>
        <v>NUVAMA</v>
      </c>
      <c r="B152" s="50">
        <f>VLOOKUP($A152,'Data shares'!$C:$FB,7)</f>
        <v>7301.5</v>
      </c>
      <c r="C152" s="50">
        <f>VLOOKUP($A152,'Data shares'!$C:$FB,10)*100</f>
        <v>1.82</v>
      </c>
      <c r="D152" s="49">
        <f>VLOOKUP($A152,'Data shares'!$C:$FB,66)</f>
        <v>5335350</v>
      </c>
      <c r="E152" s="49">
        <f>VLOOKUP($A152,'Data shares'!$C:$FB,67)</f>
        <v>553725</v>
      </c>
      <c r="F152" s="50">
        <f>VLOOKUP($A152,'Data shares'!$C:$FB,69)*100</f>
        <v>863.54000000000008</v>
      </c>
      <c r="G152" s="49">
        <f>VLOOKUP($A152,'Data shares'!$C:$FB,42)</f>
        <v>343575</v>
      </c>
      <c r="H152" s="49">
        <f>VLOOKUP($A152,'Data shares'!$C:$FB,43)</f>
        <v>74925</v>
      </c>
      <c r="I152" s="50">
        <f>VLOOKUP($A152,'Data shares'!$C:$FB,45)*100</f>
        <v>358.56</v>
      </c>
      <c r="J152" s="49">
        <f>VLOOKUP($A152,'Data shares'!$C:$FB,58)</f>
        <v>3809850</v>
      </c>
      <c r="K152" s="49">
        <f>VLOOKUP($A152,'Data shares'!$C:$FB,59)</f>
        <v>247725</v>
      </c>
      <c r="L152" s="50">
        <f>VLOOKUP($A152,'Data shares'!$C:$FB,61)*100</f>
        <v>1437.94</v>
      </c>
      <c r="M152" s="49">
        <f>VLOOKUP($A152,'Data shares'!$C:$FB,62)</f>
        <v>1181925</v>
      </c>
      <c r="N152" s="49">
        <f>VLOOKUP($A152,'Data shares'!$C:$FB,63)</f>
        <v>231075</v>
      </c>
      <c r="O152" s="140">
        <f>VLOOKUP($A152,'Data shares'!$C:$FB,65)*100</f>
        <v>411.48999999999995</v>
      </c>
    </row>
    <row r="153" spans="1:15" x14ac:dyDescent="0.25">
      <c r="A153" s="101" t="str">
        <f>'Data shares'!C148</f>
        <v>NYKAA</v>
      </c>
      <c r="B153" s="50">
        <f>VLOOKUP($A153,'Data shares'!$C:$FB,7)</f>
        <v>244.1</v>
      </c>
      <c r="C153" s="50">
        <f>VLOOKUP($A153,'Data shares'!$C:$FB,10)*100</f>
        <v>-0.41000000000000003</v>
      </c>
      <c r="D153" s="49">
        <f>VLOOKUP($A153,'Data shares'!$C:$FB,66)</f>
        <v>34593750</v>
      </c>
      <c r="E153" s="49">
        <f>VLOOKUP($A153,'Data shares'!$C:$FB,67)</f>
        <v>21200000</v>
      </c>
      <c r="F153" s="50">
        <f>VLOOKUP($A153,'Data shares'!$C:$FB,69)*100</f>
        <v>63.18</v>
      </c>
      <c r="G153" s="49">
        <f>VLOOKUP($A153,'Data shares'!$C:$FB,42)</f>
        <v>7409375</v>
      </c>
      <c r="H153" s="49">
        <f>VLOOKUP($A153,'Data shares'!$C:$FB,43)</f>
        <v>5112500</v>
      </c>
      <c r="I153" s="50">
        <f>VLOOKUP($A153,'Data shares'!$C:$FB,45)*100</f>
        <v>44.93</v>
      </c>
      <c r="J153" s="49">
        <f>VLOOKUP($A153,'Data shares'!$C:$FB,58)</f>
        <v>18706250</v>
      </c>
      <c r="K153" s="49">
        <f>VLOOKUP($A153,'Data shares'!$C:$FB,59)</f>
        <v>10965625</v>
      </c>
      <c r="L153" s="50">
        <f>VLOOKUP($A153,'Data shares'!$C:$FB,61)*100</f>
        <v>70.59</v>
      </c>
      <c r="M153" s="49">
        <f>VLOOKUP($A153,'Data shares'!$C:$FB,62)</f>
        <v>8478125</v>
      </c>
      <c r="N153" s="49">
        <f>VLOOKUP($A153,'Data shares'!$C:$FB,63)</f>
        <v>5121875</v>
      </c>
      <c r="O153" s="140">
        <f>VLOOKUP($A153,'Data shares'!$C:$FB,65)*100</f>
        <v>65.53</v>
      </c>
    </row>
    <row r="154" spans="1:15" x14ac:dyDescent="0.25">
      <c r="A154" s="101" t="str">
        <f>'Data shares'!C149</f>
        <v>OBEROIRLTY</v>
      </c>
      <c r="B154" s="50">
        <f>VLOOKUP($A154,'Data shares'!$C:$FB,7)</f>
        <v>1658.2</v>
      </c>
      <c r="C154" s="50">
        <f>VLOOKUP($A154,'Data shares'!$C:$FB,10)*100</f>
        <v>3</v>
      </c>
      <c r="D154" s="49">
        <f>VLOOKUP($A154,'Data shares'!$C:$FB,66)</f>
        <v>6038900</v>
      </c>
      <c r="E154" s="49">
        <f>VLOOKUP($A154,'Data shares'!$C:$FB,67)</f>
        <v>2490600</v>
      </c>
      <c r="F154" s="50">
        <f>VLOOKUP($A154,'Data shares'!$C:$FB,69)*100</f>
        <v>142.47</v>
      </c>
      <c r="G154" s="49">
        <f>VLOOKUP($A154,'Data shares'!$C:$FB,42)</f>
        <v>1161300</v>
      </c>
      <c r="H154" s="49">
        <f>VLOOKUP($A154,'Data shares'!$C:$FB,43)</f>
        <v>512750</v>
      </c>
      <c r="I154" s="50">
        <f>VLOOKUP($A154,'Data shares'!$C:$FB,45)*100</f>
        <v>126.47999999999999</v>
      </c>
      <c r="J154" s="49">
        <f>VLOOKUP($A154,'Data shares'!$C:$FB,58)</f>
        <v>3093300</v>
      </c>
      <c r="K154" s="49">
        <f>VLOOKUP($A154,'Data shares'!$C:$FB,59)</f>
        <v>1153950</v>
      </c>
      <c r="L154" s="50">
        <f>VLOOKUP($A154,'Data shares'!$C:$FB,61)*100</f>
        <v>168.06</v>
      </c>
      <c r="M154" s="49">
        <f>VLOOKUP($A154,'Data shares'!$C:$FB,62)</f>
        <v>1784300</v>
      </c>
      <c r="N154" s="49">
        <f>VLOOKUP($A154,'Data shares'!$C:$FB,63)</f>
        <v>823900</v>
      </c>
      <c r="O154" s="140">
        <f>VLOOKUP($A154,'Data shares'!$C:$FB,65)*100</f>
        <v>116.57</v>
      </c>
    </row>
    <row r="155" spans="1:15" x14ac:dyDescent="0.25">
      <c r="A155" s="101" t="str">
        <f>'Data shares'!C150</f>
        <v>OFSS</v>
      </c>
      <c r="B155" s="50">
        <f>VLOOKUP($A155,'Data shares'!$C:$FB,7)</f>
        <v>7662.5</v>
      </c>
      <c r="C155" s="50">
        <f>VLOOKUP($A155,'Data shares'!$C:$FB,10)*100</f>
        <v>-0.65</v>
      </c>
      <c r="D155" s="49">
        <f>VLOOKUP($A155,'Data shares'!$C:$FB,66)</f>
        <v>2095575</v>
      </c>
      <c r="E155" s="49">
        <f>VLOOKUP($A155,'Data shares'!$C:$FB,67)</f>
        <v>1397925</v>
      </c>
      <c r="F155" s="50">
        <f>VLOOKUP($A155,'Data shares'!$C:$FB,69)*100</f>
        <v>49.91</v>
      </c>
      <c r="G155" s="49">
        <f>VLOOKUP($A155,'Data shares'!$C:$FB,42)</f>
        <v>256725</v>
      </c>
      <c r="H155" s="49">
        <f>VLOOKUP($A155,'Data shares'!$C:$FB,43)</f>
        <v>225600</v>
      </c>
      <c r="I155" s="50">
        <f>VLOOKUP($A155,'Data shares'!$C:$FB,45)*100</f>
        <v>13.8</v>
      </c>
      <c r="J155" s="49">
        <f>VLOOKUP($A155,'Data shares'!$C:$FB,58)</f>
        <v>1040250</v>
      </c>
      <c r="K155" s="49">
        <f>VLOOKUP($A155,'Data shares'!$C:$FB,59)</f>
        <v>751275</v>
      </c>
      <c r="L155" s="50">
        <f>VLOOKUP($A155,'Data shares'!$C:$FB,61)*100</f>
        <v>38.46</v>
      </c>
      <c r="M155" s="49">
        <f>VLOOKUP($A155,'Data shares'!$C:$FB,62)</f>
        <v>798600</v>
      </c>
      <c r="N155" s="49">
        <f>VLOOKUP($A155,'Data shares'!$C:$FB,63)</f>
        <v>421050</v>
      </c>
      <c r="O155" s="140">
        <f>VLOOKUP($A155,'Data shares'!$C:$FB,65)*100</f>
        <v>89.67</v>
      </c>
    </row>
    <row r="156" spans="1:15" x14ac:dyDescent="0.25">
      <c r="A156" s="101" t="str">
        <f>'Data shares'!C151</f>
        <v>OIL</v>
      </c>
      <c r="B156" s="50">
        <f>VLOOKUP($A156,'Data shares'!$C:$FB,7)</f>
        <v>399.85</v>
      </c>
      <c r="C156" s="50">
        <f>VLOOKUP($A156,'Data shares'!$C:$FB,10)*100</f>
        <v>0.43</v>
      </c>
      <c r="D156" s="49">
        <f>VLOOKUP($A156,'Data shares'!$C:$FB,66)</f>
        <v>5482400</v>
      </c>
      <c r="E156" s="49">
        <f>VLOOKUP($A156,'Data shares'!$C:$FB,67)</f>
        <v>6237000</v>
      </c>
      <c r="F156" s="50">
        <f>VLOOKUP($A156,'Data shares'!$C:$FB,69)*100</f>
        <v>-12.1</v>
      </c>
      <c r="G156" s="49">
        <f>VLOOKUP($A156,'Data shares'!$C:$FB,42)</f>
        <v>1089200</v>
      </c>
      <c r="H156" s="49">
        <f>VLOOKUP($A156,'Data shares'!$C:$FB,43)</f>
        <v>1068200</v>
      </c>
      <c r="I156" s="50">
        <f>VLOOKUP($A156,'Data shares'!$C:$FB,45)*100</f>
        <v>1.97</v>
      </c>
      <c r="J156" s="49">
        <f>VLOOKUP($A156,'Data shares'!$C:$FB,58)</f>
        <v>3364200</v>
      </c>
      <c r="K156" s="49">
        <f>VLOOKUP($A156,'Data shares'!$C:$FB,59)</f>
        <v>3858400</v>
      </c>
      <c r="L156" s="50">
        <f>VLOOKUP($A156,'Data shares'!$C:$FB,61)*100</f>
        <v>-12.809999999999999</v>
      </c>
      <c r="M156" s="49">
        <f>VLOOKUP($A156,'Data shares'!$C:$FB,62)</f>
        <v>1029000</v>
      </c>
      <c r="N156" s="49">
        <f>VLOOKUP($A156,'Data shares'!$C:$FB,63)</f>
        <v>1310400</v>
      </c>
      <c r="O156" s="140">
        <f>VLOOKUP($A156,'Data shares'!$C:$FB,65)*100</f>
        <v>-21.47</v>
      </c>
    </row>
    <row r="157" spans="1:15" x14ac:dyDescent="0.25">
      <c r="A157" s="101" t="str">
        <f>'Data shares'!C152</f>
        <v>ONGC</v>
      </c>
      <c r="B157" s="50">
        <f>VLOOKUP($A157,'Data shares'!$C:$FB,7)</f>
        <v>232</v>
      </c>
      <c r="C157" s="50">
        <f>VLOOKUP($A157,'Data shares'!$C:$FB,10)*100</f>
        <v>-0.38999999999999996</v>
      </c>
      <c r="D157" s="49">
        <f>VLOOKUP($A157,'Data shares'!$C:$FB,66)</f>
        <v>54828000</v>
      </c>
      <c r="E157" s="49">
        <f>VLOOKUP($A157,'Data shares'!$C:$FB,67)</f>
        <v>68886000</v>
      </c>
      <c r="F157" s="50">
        <f>VLOOKUP($A157,'Data shares'!$C:$FB,69)*100</f>
        <v>-20.41</v>
      </c>
      <c r="G157" s="49">
        <f>VLOOKUP($A157,'Data shares'!$C:$FB,42)</f>
        <v>9254250</v>
      </c>
      <c r="H157" s="49">
        <f>VLOOKUP($A157,'Data shares'!$C:$FB,43)</f>
        <v>10788750</v>
      </c>
      <c r="I157" s="50">
        <f>VLOOKUP($A157,'Data shares'!$C:$FB,45)*100</f>
        <v>-14.219999999999999</v>
      </c>
      <c r="J157" s="49">
        <f>VLOOKUP($A157,'Data shares'!$C:$FB,58)</f>
        <v>30687750</v>
      </c>
      <c r="K157" s="49">
        <f>VLOOKUP($A157,'Data shares'!$C:$FB,59)</f>
        <v>34805250</v>
      </c>
      <c r="L157" s="50">
        <f>VLOOKUP($A157,'Data shares'!$C:$FB,61)*100</f>
        <v>-11.83</v>
      </c>
      <c r="M157" s="49">
        <f>VLOOKUP($A157,'Data shares'!$C:$FB,62)</f>
        <v>14886000</v>
      </c>
      <c r="N157" s="49">
        <f>VLOOKUP($A157,'Data shares'!$C:$FB,63)</f>
        <v>23292000</v>
      </c>
      <c r="O157" s="140">
        <f>VLOOKUP($A157,'Data shares'!$C:$FB,65)*100</f>
        <v>-36.090000000000003</v>
      </c>
    </row>
    <row r="158" spans="1:15" x14ac:dyDescent="0.25">
      <c r="A158" s="101" t="str">
        <f>'Data shares'!C153</f>
        <v>PAGEIND</v>
      </c>
      <c r="B158" s="50">
        <f>VLOOKUP($A158,'Data shares'!$C:$FB,7)</f>
        <v>35695</v>
      </c>
      <c r="C158" s="50">
        <f>VLOOKUP($A158,'Data shares'!$C:$FB,10)*100</f>
        <v>-1</v>
      </c>
      <c r="D158" s="49">
        <f>VLOOKUP($A158,'Data shares'!$C:$FB,66)</f>
        <v>300825</v>
      </c>
      <c r="E158" s="49">
        <f>VLOOKUP($A158,'Data shares'!$C:$FB,67)</f>
        <v>216180</v>
      </c>
      <c r="F158" s="50">
        <f>VLOOKUP($A158,'Data shares'!$C:$FB,69)*100</f>
        <v>39.15</v>
      </c>
      <c r="G158" s="49">
        <f>VLOOKUP($A158,'Data shares'!$C:$FB,42)</f>
        <v>38430</v>
      </c>
      <c r="H158" s="49">
        <f>VLOOKUP($A158,'Data shares'!$C:$FB,43)</f>
        <v>33195</v>
      </c>
      <c r="I158" s="50">
        <f>VLOOKUP($A158,'Data shares'!$C:$FB,45)*100</f>
        <v>15.770000000000001</v>
      </c>
      <c r="J158" s="49">
        <f>VLOOKUP($A158,'Data shares'!$C:$FB,58)</f>
        <v>133260</v>
      </c>
      <c r="K158" s="49">
        <f>VLOOKUP($A158,'Data shares'!$C:$FB,59)</f>
        <v>147465</v>
      </c>
      <c r="L158" s="50">
        <f>VLOOKUP($A158,'Data shares'!$C:$FB,61)*100</f>
        <v>-9.629999999999999</v>
      </c>
      <c r="M158" s="49">
        <f>VLOOKUP($A158,'Data shares'!$C:$FB,62)</f>
        <v>129135</v>
      </c>
      <c r="N158" s="49">
        <f>VLOOKUP($A158,'Data shares'!$C:$FB,63)</f>
        <v>35520</v>
      </c>
      <c r="O158" s="140">
        <f>VLOOKUP($A158,'Data shares'!$C:$FB,65)*100</f>
        <v>263.56</v>
      </c>
    </row>
    <row r="159" spans="1:15" x14ac:dyDescent="0.25">
      <c r="A159" s="101" t="str">
        <f>'Data shares'!C154</f>
        <v>PATANJALI</v>
      </c>
      <c r="B159" s="50">
        <f>VLOOKUP($A159,'Data shares'!$C:$FB,7)</f>
        <v>550.29999999999995</v>
      </c>
      <c r="C159" s="50">
        <f>VLOOKUP($A159,'Data shares'!$C:$FB,10)*100</f>
        <v>1.18</v>
      </c>
      <c r="D159" s="49">
        <f>VLOOKUP($A159,'Data shares'!$C:$FB,66)</f>
        <v>39901500</v>
      </c>
      <c r="E159" s="49">
        <f>VLOOKUP($A159,'Data shares'!$C:$FB,67)</f>
        <v>24479100</v>
      </c>
      <c r="F159" s="50">
        <f>VLOOKUP($A159,'Data shares'!$C:$FB,69)*100</f>
        <v>63</v>
      </c>
      <c r="G159" s="49">
        <f>VLOOKUP($A159,'Data shares'!$C:$FB,42)</f>
        <v>10987200</v>
      </c>
      <c r="H159" s="49">
        <f>VLOOKUP($A159,'Data shares'!$C:$FB,43)</f>
        <v>9375300</v>
      </c>
      <c r="I159" s="50">
        <f>VLOOKUP($A159,'Data shares'!$C:$FB,45)*100</f>
        <v>17.190000000000001</v>
      </c>
      <c r="J159" s="49">
        <f>VLOOKUP($A159,'Data shares'!$C:$FB,58)</f>
        <v>19800900</v>
      </c>
      <c r="K159" s="49">
        <f>VLOOKUP($A159,'Data shares'!$C:$FB,59)</f>
        <v>11430000</v>
      </c>
      <c r="L159" s="50">
        <f>VLOOKUP($A159,'Data shares'!$C:$FB,61)*100</f>
        <v>73.240000000000009</v>
      </c>
      <c r="M159" s="49">
        <f>VLOOKUP($A159,'Data shares'!$C:$FB,62)</f>
        <v>9113400</v>
      </c>
      <c r="N159" s="49">
        <f>VLOOKUP($A159,'Data shares'!$C:$FB,63)</f>
        <v>3673800</v>
      </c>
      <c r="O159" s="140">
        <f>VLOOKUP($A159,'Data shares'!$C:$FB,65)*100</f>
        <v>148.06</v>
      </c>
    </row>
    <row r="160" spans="1:15" x14ac:dyDescent="0.25">
      <c r="A160" s="101" t="str">
        <f>'Data shares'!C155</f>
        <v>PAYTM</v>
      </c>
      <c r="B160" s="50">
        <f>VLOOKUP($A160,'Data shares'!$C:$FB,7)</f>
        <v>1286.0999999999999</v>
      </c>
      <c r="C160" s="50">
        <f>VLOOKUP($A160,'Data shares'!$C:$FB,10)*100</f>
        <v>1.38</v>
      </c>
      <c r="D160" s="49">
        <f>VLOOKUP($A160,'Data shares'!$C:$FB,66)</f>
        <v>27848700</v>
      </c>
      <c r="E160" s="49">
        <f>VLOOKUP($A160,'Data shares'!$C:$FB,67)</f>
        <v>15566475</v>
      </c>
      <c r="F160" s="50">
        <f>VLOOKUP($A160,'Data shares'!$C:$FB,69)*100</f>
        <v>78.900000000000006</v>
      </c>
      <c r="G160" s="49">
        <f>VLOOKUP($A160,'Data shares'!$C:$FB,42)</f>
        <v>3627175</v>
      </c>
      <c r="H160" s="49">
        <f>VLOOKUP($A160,'Data shares'!$C:$FB,43)</f>
        <v>2379450</v>
      </c>
      <c r="I160" s="50">
        <f>VLOOKUP($A160,'Data shares'!$C:$FB,45)*100</f>
        <v>52.44</v>
      </c>
      <c r="J160" s="49">
        <f>VLOOKUP($A160,'Data shares'!$C:$FB,58)</f>
        <v>16710525</v>
      </c>
      <c r="K160" s="49">
        <f>VLOOKUP($A160,'Data shares'!$C:$FB,59)</f>
        <v>9180675</v>
      </c>
      <c r="L160" s="50">
        <f>VLOOKUP($A160,'Data shares'!$C:$FB,61)*100</f>
        <v>82.02000000000001</v>
      </c>
      <c r="M160" s="49">
        <f>VLOOKUP($A160,'Data shares'!$C:$FB,62)</f>
        <v>7511000</v>
      </c>
      <c r="N160" s="49">
        <f>VLOOKUP($A160,'Data shares'!$C:$FB,63)</f>
        <v>4006350</v>
      </c>
      <c r="O160" s="140">
        <f>VLOOKUP($A160,'Data shares'!$C:$FB,65)*100</f>
        <v>87.48</v>
      </c>
    </row>
    <row r="161" spans="1:15" x14ac:dyDescent="0.25">
      <c r="A161" s="101" t="str">
        <f>'Data shares'!C156</f>
        <v>PERSISTENT</v>
      </c>
      <c r="B161" s="50">
        <f>VLOOKUP($A161,'Data shares'!$C:$FB,7)</f>
        <v>6318.5</v>
      </c>
      <c r="C161" s="50">
        <f>VLOOKUP($A161,'Data shares'!$C:$FB,10)*100</f>
        <v>0.57000000000000006</v>
      </c>
      <c r="D161" s="49">
        <f>VLOOKUP($A161,'Data shares'!$C:$FB,66)</f>
        <v>2845900</v>
      </c>
      <c r="E161" s="49">
        <f>VLOOKUP($A161,'Data shares'!$C:$FB,67)</f>
        <v>2317100</v>
      </c>
      <c r="F161" s="50">
        <f>VLOOKUP($A161,'Data shares'!$C:$FB,69)*100</f>
        <v>22.82</v>
      </c>
      <c r="G161" s="49">
        <f>VLOOKUP($A161,'Data shares'!$C:$FB,42)</f>
        <v>453000</v>
      </c>
      <c r="H161" s="49">
        <f>VLOOKUP($A161,'Data shares'!$C:$FB,43)</f>
        <v>361700</v>
      </c>
      <c r="I161" s="50">
        <f>VLOOKUP($A161,'Data shares'!$C:$FB,45)*100</f>
        <v>25.240000000000002</v>
      </c>
      <c r="J161" s="49">
        <f>VLOOKUP($A161,'Data shares'!$C:$FB,58)</f>
        <v>1624100</v>
      </c>
      <c r="K161" s="49">
        <f>VLOOKUP($A161,'Data shares'!$C:$FB,59)</f>
        <v>1334400</v>
      </c>
      <c r="L161" s="50">
        <f>VLOOKUP($A161,'Data shares'!$C:$FB,61)*100</f>
        <v>21.709999999999997</v>
      </c>
      <c r="M161" s="49">
        <f>VLOOKUP($A161,'Data shares'!$C:$FB,62)</f>
        <v>768800</v>
      </c>
      <c r="N161" s="49">
        <f>VLOOKUP($A161,'Data shares'!$C:$FB,63)</f>
        <v>621000</v>
      </c>
      <c r="O161" s="140">
        <f>VLOOKUP($A161,'Data shares'!$C:$FB,65)*100</f>
        <v>23.799999999999997</v>
      </c>
    </row>
    <row r="162" spans="1:15" x14ac:dyDescent="0.25">
      <c r="A162" s="101" t="str">
        <f>'Data shares'!C157</f>
        <v>PETRONET</v>
      </c>
      <c r="B162" s="50">
        <f>VLOOKUP($A162,'Data shares'!$C:$FB,7)</f>
        <v>268.8</v>
      </c>
      <c r="C162" s="50">
        <f>VLOOKUP($A162,'Data shares'!$C:$FB,10)*100</f>
        <v>0.06</v>
      </c>
      <c r="D162" s="49">
        <f>VLOOKUP($A162,'Data shares'!$C:$FB,66)</f>
        <v>11691000</v>
      </c>
      <c r="E162" s="49">
        <f>VLOOKUP($A162,'Data shares'!$C:$FB,67)</f>
        <v>13039200</v>
      </c>
      <c r="F162" s="50">
        <f>VLOOKUP($A162,'Data shares'!$C:$FB,69)*100</f>
        <v>-10.34</v>
      </c>
      <c r="G162" s="49">
        <f>VLOOKUP($A162,'Data shares'!$C:$FB,42)</f>
        <v>3684600</v>
      </c>
      <c r="H162" s="49">
        <f>VLOOKUP($A162,'Data shares'!$C:$FB,43)</f>
        <v>3029400</v>
      </c>
      <c r="I162" s="50">
        <f>VLOOKUP($A162,'Data shares'!$C:$FB,45)*100</f>
        <v>21.63</v>
      </c>
      <c r="J162" s="49">
        <f>VLOOKUP($A162,'Data shares'!$C:$FB,58)</f>
        <v>5274000</v>
      </c>
      <c r="K162" s="49">
        <f>VLOOKUP($A162,'Data shares'!$C:$FB,59)</f>
        <v>5902200</v>
      </c>
      <c r="L162" s="50">
        <f>VLOOKUP($A162,'Data shares'!$C:$FB,61)*100</f>
        <v>-10.639999999999999</v>
      </c>
      <c r="M162" s="49">
        <f>VLOOKUP($A162,'Data shares'!$C:$FB,62)</f>
        <v>2732400</v>
      </c>
      <c r="N162" s="49">
        <f>VLOOKUP($A162,'Data shares'!$C:$FB,63)</f>
        <v>4107600</v>
      </c>
      <c r="O162" s="140">
        <f>VLOOKUP($A162,'Data shares'!$C:$FB,65)*100</f>
        <v>-33.479999999999997</v>
      </c>
    </row>
    <row r="163" spans="1:15" x14ac:dyDescent="0.25">
      <c r="A163" s="101" t="str">
        <f>'Data shares'!C158</f>
        <v>PFC</v>
      </c>
      <c r="B163" s="50">
        <f>VLOOKUP($A163,'Data shares'!$C:$FB,7)</f>
        <v>335.05</v>
      </c>
      <c r="C163" s="50">
        <f>VLOOKUP($A163,'Data shares'!$C:$FB,10)*100</f>
        <v>-0.18</v>
      </c>
      <c r="D163" s="49">
        <f>VLOOKUP($A163,'Data shares'!$C:$FB,66)</f>
        <v>69291300</v>
      </c>
      <c r="E163" s="49">
        <f>VLOOKUP($A163,'Data shares'!$C:$FB,67)</f>
        <v>41528500</v>
      </c>
      <c r="F163" s="50">
        <f>VLOOKUP($A163,'Data shares'!$C:$FB,69)*100</f>
        <v>66.849999999999994</v>
      </c>
      <c r="G163" s="49">
        <f>VLOOKUP($A163,'Data shares'!$C:$FB,42)</f>
        <v>9919000</v>
      </c>
      <c r="H163" s="49">
        <f>VLOOKUP($A163,'Data shares'!$C:$FB,43)</f>
        <v>5917600</v>
      </c>
      <c r="I163" s="50">
        <f>VLOOKUP($A163,'Data shares'!$C:$FB,45)*100</f>
        <v>67.62</v>
      </c>
      <c r="J163" s="49">
        <f>VLOOKUP($A163,'Data shares'!$C:$FB,58)</f>
        <v>42226600</v>
      </c>
      <c r="K163" s="49">
        <f>VLOOKUP($A163,'Data shares'!$C:$FB,59)</f>
        <v>25807600</v>
      </c>
      <c r="L163" s="50">
        <f>VLOOKUP($A163,'Data shares'!$C:$FB,61)*100</f>
        <v>63.62</v>
      </c>
      <c r="M163" s="49">
        <f>VLOOKUP($A163,'Data shares'!$C:$FB,62)</f>
        <v>17145700</v>
      </c>
      <c r="N163" s="49">
        <f>VLOOKUP($A163,'Data shares'!$C:$FB,63)</f>
        <v>9803300</v>
      </c>
      <c r="O163" s="140">
        <f>VLOOKUP($A163,'Data shares'!$C:$FB,65)*100</f>
        <v>74.900000000000006</v>
      </c>
    </row>
    <row r="164" spans="1:15" x14ac:dyDescent="0.25">
      <c r="A164" s="101" t="str">
        <f>'Data shares'!C159</f>
        <v>PGEL</v>
      </c>
      <c r="B164" s="50">
        <f>VLOOKUP($A164,'Data shares'!$C:$FB,7)</f>
        <v>566.35</v>
      </c>
      <c r="C164" s="50">
        <f>VLOOKUP($A164,'Data shares'!$C:$FB,10)*100</f>
        <v>0.45999999999999996</v>
      </c>
      <c r="D164" s="49">
        <f>VLOOKUP($A164,'Data shares'!$C:$FB,66)</f>
        <v>10602900</v>
      </c>
      <c r="E164" s="49">
        <f>VLOOKUP($A164,'Data shares'!$C:$FB,67)</f>
        <v>11981200</v>
      </c>
      <c r="F164" s="50">
        <f>VLOOKUP($A164,'Data shares'!$C:$FB,69)*100</f>
        <v>-11.5</v>
      </c>
      <c r="G164" s="49">
        <f>VLOOKUP($A164,'Data shares'!$C:$FB,42)</f>
        <v>2127300</v>
      </c>
      <c r="H164" s="49">
        <f>VLOOKUP($A164,'Data shares'!$C:$FB,43)</f>
        <v>1470000</v>
      </c>
      <c r="I164" s="50">
        <f>VLOOKUP($A164,'Data shares'!$C:$FB,45)*100</f>
        <v>44.71</v>
      </c>
      <c r="J164" s="49">
        <f>VLOOKUP($A164,'Data shares'!$C:$FB,58)</f>
        <v>6244700</v>
      </c>
      <c r="K164" s="49">
        <f>VLOOKUP($A164,'Data shares'!$C:$FB,59)</f>
        <v>7431200</v>
      </c>
      <c r="L164" s="50">
        <f>VLOOKUP($A164,'Data shares'!$C:$FB,61)*100</f>
        <v>-15.97</v>
      </c>
      <c r="M164" s="49">
        <f>VLOOKUP($A164,'Data shares'!$C:$FB,62)</f>
        <v>2230900</v>
      </c>
      <c r="N164" s="49">
        <f>VLOOKUP($A164,'Data shares'!$C:$FB,63)</f>
        <v>3080000</v>
      </c>
      <c r="O164" s="140">
        <f>VLOOKUP($A164,'Data shares'!$C:$FB,65)*100</f>
        <v>-27.57</v>
      </c>
    </row>
    <row r="165" spans="1:15" x14ac:dyDescent="0.25">
      <c r="A165" s="101" t="str">
        <f>'Data shares'!C160</f>
        <v>PHOENIXLTD</v>
      </c>
      <c r="B165" s="50">
        <f>VLOOKUP($A165,'Data shares'!$C:$FB,7)</f>
        <v>1798</v>
      </c>
      <c r="C165" s="50">
        <f>VLOOKUP($A165,'Data shares'!$C:$FB,10)*100</f>
        <v>0.92999999999999994</v>
      </c>
      <c r="D165" s="49">
        <f>VLOOKUP($A165,'Data shares'!$C:$FB,66)</f>
        <v>1620150</v>
      </c>
      <c r="E165" s="49">
        <f>VLOOKUP($A165,'Data shares'!$C:$FB,67)</f>
        <v>1239350</v>
      </c>
      <c r="F165" s="50">
        <f>VLOOKUP($A165,'Data shares'!$C:$FB,69)*100</f>
        <v>30.73</v>
      </c>
      <c r="G165" s="49">
        <f>VLOOKUP($A165,'Data shares'!$C:$FB,42)</f>
        <v>471450</v>
      </c>
      <c r="H165" s="49">
        <f>VLOOKUP($A165,'Data shares'!$C:$FB,43)</f>
        <v>362250</v>
      </c>
      <c r="I165" s="50">
        <f>VLOOKUP($A165,'Data shares'!$C:$FB,45)*100</f>
        <v>30.14</v>
      </c>
      <c r="J165" s="49">
        <f>VLOOKUP($A165,'Data shares'!$C:$FB,58)</f>
        <v>841050</v>
      </c>
      <c r="K165" s="49">
        <f>VLOOKUP($A165,'Data shares'!$C:$FB,59)</f>
        <v>618800</v>
      </c>
      <c r="L165" s="50">
        <f>VLOOKUP($A165,'Data shares'!$C:$FB,61)*100</f>
        <v>35.92</v>
      </c>
      <c r="M165" s="49">
        <f>VLOOKUP($A165,'Data shares'!$C:$FB,62)</f>
        <v>307650</v>
      </c>
      <c r="N165" s="49">
        <f>VLOOKUP($A165,'Data shares'!$C:$FB,63)</f>
        <v>258300</v>
      </c>
      <c r="O165" s="140">
        <f>VLOOKUP($A165,'Data shares'!$C:$FB,65)*100</f>
        <v>19.11</v>
      </c>
    </row>
    <row r="166" spans="1:15" x14ac:dyDescent="0.25">
      <c r="A166" s="101" t="str">
        <f>'Data shares'!C161</f>
        <v>PIDILITIND</v>
      </c>
      <c r="B166" s="50">
        <f>VLOOKUP($A166,'Data shares'!$C:$FB,7)</f>
        <v>1451.6</v>
      </c>
      <c r="C166" s="50">
        <f>VLOOKUP($A166,'Data shares'!$C:$FB,10)*100</f>
        <v>0.06</v>
      </c>
      <c r="D166" s="49">
        <f>VLOOKUP($A166,'Data shares'!$C:$FB,66)</f>
        <v>2115500</v>
      </c>
      <c r="E166" s="49">
        <f>VLOOKUP($A166,'Data shares'!$C:$FB,67)</f>
        <v>3561500</v>
      </c>
      <c r="F166" s="50">
        <f>VLOOKUP($A166,'Data shares'!$C:$FB,69)*100</f>
        <v>-40.6</v>
      </c>
      <c r="G166" s="49">
        <f>VLOOKUP($A166,'Data shares'!$C:$FB,42)</f>
        <v>991000</v>
      </c>
      <c r="H166" s="49">
        <f>VLOOKUP($A166,'Data shares'!$C:$FB,43)</f>
        <v>1406000</v>
      </c>
      <c r="I166" s="50">
        <f>VLOOKUP($A166,'Data shares'!$C:$FB,45)*100</f>
        <v>-29.520000000000003</v>
      </c>
      <c r="J166" s="49">
        <f>VLOOKUP($A166,'Data shares'!$C:$FB,58)</f>
        <v>750500</v>
      </c>
      <c r="K166" s="49">
        <f>VLOOKUP($A166,'Data shares'!$C:$FB,59)</f>
        <v>1232500</v>
      </c>
      <c r="L166" s="50">
        <f>VLOOKUP($A166,'Data shares'!$C:$FB,61)*100</f>
        <v>-39.11</v>
      </c>
      <c r="M166" s="49">
        <f>VLOOKUP($A166,'Data shares'!$C:$FB,62)</f>
        <v>374000</v>
      </c>
      <c r="N166" s="49">
        <f>VLOOKUP($A166,'Data shares'!$C:$FB,63)</f>
        <v>923000</v>
      </c>
      <c r="O166" s="140">
        <f>VLOOKUP($A166,'Data shares'!$C:$FB,65)*100</f>
        <v>-59.48</v>
      </c>
    </row>
    <row r="167" spans="1:15" x14ac:dyDescent="0.25">
      <c r="A167" s="101" t="str">
        <f>'Data shares'!C162</f>
        <v>PIIND</v>
      </c>
      <c r="B167" s="50">
        <f>VLOOKUP($A167,'Data shares'!$C:$FB,7)</f>
        <v>3213.8</v>
      </c>
      <c r="C167" s="50">
        <f>VLOOKUP($A167,'Data shares'!$C:$FB,10)*100</f>
        <v>0.24</v>
      </c>
      <c r="D167" s="49">
        <f>VLOOKUP($A167,'Data shares'!$C:$FB,66)</f>
        <v>1379700</v>
      </c>
      <c r="E167" s="49">
        <f>VLOOKUP($A167,'Data shares'!$C:$FB,67)</f>
        <v>1778350</v>
      </c>
      <c r="F167" s="50">
        <f>VLOOKUP($A167,'Data shares'!$C:$FB,69)*100</f>
        <v>-22.42</v>
      </c>
      <c r="G167" s="49">
        <f>VLOOKUP($A167,'Data shares'!$C:$FB,42)</f>
        <v>322875</v>
      </c>
      <c r="H167" s="49">
        <f>VLOOKUP($A167,'Data shares'!$C:$FB,43)</f>
        <v>342825</v>
      </c>
      <c r="I167" s="50">
        <f>VLOOKUP($A167,'Data shares'!$C:$FB,45)*100</f>
        <v>-5.82</v>
      </c>
      <c r="J167" s="49">
        <f>VLOOKUP($A167,'Data shares'!$C:$FB,58)</f>
        <v>595000</v>
      </c>
      <c r="K167" s="49">
        <f>VLOOKUP($A167,'Data shares'!$C:$FB,59)</f>
        <v>864850</v>
      </c>
      <c r="L167" s="50">
        <f>VLOOKUP($A167,'Data shares'!$C:$FB,61)*100</f>
        <v>-31.2</v>
      </c>
      <c r="M167" s="49">
        <f>VLOOKUP($A167,'Data shares'!$C:$FB,62)</f>
        <v>461825</v>
      </c>
      <c r="N167" s="49">
        <f>VLOOKUP($A167,'Data shares'!$C:$FB,63)</f>
        <v>570675</v>
      </c>
      <c r="O167" s="140">
        <f>VLOOKUP($A167,'Data shares'!$C:$FB,65)*100</f>
        <v>-19.07</v>
      </c>
    </row>
    <row r="168" spans="1:15" x14ac:dyDescent="0.25">
      <c r="A168" s="101" t="str">
        <f>'Data shares'!C163</f>
        <v>PNB</v>
      </c>
      <c r="B168" s="50">
        <f>VLOOKUP($A168,'Data shares'!$C:$FB,7)</f>
        <v>118.9</v>
      </c>
      <c r="C168" s="50">
        <f>VLOOKUP($A168,'Data shares'!$C:$FB,10)*100</f>
        <v>-0.36</v>
      </c>
      <c r="D168" s="49">
        <f>VLOOKUP($A168,'Data shares'!$C:$FB,66)</f>
        <v>232232000</v>
      </c>
      <c r="E168" s="49">
        <f>VLOOKUP($A168,'Data shares'!$C:$FB,67)</f>
        <v>337376000</v>
      </c>
      <c r="F168" s="50">
        <f>VLOOKUP($A168,'Data shares'!$C:$FB,69)*100</f>
        <v>-31.169999999999998</v>
      </c>
      <c r="G168" s="49">
        <f>VLOOKUP($A168,'Data shares'!$C:$FB,42)</f>
        <v>37032000</v>
      </c>
      <c r="H168" s="49">
        <f>VLOOKUP($A168,'Data shares'!$C:$FB,43)</f>
        <v>49816000</v>
      </c>
      <c r="I168" s="50">
        <f>VLOOKUP($A168,'Data shares'!$C:$FB,45)*100</f>
        <v>-25.66</v>
      </c>
      <c r="J168" s="49">
        <f>VLOOKUP($A168,'Data shares'!$C:$FB,58)</f>
        <v>130520000</v>
      </c>
      <c r="K168" s="49">
        <f>VLOOKUP($A168,'Data shares'!$C:$FB,59)</f>
        <v>202672000</v>
      </c>
      <c r="L168" s="50">
        <f>VLOOKUP($A168,'Data shares'!$C:$FB,61)*100</f>
        <v>-35.6</v>
      </c>
      <c r="M168" s="49">
        <f>VLOOKUP($A168,'Data shares'!$C:$FB,62)</f>
        <v>64680000</v>
      </c>
      <c r="N168" s="49">
        <f>VLOOKUP($A168,'Data shares'!$C:$FB,63)</f>
        <v>84888000</v>
      </c>
      <c r="O168" s="140">
        <f>VLOOKUP($A168,'Data shares'!$C:$FB,65)*100</f>
        <v>-23.810000000000002</v>
      </c>
    </row>
    <row r="169" spans="1:15" x14ac:dyDescent="0.25">
      <c r="A169" s="101" t="str">
        <f>'Data shares'!C164</f>
        <v>PNBHOUSING</v>
      </c>
      <c r="B169" s="50">
        <f>VLOOKUP($A169,'Data shares'!$C:$FB,7)</f>
        <v>896.15</v>
      </c>
      <c r="C169" s="50">
        <f>VLOOKUP($A169,'Data shares'!$C:$FB,10)*100</f>
        <v>0.15</v>
      </c>
      <c r="D169" s="49">
        <f>VLOOKUP($A169,'Data shares'!$C:$FB,66)</f>
        <v>13419900</v>
      </c>
      <c r="E169" s="49">
        <f>VLOOKUP($A169,'Data shares'!$C:$FB,67)</f>
        <v>10686650</v>
      </c>
      <c r="F169" s="50">
        <f>VLOOKUP($A169,'Data shares'!$C:$FB,69)*100</f>
        <v>25.580000000000002</v>
      </c>
      <c r="G169" s="49">
        <f>VLOOKUP($A169,'Data shares'!$C:$FB,42)</f>
        <v>2215850</v>
      </c>
      <c r="H169" s="49">
        <f>VLOOKUP($A169,'Data shares'!$C:$FB,43)</f>
        <v>1706250</v>
      </c>
      <c r="I169" s="50">
        <f>VLOOKUP($A169,'Data shares'!$C:$FB,45)*100</f>
        <v>29.87</v>
      </c>
      <c r="J169" s="49">
        <f>VLOOKUP($A169,'Data shares'!$C:$FB,58)</f>
        <v>7319000</v>
      </c>
      <c r="K169" s="49">
        <f>VLOOKUP($A169,'Data shares'!$C:$FB,59)</f>
        <v>6043700</v>
      </c>
      <c r="L169" s="50">
        <f>VLOOKUP($A169,'Data shares'!$C:$FB,61)*100</f>
        <v>21.099999999999998</v>
      </c>
      <c r="M169" s="49">
        <f>VLOOKUP($A169,'Data shares'!$C:$FB,62)</f>
        <v>3885050</v>
      </c>
      <c r="N169" s="49">
        <f>VLOOKUP($A169,'Data shares'!$C:$FB,63)</f>
        <v>2936700</v>
      </c>
      <c r="O169" s="140">
        <f>VLOOKUP($A169,'Data shares'!$C:$FB,65)*100</f>
        <v>32.29</v>
      </c>
    </row>
    <row r="170" spans="1:15" x14ac:dyDescent="0.25">
      <c r="A170" s="101" t="str">
        <f>'Data shares'!C165</f>
        <v>POLICYBZR</v>
      </c>
      <c r="B170" s="50">
        <f>VLOOKUP($A170,'Data shares'!$C:$FB,7)</f>
        <v>1834.4</v>
      </c>
      <c r="C170" s="50">
        <f>VLOOKUP($A170,'Data shares'!$C:$FB,10)*100</f>
        <v>3.93</v>
      </c>
      <c r="D170" s="49">
        <f>VLOOKUP($A170,'Data shares'!$C:$FB,66)</f>
        <v>14463750</v>
      </c>
      <c r="E170" s="49">
        <f>VLOOKUP($A170,'Data shares'!$C:$FB,67)</f>
        <v>24197250</v>
      </c>
      <c r="F170" s="50">
        <f>VLOOKUP($A170,'Data shares'!$C:$FB,69)*100</f>
        <v>-40.229999999999997</v>
      </c>
      <c r="G170" s="49">
        <f>VLOOKUP($A170,'Data shares'!$C:$FB,42)</f>
        <v>1530550</v>
      </c>
      <c r="H170" s="49">
        <f>VLOOKUP($A170,'Data shares'!$C:$FB,43)</f>
        <v>2955050</v>
      </c>
      <c r="I170" s="50">
        <f>VLOOKUP($A170,'Data shares'!$C:$FB,45)*100</f>
        <v>-48.209999999999994</v>
      </c>
      <c r="J170" s="49">
        <f>VLOOKUP($A170,'Data shares'!$C:$FB,58)</f>
        <v>8060500</v>
      </c>
      <c r="K170" s="49">
        <f>VLOOKUP($A170,'Data shares'!$C:$FB,59)</f>
        <v>10082800</v>
      </c>
      <c r="L170" s="50">
        <f>VLOOKUP($A170,'Data shares'!$C:$FB,61)*100</f>
        <v>-20.059999999999999</v>
      </c>
      <c r="M170" s="49">
        <f>VLOOKUP($A170,'Data shares'!$C:$FB,62)</f>
        <v>4872700</v>
      </c>
      <c r="N170" s="49">
        <f>VLOOKUP($A170,'Data shares'!$C:$FB,63)</f>
        <v>11159400</v>
      </c>
      <c r="O170" s="140">
        <f>VLOOKUP($A170,'Data shares'!$C:$FB,65)*100</f>
        <v>-56.34</v>
      </c>
    </row>
    <row r="171" spans="1:15" x14ac:dyDescent="0.25">
      <c r="A171" s="101" t="str">
        <f>'Data shares'!C166</f>
        <v>POLYCAB</v>
      </c>
      <c r="B171" s="50">
        <f>VLOOKUP($A171,'Data shares'!$C:$FB,7)</f>
        <v>7099</v>
      </c>
      <c r="C171" s="50">
        <f>VLOOKUP($A171,'Data shares'!$C:$FB,10)*100</f>
        <v>0.27999999999999997</v>
      </c>
      <c r="D171" s="49">
        <f>VLOOKUP($A171,'Data shares'!$C:$FB,66)</f>
        <v>3566500</v>
      </c>
      <c r="E171" s="49">
        <f>VLOOKUP($A171,'Data shares'!$C:$FB,67)</f>
        <v>11192750</v>
      </c>
      <c r="F171" s="50">
        <f>VLOOKUP($A171,'Data shares'!$C:$FB,69)*100</f>
        <v>-68.14</v>
      </c>
      <c r="G171" s="49">
        <f>VLOOKUP($A171,'Data shares'!$C:$FB,42)</f>
        <v>438000</v>
      </c>
      <c r="H171" s="49">
        <f>VLOOKUP($A171,'Data shares'!$C:$FB,43)</f>
        <v>1149750</v>
      </c>
      <c r="I171" s="50">
        <f>VLOOKUP($A171,'Data shares'!$C:$FB,45)*100</f>
        <v>-61.9</v>
      </c>
      <c r="J171" s="49">
        <f>VLOOKUP($A171,'Data shares'!$C:$FB,58)</f>
        <v>1741250</v>
      </c>
      <c r="K171" s="49">
        <f>VLOOKUP($A171,'Data shares'!$C:$FB,59)</f>
        <v>4545125</v>
      </c>
      <c r="L171" s="50">
        <f>VLOOKUP($A171,'Data shares'!$C:$FB,61)*100</f>
        <v>-61.69</v>
      </c>
      <c r="M171" s="49">
        <f>VLOOKUP($A171,'Data shares'!$C:$FB,62)</f>
        <v>1387250</v>
      </c>
      <c r="N171" s="49">
        <f>VLOOKUP($A171,'Data shares'!$C:$FB,63)</f>
        <v>5497875</v>
      </c>
      <c r="O171" s="140">
        <f>VLOOKUP($A171,'Data shares'!$C:$FB,65)*100</f>
        <v>-74.77000000000001</v>
      </c>
    </row>
    <row r="172" spans="1:15" x14ac:dyDescent="0.25">
      <c r="A172" s="101" t="str">
        <f>'Data shares'!C167</f>
        <v>POWERGRID</v>
      </c>
      <c r="B172" s="50">
        <f>VLOOKUP($A172,'Data shares'!$C:$FB,7)</f>
        <v>257.95</v>
      </c>
      <c r="C172" s="50">
        <f>VLOOKUP($A172,'Data shares'!$C:$FB,10)*100</f>
        <v>-1.21</v>
      </c>
      <c r="D172" s="49">
        <f>VLOOKUP($A172,'Data shares'!$C:$FB,66)</f>
        <v>65705800</v>
      </c>
      <c r="E172" s="49">
        <f>VLOOKUP($A172,'Data shares'!$C:$FB,67)</f>
        <v>28842000</v>
      </c>
      <c r="F172" s="50">
        <f>VLOOKUP($A172,'Data shares'!$C:$FB,69)*100</f>
        <v>127.81</v>
      </c>
      <c r="G172" s="49">
        <f>VLOOKUP($A172,'Data shares'!$C:$FB,42)</f>
        <v>18667500</v>
      </c>
      <c r="H172" s="49">
        <f>VLOOKUP($A172,'Data shares'!$C:$FB,43)</f>
        <v>7421400</v>
      </c>
      <c r="I172" s="50">
        <f>VLOOKUP($A172,'Data shares'!$C:$FB,45)*100</f>
        <v>151.54000000000002</v>
      </c>
      <c r="J172" s="49">
        <f>VLOOKUP($A172,'Data shares'!$C:$FB,58)</f>
        <v>31405100</v>
      </c>
      <c r="K172" s="49">
        <f>VLOOKUP($A172,'Data shares'!$C:$FB,59)</f>
        <v>15916300</v>
      </c>
      <c r="L172" s="50">
        <f>VLOOKUP($A172,'Data shares'!$C:$FB,61)*100</f>
        <v>97.31</v>
      </c>
      <c r="M172" s="49">
        <f>VLOOKUP($A172,'Data shares'!$C:$FB,62)</f>
        <v>15633200</v>
      </c>
      <c r="N172" s="49">
        <f>VLOOKUP($A172,'Data shares'!$C:$FB,63)</f>
        <v>5504300</v>
      </c>
      <c r="O172" s="140">
        <f>VLOOKUP($A172,'Data shares'!$C:$FB,65)*100</f>
        <v>184.02</v>
      </c>
    </row>
    <row r="173" spans="1:15" x14ac:dyDescent="0.25">
      <c r="A173" s="101" t="str">
        <f>'Data shares'!C168</f>
        <v>POWERINDIA</v>
      </c>
      <c r="B173" s="50">
        <f>VLOOKUP($A173,'Data shares'!$C:$FB,7)</f>
        <v>18160</v>
      </c>
      <c r="C173" s="50">
        <f>VLOOKUP($A173,'Data shares'!$C:$FB,10)*100</f>
        <v>-5.17</v>
      </c>
      <c r="D173" s="49">
        <f>VLOOKUP($A173,'Data shares'!$C:$FB,66)</f>
        <v>3037600</v>
      </c>
      <c r="E173" s="49">
        <f>VLOOKUP($A173,'Data shares'!$C:$FB,67)</f>
        <v>613200</v>
      </c>
      <c r="F173" s="50">
        <f>VLOOKUP($A173,'Data shares'!$C:$FB,69)*100</f>
        <v>395.37</v>
      </c>
      <c r="G173" s="49">
        <f>VLOOKUP($A173,'Data shares'!$C:$FB,42)</f>
        <v>171550</v>
      </c>
      <c r="H173" s="49">
        <f>VLOOKUP($A173,'Data shares'!$C:$FB,43)</f>
        <v>65650</v>
      </c>
      <c r="I173" s="50">
        <f>VLOOKUP($A173,'Data shares'!$C:$FB,45)*100</f>
        <v>161.31</v>
      </c>
      <c r="J173" s="49">
        <f>VLOOKUP($A173,'Data shares'!$C:$FB,58)</f>
        <v>1604050</v>
      </c>
      <c r="K173" s="49">
        <f>VLOOKUP($A173,'Data shares'!$C:$FB,59)</f>
        <v>428600</v>
      </c>
      <c r="L173" s="50">
        <f>VLOOKUP($A173,'Data shares'!$C:$FB,61)*100</f>
        <v>274.25</v>
      </c>
      <c r="M173" s="49">
        <f>VLOOKUP($A173,'Data shares'!$C:$FB,62)</f>
        <v>1262000</v>
      </c>
      <c r="N173" s="49">
        <f>VLOOKUP($A173,'Data shares'!$C:$FB,63)</f>
        <v>118950</v>
      </c>
      <c r="O173" s="140">
        <f>VLOOKUP($A173,'Data shares'!$C:$FB,65)*100</f>
        <v>960.95</v>
      </c>
    </row>
    <row r="174" spans="1:15" x14ac:dyDescent="0.25">
      <c r="A174" s="101" t="str">
        <f>'Data shares'!C169</f>
        <v>PPLPHARMA</v>
      </c>
      <c r="B174" s="50">
        <f>VLOOKUP($A174,'Data shares'!$C:$FB,7)</f>
        <v>166.52</v>
      </c>
      <c r="C174" s="50">
        <f>VLOOKUP($A174,'Data shares'!$C:$FB,10)*100</f>
        <v>-0.82000000000000006</v>
      </c>
      <c r="D174" s="49">
        <f>VLOOKUP($A174,'Data shares'!$C:$FB,66)</f>
        <v>16690000</v>
      </c>
      <c r="E174" s="49">
        <f>VLOOKUP($A174,'Data shares'!$C:$FB,67)</f>
        <v>15385000</v>
      </c>
      <c r="F174" s="50">
        <f>VLOOKUP($A174,'Data shares'!$C:$FB,69)*100</f>
        <v>8.48</v>
      </c>
      <c r="G174" s="49">
        <f>VLOOKUP($A174,'Data shares'!$C:$FB,42)</f>
        <v>3767500</v>
      </c>
      <c r="H174" s="49">
        <f>VLOOKUP($A174,'Data shares'!$C:$FB,43)</f>
        <v>3997500</v>
      </c>
      <c r="I174" s="50">
        <f>VLOOKUP($A174,'Data shares'!$C:$FB,45)*100</f>
        <v>-5.75</v>
      </c>
      <c r="J174" s="49">
        <f>VLOOKUP($A174,'Data shares'!$C:$FB,58)</f>
        <v>10212500</v>
      </c>
      <c r="K174" s="49">
        <f>VLOOKUP($A174,'Data shares'!$C:$FB,59)</f>
        <v>8145000</v>
      </c>
      <c r="L174" s="50">
        <f>VLOOKUP($A174,'Data shares'!$C:$FB,61)*100</f>
        <v>25.380000000000003</v>
      </c>
      <c r="M174" s="49">
        <f>VLOOKUP($A174,'Data shares'!$C:$FB,62)</f>
        <v>2710000</v>
      </c>
      <c r="N174" s="49">
        <f>VLOOKUP($A174,'Data shares'!$C:$FB,63)</f>
        <v>3242500</v>
      </c>
      <c r="O174" s="140">
        <f>VLOOKUP($A174,'Data shares'!$C:$FB,65)*100</f>
        <v>-16.420000000000002</v>
      </c>
    </row>
    <row r="175" spans="1:15" x14ac:dyDescent="0.25">
      <c r="A175" s="101" t="str">
        <f>'Data shares'!C170</f>
        <v>PRESTIGE</v>
      </c>
      <c r="B175" s="50">
        <f>VLOOKUP($A175,'Data shares'!$C:$FB,7)</f>
        <v>1600.2</v>
      </c>
      <c r="C175" s="50">
        <f>VLOOKUP($A175,'Data shares'!$C:$FB,10)*100</f>
        <v>-0.44999999999999996</v>
      </c>
      <c r="D175" s="49">
        <f>VLOOKUP($A175,'Data shares'!$C:$FB,66)</f>
        <v>2597850</v>
      </c>
      <c r="E175" s="49">
        <f>VLOOKUP($A175,'Data shares'!$C:$FB,67)</f>
        <v>1768050</v>
      </c>
      <c r="F175" s="50">
        <f>VLOOKUP($A175,'Data shares'!$C:$FB,69)*100</f>
        <v>46.93</v>
      </c>
      <c r="G175" s="49">
        <f>VLOOKUP($A175,'Data shares'!$C:$FB,42)</f>
        <v>646650</v>
      </c>
      <c r="H175" s="49">
        <f>VLOOKUP($A175,'Data shares'!$C:$FB,43)</f>
        <v>381150</v>
      </c>
      <c r="I175" s="50">
        <f>VLOOKUP($A175,'Data shares'!$C:$FB,45)*100</f>
        <v>69.66</v>
      </c>
      <c r="J175" s="49">
        <f>VLOOKUP($A175,'Data shares'!$C:$FB,58)</f>
        <v>1381950</v>
      </c>
      <c r="K175" s="49">
        <f>VLOOKUP($A175,'Data shares'!$C:$FB,59)</f>
        <v>918450</v>
      </c>
      <c r="L175" s="50">
        <f>VLOOKUP($A175,'Data shares'!$C:$FB,61)*100</f>
        <v>50.470000000000006</v>
      </c>
      <c r="M175" s="49">
        <f>VLOOKUP($A175,'Data shares'!$C:$FB,62)</f>
        <v>569250</v>
      </c>
      <c r="N175" s="49">
        <f>VLOOKUP($A175,'Data shares'!$C:$FB,63)</f>
        <v>468450</v>
      </c>
      <c r="O175" s="140">
        <f>VLOOKUP($A175,'Data shares'!$C:$FB,65)*100</f>
        <v>21.52</v>
      </c>
    </row>
    <row r="176" spans="1:15" x14ac:dyDescent="0.25">
      <c r="A176" s="101" t="str">
        <f>'Data shares'!C171</f>
        <v>RBLBANK</v>
      </c>
      <c r="B176" s="50">
        <f>VLOOKUP($A176,'Data shares'!$C:$FB,7)</f>
        <v>298.75</v>
      </c>
      <c r="C176" s="50">
        <f>VLOOKUP($A176,'Data shares'!$C:$FB,10)*100</f>
        <v>0.61</v>
      </c>
      <c r="D176" s="49">
        <f>VLOOKUP($A176,'Data shares'!$C:$FB,66)</f>
        <v>22701250</v>
      </c>
      <c r="E176" s="49">
        <f>VLOOKUP($A176,'Data shares'!$C:$FB,67)</f>
        <v>45519975</v>
      </c>
      <c r="F176" s="50">
        <f>VLOOKUP($A176,'Data shares'!$C:$FB,69)*100</f>
        <v>-50.129999999999995</v>
      </c>
      <c r="G176" s="49">
        <f>VLOOKUP($A176,'Data shares'!$C:$FB,42)</f>
        <v>8204200</v>
      </c>
      <c r="H176" s="49">
        <f>VLOOKUP($A176,'Data shares'!$C:$FB,43)</f>
        <v>15843250</v>
      </c>
      <c r="I176" s="50">
        <f>VLOOKUP($A176,'Data shares'!$C:$FB,45)*100</f>
        <v>-48.22</v>
      </c>
      <c r="J176" s="49">
        <f>VLOOKUP($A176,'Data shares'!$C:$FB,58)</f>
        <v>9737725</v>
      </c>
      <c r="K176" s="49">
        <f>VLOOKUP($A176,'Data shares'!$C:$FB,59)</f>
        <v>15074900</v>
      </c>
      <c r="L176" s="50">
        <f>VLOOKUP($A176,'Data shares'!$C:$FB,61)*100</f>
        <v>-35.4</v>
      </c>
      <c r="M176" s="49">
        <f>VLOOKUP($A176,'Data shares'!$C:$FB,62)</f>
        <v>4759325</v>
      </c>
      <c r="N176" s="49">
        <f>VLOOKUP($A176,'Data shares'!$C:$FB,63)</f>
        <v>14601825</v>
      </c>
      <c r="O176" s="140">
        <f>VLOOKUP($A176,'Data shares'!$C:$FB,65)*100</f>
        <v>-67.41</v>
      </c>
    </row>
    <row r="177" spans="1:15" x14ac:dyDescent="0.25">
      <c r="A177" s="101" t="str">
        <f>'Data shares'!C172</f>
        <v>RECLTD</v>
      </c>
      <c r="B177" s="50">
        <f>VLOOKUP($A177,'Data shares'!$C:$FB,7)</f>
        <v>337</v>
      </c>
      <c r="C177" s="50">
        <f>VLOOKUP($A177,'Data shares'!$C:$FB,10)*100</f>
        <v>0.91</v>
      </c>
      <c r="D177" s="49">
        <f>VLOOKUP($A177,'Data shares'!$C:$FB,66)</f>
        <v>52908675</v>
      </c>
      <c r="E177" s="49">
        <f>VLOOKUP($A177,'Data shares'!$C:$FB,67)</f>
        <v>52401225</v>
      </c>
      <c r="F177" s="50">
        <f>VLOOKUP($A177,'Data shares'!$C:$FB,69)*100</f>
        <v>0.97</v>
      </c>
      <c r="G177" s="49">
        <f>VLOOKUP($A177,'Data shares'!$C:$FB,42)</f>
        <v>7868025</v>
      </c>
      <c r="H177" s="49">
        <f>VLOOKUP($A177,'Data shares'!$C:$FB,43)</f>
        <v>7016325</v>
      </c>
      <c r="I177" s="50">
        <f>VLOOKUP($A177,'Data shares'!$C:$FB,45)*100</f>
        <v>12.139999999999999</v>
      </c>
      <c r="J177" s="49">
        <f>VLOOKUP($A177,'Data shares'!$C:$FB,58)</f>
        <v>31765350</v>
      </c>
      <c r="K177" s="49">
        <f>VLOOKUP($A177,'Data shares'!$C:$FB,59)</f>
        <v>31229850</v>
      </c>
      <c r="L177" s="50">
        <f>VLOOKUP($A177,'Data shares'!$C:$FB,61)*100</f>
        <v>1.71</v>
      </c>
      <c r="M177" s="49">
        <f>VLOOKUP($A177,'Data shares'!$C:$FB,62)</f>
        <v>13275300</v>
      </c>
      <c r="N177" s="49">
        <f>VLOOKUP($A177,'Data shares'!$C:$FB,63)</f>
        <v>14155050</v>
      </c>
      <c r="O177" s="140">
        <f>VLOOKUP($A177,'Data shares'!$C:$FB,65)*100</f>
        <v>-6.22</v>
      </c>
    </row>
    <row r="178" spans="1:15" x14ac:dyDescent="0.25">
      <c r="A178" s="101" t="str">
        <f>'Data shares'!C173</f>
        <v>RELIANCE</v>
      </c>
      <c r="B178" s="50">
        <f>VLOOKUP($A178,'Data shares'!$C:$FB,7)</f>
        <v>1544.4</v>
      </c>
      <c r="C178" s="50">
        <f>VLOOKUP($A178,'Data shares'!$C:$FB,10)*100</f>
        <v>0</v>
      </c>
      <c r="D178" s="49">
        <f>VLOOKUP($A178,'Data shares'!$C:$FB,66)</f>
        <v>80779000</v>
      </c>
      <c r="E178" s="49">
        <f>VLOOKUP($A178,'Data shares'!$C:$FB,67)</f>
        <v>61101500</v>
      </c>
      <c r="F178" s="50">
        <f>VLOOKUP($A178,'Data shares'!$C:$FB,69)*100</f>
        <v>32.200000000000003</v>
      </c>
      <c r="G178" s="49">
        <f>VLOOKUP($A178,'Data shares'!$C:$FB,42)</f>
        <v>14943000</v>
      </c>
      <c r="H178" s="49">
        <f>VLOOKUP($A178,'Data shares'!$C:$FB,43)</f>
        <v>7563500</v>
      </c>
      <c r="I178" s="50">
        <f>VLOOKUP($A178,'Data shares'!$C:$FB,45)*100</f>
        <v>97.570000000000007</v>
      </c>
      <c r="J178" s="49">
        <f>VLOOKUP($A178,'Data shares'!$C:$FB,58)</f>
        <v>41597500</v>
      </c>
      <c r="K178" s="49">
        <f>VLOOKUP($A178,'Data shares'!$C:$FB,59)</f>
        <v>33318000</v>
      </c>
      <c r="L178" s="50">
        <f>VLOOKUP($A178,'Data shares'!$C:$FB,61)*100</f>
        <v>24.85</v>
      </c>
      <c r="M178" s="49">
        <f>VLOOKUP($A178,'Data shares'!$C:$FB,62)</f>
        <v>24238500</v>
      </c>
      <c r="N178" s="49">
        <f>VLOOKUP($A178,'Data shares'!$C:$FB,63)</f>
        <v>20220000</v>
      </c>
      <c r="O178" s="140">
        <f>VLOOKUP($A178,'Data shares'!$C:$FB,65)*100</f>
        <v>19.869999999999997</v>
      </c>
    </row>
    <row r="179" spans="1:15" x14ac:dyDescent="0.25">
      <c r="A179" s="101" t="str">
        <f>'Data shares'!C174</f>
        <v>RVNL</v>
      </c>
      <c r="B179" s="50">
        <f>VLOOKUP($A179,'Data shares'!$C:$FB,7)</f>
        <v>305.95</v>
      </c>
      <c r="C179" s="50">
        <f>VLOOKUP($A179,'Data shares'!$C:$FB,10)*100</f>
        <v>-0.42</v>
      </c>
      <c r="D179" s="49">
        <f>VLOOKUP($A179,'Data shares'!$C:$FB,66)</f>
        <v>16230500</v>
      </c>
      <c r="E179" s="49">
        <f>VLOOKUP($A179,'Data shares'!$C:$FB,67)</f>
        <v>15522375</v>
      </c>
      <c r="F179" s="50">
        <f>VLOOKUP($A179,'Data shares'!$C:$FB,69)*100</f>
        <v>4.5600000000000005</v>
      </c>
      <c r="G179" s="49">
        <f>VLOOKUP($A179,'Data shares'!$C:$FB,42)</f>
        <v>4430250</v>
      </c>
      <c r="H179" s="49">
        <f>VLOOKUP($A179,'Data shares'!$C:$FB,43)</f>
        <v>4434375</v>
      </c>
      <c r="I179" s="50">
        <f>VLOOKUP($A179,'Data shares'!$C:$FB,45)*100</f>
        <v>-0.09</v>
      </c>
      <c r="J179" s="49">
        <f>VLOOKUP($A179,'Data shares'!$C:$FB,58)</f>
        <v>9270250</v>
      </c>
      <c r="K179" s="49">
        <f>VLOOKUP($A179,'Data shares'!$C:$FB,59)</f>
        <v>9099750</v>
      </c>
      <c r="L179" s="50">
        <f>VLOOKUP($A179,'Data shares'!$C:$FB,61)*100</f>
        <v>1.87</v>
      </c>
      <c r="M179" s="49">
        <f>VLOOKUP($A179,'Data shares'!$C:$FB,62)</f>
        <v>2530000</v>
      </c>
      <c r="N179" s="49">
        <f>VLOOKUP($A179,'Data shares'!$C:$FB,63)</f>
        <v>1988250</v>
      </c>
      <c r="O179" s="140">
        <f>VLOOKUP($A179,'Data shares'!$C:$FB,65)*100</f>
        <v>27.250000000000004</v>
      </c>
    </row>
    <row r="180" spans="1:15" x14ac:dyDescent="0.25">
      <c r="A180" s="101" t="str">
        <f>'Data shares'!C175</f>
        <v>SAIL</v>
      </c>
      <c r="B180" s="50">
        <f>VLOOKUP($A180,'Data shares'!$C:$FB,7)</f>
        <v>127.27</v>
      </c>
      <c r="C180" s="50">
        <f>VLOOKUP($A180,'Data shares'!$C:$FB,10)*100</f>
        <v>-2.25</v>
      </c>
      <c r="D180" s="49">
        <f>VLOOKUP($A180,'Data shares'!$C:$FB,66)</f>
        <v>89290600</v>
      </c>
      <c r="E180" s="49">
        <f>VLOOKUP($A180,'Data shares'!$C:$FB,67)</f>
        <v>42629000</v>
      </c>
      <c r="F180" s="50">
        <f>VLOOKUP($A180,'Data shares'!$C:$FB,69)*100</f>
        <v>109.46000000000001</v>
      </c>
      <c r="G180" s="49">
        <f>VLOOKUP($A180,'Data shares'!$C:$FB,42)</f>
        <v>23373100</v>
      </c>
      <c r="H180" s="49">
        <f>VLOOKUP($A180,'Data shares'!$C:$FB,43)</f>
        <v>14245700</v>
      </c>
      <c r="I180" s="50">
        <f>VLOOKUP($A180,'Data shares'!$C:$FB,45)*100</f>
        <v>64.070000000000007</v>
      </c>
      <c r="J180" s="49">
        <f>VLOOKUP($A180,'Data shares'!$C:$FB,58)</f>
        <v>44889700</v>
      </c>
      <c r="K180" s="49">
        <f>VLOOKUP($A180,'Data shares'!$C:$FB,59)</f>
        <v>21695200</v>
      </c>
      <c r="L180" s="50">
        <f>VLOOKUP($A180,'Data shares'!$C:$FB,61)*100</f>
        <v>106.91</v>
      </c>
      <c r="M180" s="49">
        <f>VLOOKUP($A180,'Data shares'!$C:$FB,62)</f>
        <v>21027800</v>
      </c>
      <c r="N180" s="49">
        <f>VLOOKUP($A180,'Data shares'!$C:$FB,63)</f>
        <v>6688100</v>
      </c>
      <c r="O180" s="140">
        <f>VLOOKUP($A180,'Data shares'!$C:$FB,65)*100</f>
        <v>214.41</v>
      </c>
    </row>
    <row r="181" spans="1:15" x14ac:dyDescent="0.25">
      <c r="A181" s="101" t="str">
        <f>'Data shares'!C176</f>
        <v>SAMMAANCAP</v>
      </c>
      <c r="B181" s="50">
        <f>VLOOKUP($A181,'Data shares'!$C:$FB,7)</f>
        <v>143.47999999999999</v>
      </c>
      <c r="C181" s="50">
        <f>VLOOKUP($A181,'Data shares'!$C:$FB,10)*100</f>
        <v>-1.58</v>
      </c>
      <c r="D181" s="49">
        <f>VLOOKUP($A181,'Data shares'!$C:$FB,66)</f>
        <v>287674300</v>
      </c>
      <c r="E181" s="49">
        <f>VLOOKUP($A181,'Data shares'!$C:$FB,67)</f>
        <v>419095200</v>
      </c>
      <c r="F181" s="50">
        <f>VLOOKUP($A181,'Data shares'!$C:$FB,69)*100</f>
        <v>-31.36</v>
      </c>
      <c r="G181" s="49">
        <f>VLOOKUP($A181,'Data shares'!$C:$FB,42)</f>
        <v>54519700</v>
      </c>
      <c r="H181" s="49">
        <f>VLOOKUP($A181,'Data shares'!$C:$FB,43)</f>
        <v>81992400</v>
      </c>
      <c r="I181" s="50">
        <f>VLOOKUP($A181,'Data shares'!$C:$FB,45)*100</f>
        <v>-33.51</v>
      </c>
      <c r="J181" s="49">
        <f>VLOOKUP($A181,'Data shares'!$C:$FB,58)</f>
        <v>117007300</v>
      </c>
      <c r="K181" s="49">
        <f>VLOOKUP($A181,'Data shares'!$C:$FB,59)</f>
        <v>215111800</v>
      </c>
      <c r="L181" s="50">
        <f>VLOOKUP($A181,'Data shares'!$C:$FB,61)*100</f>
        <v>-45.61</v>
      </c>
      <c r="M181" s="49">
        <f>VLOOKUP($A181,'Data shares'!$C:$FB,62)</f>
        <v>116147300</v>
      </c>
      <c r="N181" s="49">
        <f>VLOOKUP($A181,'Data shares'!$C:$FB,63)</f>
        <v>121991000</v>
      </c>
      <c r="O181" s="140">
        <f>VLOOKUP($A181,'Data shares'!$C:$FB,65)*100</f>
        <v>-4.79</v>
      </c>
    </row>
    <row r="182" spans="1:15" x14ac:dyDescent="0.25">
      <c r="A182" s="101" t="str">
        <f>'Data shares'!C177</f>
        <v>SBICARD</v>
      </c>
      <c r="B182" s="50">
        <f>VLOOKUP($A182,'Data shares'!$C:$FB,7)</f>
        <v>848.15</v>
      </c>
      <c r="C182" s="50">
        <f>VLOOKUP($A182,'Data shares'!$C:$FB,10)*100</f>
        <v>1.6500000000000001</v>
      </c>
      <c r="D182" s="49">
        <f>VLOOKUP($A182,'Data shares'!$C:$FB,66)</f>
        <v>17860000</v>
      </c>
      <c r="E182" s="49">
        <f>VLOOKUP($A182,'Data shares'!$C:$FB,67)</f>
        <v>16168000</v>
      </c>
      <c r="F182" s="50">
        <f>VLOOKUP($A182,'Data shares'!$C:$FB,69)*100</f>
        <v>10.47</v>
      </c>
      <c r="G182" s="49">
        <f>VLOOKUP($A182,'Data shares'!$C:$FB,42)</f>
        <v>2919200</v>
      </c>
      <c r="H182" s="49">
        <f>VLOOKUP($A182,'Data shares'!$C:$FB,43)</f>
        <v>2464800</v>
      </c>
      <c r="I182" s="50">
        <f>VLOOKUP($A182,'Data shares'!$C:$FB,45)*100</f>
        <v>18.440000000000001</v>
      </c>
      <c r="J182" s="49">
        <f>VLOOKUP($A182,'Data shares'!$C:$FB,58)</f>
        <v>9823200</v>
      </c>
      <c r="K182" s="49">
        <f>VLOOKUP($A182,'Data shares'!$C:$FB,59)</f>
        <v>7242400</v>
      </c>
      <c r="L182" s="50">
        <f>VLOOKUP($A182,'Data shares'!$C:$FB,61)*100</f>
        <v>35.630000000000003</v>
      </c>
      <c r="M182" s="49">
        <f>VLOOKUP($A182,'Data shares'!$C:$FB,62)</f>
        <v>5117600</v>
      </c>
      <c r="N182" s="49">
        <f>VLOOKUP($A182,'Data shares'!$C:$FB,63)</f>
        <v>6460800</v>
      </c>
      <c r="O182" s="140">
        <f>VLOOKUP($A182,'Data shares'!$C:$FB,65)*100</f>
        <v>-20.79</v>
      </c>
    </row>
    <row r="183" spans="1:15" x14ac:dyDescent="0.25">
      <c r="A183" s="101" t="str">
        <f>'Data shares'!C178</f>
        <v>SBILIFE</v>
      </c>
      <c r="B183" s="50">
        <f>VLOOKUP($A183,'Data shares'!$C:$FB,7)</f>
        <v>2014.4</v>
      </c>
      <c r="C183" s="50">
        <f>VLOOKUP($A183,'Data shares'!$C:$FB,10)*100</f>
        <v>0.21</v>
      </c>
      <c r="D183" s="49">
        <f>VLOOKUP($A183,'Data shares'!$C:$FB,66)</f>
        <v>4478625</v>
      </c>
      <c r="E183" s="49">
        <f>VLOOKUP($A183,'Data shares'!$C:$FB,67)</f>
        <v>13345125</v>
      </c>
      <c r="F183" s="50">
        <f>VLOOKUP($A183,'Data shares'!$C:$FB,69)*100</f>
        <v>-66.44</v>
      </c>
      <c r="G183" s="49">
        <f>VLOOKUP($A183,'Data shares'!$C:$FB,42)</f>
        <v>880500</v>
      </c>
      <c r="H183" s="49">
        <f>VLOOKUP($A183,'Data shares'!$C:$FB,43)</f>
        <v>1524000</v>
      </c>
      <c r="I183" s="50">
        <f>VLOOKUP($A183,'Data shares'!$C:$FB,45)*100</f>
        <v>-42.22</v>
      </c>
      <c r="J183" s="49">
        <f>VLOOKUP($A183,'Data shares'!$C:$FB,58)</f>
        <v>2469375</v>
      </c>
      <c r="K183" s="49">
        <f>VLOOKUP($A183,'Data shares'!$C:$FB,59)</f>
        <v>5845125</v>
      </c>
      <c r="L183" s="50">
        <f>VLOOKUP($A183,'Data shares'!$C:$FB,61)*100</f>
        <v>-57.75</v>
      </c>
      <c r="M183" s="49">
        <f>VLOOKUP($A183,'Data shares'!$C:$FB,62)</f>
        <v>1128750</v>
      </c>
      <c r="N183" s="49">
        <f>VLOOKUP($A183,'Data shares'!$C:$FB,63)</f>
        <v>5976000</v>
      </c>
      <c r="O183" s="140">
        <f>VLOOKUP($A183,'Data shares'!$C:$FB,65)*100</f>
        <v>-81.11</v>
      </c>
    </row>
    <row r="184" spans="1:15" x14ac:dyDescent="0.25">
      <c r="A184" s="101" t="str">
        <f>'Data shares'!C179</f>
        <v>SBIN</v>
      </c>
      <c r="B184" s="50">
        <f>VLOOKUP($A184,'Data shares'!$C:$FB,7)</f>
        <v>977.55</v>
      </c>
      <c r="C184" s="50">
        <f>VLOOKUP($A184,'Data shares'!$C:$FB,10)*100</f>
        <v>0.16999999999999998</v>
      </c>
      <c r="D184" s="49">
        <f>VLOOKUP($A184,'Data shares'!$C:$FB,66)</f>
        <v>109761000</v>
      </c>
      <c r="E184" s="49">
        <f>VLOOKUP($A184,'Data shares'!$C:$FB,67)</f>
        <v>183738750</v>
      </c>
      <c r="F184" s="50">
        <f>VLOOKUP($A184,'Data shares'!$C:$FB,69)*100</f>
        <v>-40.26</v>
      </c>
      <c r="G184" s="49">
        <f>VLOOKUP($A184,'Data shares'!$C:$FB,42)</f>
        <v>13228500</v>
      </c>
      <c r="H184" s="49">
        <f>VLOOKUP($A184,'Data shares'!$C:$FB,43)</f>
        <v>18019500</v>
      </c>
      <c r="I184" s="50">
        <f>VLOOKUP($A184,'Data shares'!$C:$FB,45)*100</f>
        <v>-26.590000000000003</v>
      </c>
      <c r="J184" s="49">
        <f>VLOOKUP($A184,'Data shares'!$C:$FB,58)</f>
        <v>58691250</v>
      </c>
      <c r="K184" s="49">
        <f>VLOOKUP($A184,'Data shares'!$C:$FB,59)</f>
        <v>104275500</v>
      </c>
      <c r="L184" s="50">
        <f>VLOOKUP($A184,'Data shares'!$C:$FB,61)*100</f>
        <v>-43.72</v>
      </c>
      <c r="M184" s="49">
        <f>VLOOKUP($A184,'Data shares'!$C:$FB,62)</f>
        <v>37841250</v>
      </c>
      <c r="N184" s="49">
        <f>VLOOKUP($A184,'Data shares'!$C:$FB,63)</f>
        <v>61443750</v>
      </c>
      <c r="O184" s="140">
        <f>VLOOKUP($A184,'Data shares'!$C:$FB,65)*100</f>
        <v>-38.409999999999997</v>
      </c>
    </row>
    <row r="185" spans="1:15" x14ac:dyDescent="0.25">
      <c r="A185" s="101" t="str">
        <f>'Data shares'!C180</f>
        <v>SHREECEM</v>
      </c>
      <c r="B185" s="50">
        <f>VLOOKUP($A185,'Data shares'!$C:$FB,7)</f>
        <v>25645</v>
      </c>
      <c r="C185" s="50">
        <f>VLOOKUP($A185,'Data shares'!$C:$FB,10)*100</f>
        <v>-1.54</v>
      </c>
      <c r="D185" s="49">
        <f>VLOOKUP($A185,'Data shares'!$C:$FB,66)</f>
        <v>228125</v>
      </c>
      <c r="E185" s="49">
        <f>VLOOKUP($A185,'Data shares'!$C:$FB,67)</f>
        <v>168800</v>
      </c>
      <c r="F185" s="50">
        <f>VLOOKUP($A185,'Data shares'!$C:$FB,69)*100</f>
        <v>35.15</v>
      </c>
      <c r="G185" s="49">
        <f>VLOOKUP($A185,'Data shares'!$C:$FB,42)</f>
        <v>63475</v>
      </c>
      <c r="H185" s="49">
        <f>VLOOKUP($A185,'Data shares'!$C:$FB,43)</f>
        <v>37650</v>
      </c>
      <c r="I185" s="50">
        <f>VLOOKUP($A185,'Data shares'!$C:$FB,45)*100</f>
        <v>68.589999999999989</v>
      </c>
      <c r="J185" s="49">
        <f>VLOOKUP($A185,'Data shares'!$C:$FB,58)</f>
        <v>130275</v>
      </c>
      <c r="K185" s="49">
        <f>VLOOKUP($A185,'Data shares'!$C:$FB,59)</f>
        <v>110725</v>
      </c>
      <c r="L185" s="50">
        <f>VLOOKUP($A185,'Data shares'!$C:$FB,61)*100</f>
        <v>17.66</v>
      </c>
      <c r="M185" s="49">
        <f>VLOOKUP($A185,'Data shares'!$C:$FB,62)</f>
        <v>34375</v>
      </c>
      <c r="N185" s="49">
        <f>VLOOKUP($A185,'Data shares'!$C:$FB,63)</f>
        <v>20425</v>
      </c>
      <c r="O185" s="140">
        <f>VLOOKUP($A185,'Data shares'!$C:$FB,65)*100</f>
        <v>68.300000000000011</v>
      </c>
    </row>
    <row r="186" spans="1:15" x14ac:dyDescent="0.25">
      <c r="A186" s="101" t="str">
        <f>'Data shares'!C181</f>
        <v>SHRIRAMFIN</v>
      </c>
      <c r="B186" s="50">
        <f>VLOOKUP($A186,'Data shares'!$C:$FB,7)</f>
        <v>869.45</v>
      </c>
      <c r="C186" s="50">
        <f>VLOOKUP($A186,'Data shares'!$C:$FB,10)*100</f>
        <v>0.61</v>
      </c>
      <c r="D186" s="49">
        <f>VLOOKUP($A186,'Data shares'!$C:$FB,66)</f>
        <v>76484925</v>
      </c>
      <c r="E186" s="49">
        <f>VLOOKUP($A186,'Data shares'!$C:$FB,67)</f>
        <v>120237150</v>
      </c>
      <c r="F186" s="50">
        <f>VLOOKUP($A186,'Data shares'!$C:$FB,69)*100</f>
        <v>-36.39</v>
      </c>
      <c r="G186" s="49">
        <f>VLOOKUP($A186,'Data shares'!$C:$FB,42)</f>
        <v>14737800</v>
      </c>
      <c r="H186" s="49">
        <f>VLOOKUP($A186,'Data shares'!$C:$FB,43)</f>
        <v>15138750</v>
      </c>
      <c r="I186" s="50">
        <f>VLOOKUP($A186,'Data shares'!$C:$FB,45)*100</f>
        <v>-2.65</v>
      </c>
      <c r="J186" s="49">
        <f>VLOOKUP($A186,'Data shares'!$C:$FB,58)</f>
        <v>39581850</v>
      </c>
      <c r="K186" s="49">
        <f>VLOOKUP($A186,'Data shares'!$C:$FB,59)</f>
        <v>77833800</v>
      </c>
      <c r="L186" s="50">
        <f>VLOOKUP($A186,'Data shares'!$C:$FB,61)*100</f>
        <v>-49.15</v>
      </c>
      <c r="M186" s="49">
        <f>VLOOKUP($A186,'Data shares'!$C:$FB,62)</f>
        <v>22165275</v>
      </c>
      <c r="N186" s="49">
        <f>VLOOKUP($A186,'Data shares'!$C:$FB,63)</f>
        <v>27264600</v>
      </c>
      <c r="O186" s="140">
        <f>VLOOKUP($A186,'Data shares'!$C:$FB,65)*100</f>
        <v>-18.7</v>
      </c>
    </row>
    <row r="187" spans="1:15" x14ac:dyDescent="0.25">
      <c r="A187" s="101" t="str">
        <f>'Data shares'!C182</f>
        <v>SIEMENS</v>
      </c>
      <c r="B187" s="50">
        <f>VLOOKUP($A187,'Data shares'!$C:$FB,7)</f>
        <v>3074</v>
      </c>
      <c r="C187" s="50">
        <f>VLOOKUP($A187,'Data shares'!$C:$FB,10)*100</f>
        <v>-2.11</v>
      </c>
      <c r="D187" s="49">
        <f>VLOOKUP($A187,'Data shares'!$C:$FB,66)</f>
        <v>7201000</v>
      </c>
      <c r="E187" s="49">
        <f>VLOOKUP($A187,'Data shares'!$C:$FB,67)</f>
        <v>2350250</v>
      </c>
      <c r="F187" s="50">
        <f>VLOOKUP($A187,'Data shares'!$C:$FB,69)*100</f>
        <v>206.39</v>
      </c>
      <c r="G187" s="49">
        <f>VLOOKUP($A187,'Data shares'!$C:$FB,42)</f>
        <v>601625</v>
      </c>
      <c r="H187" s="49">
        <f>VLOOKUP($A187,'Data shares'!$C:$FB,43)</f>
        <v>309625</v>
      </c>
      <c r="I187" s="50">
        <f>VLOOKUP($A187,'Data shares'!$C:$FB,45)*100</f>
        <v>94.31</v>
      </c>
      <c r="J187" s="49">
        <f>VLOOKUP($A187,'Data shares'!$C:$FB,58)</f>
        <v>4150375</v>
      </c>
      <c r="K187" s="49">
        <f>VLOOKUP($A187,'Data shares'!$C:$FB,59)</f>
        <v>1455000</v>
      </c>
      <c r="L187" s="50">
        <f>VLOOKUP($A187,'Data shares'!$C:$FB,61)*100</f>
        <v>185.25</v>
      </c>
      <c r="M187" s="49">
        <f>VLOOKUP($A187,'Data shares'!$C:$FB,62)</f>
        <v>2449000</v>
      </c>
      <c r="N187" s="49">
        <f>VLOOKUP($A187,'Data shares'!$C:$FB,63)</f>
        <v>585625</v>
      </c>
      <c r="O187" s="140">
        <f>VLOOKUP($A187,'Data shares'!$C:$FB,65)*100</f>
        <v>318.19</v>
      </c>
    </row>
    <row r="188" spans="1:15" x14ac:dyDescent="0.25">
      <c r="A188" s="101" t="str">
        <f>'Data shares'!C183</f>
        <v>SOLARINDS</v>
      </c>
      <c r="B188" s="50">
        <f>VLOOKUP($A188,'Data shares'!$C:$FB,7)</f>
        <v>11772</v>
      </c>
      <c r="C188" s="50">
        <f>VLOOKUP($A188,'Data shares'!$C:$FB,10)*100</f>
        <v>-0.36</v>
      </c>
      <c r="D188" s="49">
        <f>VLOOKUP($A188,'Data shares'!$C:$FB,66)</f>
        <v>1276875</v>
      </c>
      <c r="E188" s="49">
        <f>VLOOKUP($A188,'Data shares'!$C:$FB,67)</f>
        <v>1171275</v>
      </c>
      <c r="F188" s="50">
        <f>VLOOKUP($A188,'Data shares'!$C:$FB,69)*100</f>
        <v>9.02</v>
      </c>
      <c r="G188" s="49">
        <f>VLOOKUP($A188,'Data shares'!$C:$FB,42)</f>
        <v>176175</v>
      </c>
      <c r="H188" s="49">
        <f>VLOOKUP($A188,'Data shares'!$C:$FB,43)</f>
        <v>122400</v>
      </c>
      <c r="I188" s="50">
        <f>VLOOKUP($A188,'Data shares'!$C:$FB,45)*100</f>
        <v>43.93</v>
      </c>
      <c r="J188" s="49">
        <f>VLOOKUP($A188,'Data shares'!$C:$FB,58)</f>
        <v>695475</v>
      </c>
      <c r="K188" s="49">
        <f>VLOOKUP($A188,'Data shares'!$C:$FB,59)</f>
        <v>643575</v>
      </c>
      <c r="L188" s="50">
        <f>VLOOKUP($A188,'Data shares'!$C:$FB,61)*100</f>
        <v>8.06</v>
      </c>
      <c r="M188" s="49">
        <f>VLOOKUP($A188,'Data shares'!$C:$FB,62)</f>
        <v>405225</v>
      </c>
      <c r="N188" s="49">
        <f>VLOOKUP($A188,'Data shares'!$C:$FB,63)</f>
        <v>405300</v>
      </c>
      <c r="O188" s="140">
        <f>VLOOKUP($A188,'Data shares'!$C:$FB,65)*100</f>
        <v>-0.02</v>
      </c>
    </row>
    <row r="189" spans="1:15" x14ac:dyDescent="0.25">
      <c r="A189" s="101" t="str">
        <f>'Data shares'!C215</f>
        <v>ZYDUSLIFE</v>
      </c>
      <c r="B189" s="50">
        <f>VLOOKUP($A189,'Data shares'!$C:$FB,7)</f>
        <v>913.65</v>
      </c>
      <c r="C189" s="50">
        <f>VLOOKUP($A189,'Data shares'!$C:$FB,10)*100</f>
        <v>-0.48</v>
      </c>
      <c r="D189" s="49">
        <f>VLOOKUP($A189,'Data shares'!$C:$FB,66)</f>
        <v>3979800</v>
      </c>
      <c r="E189" s="49">
        <f>VLOOKUP($A189,'Data shares'!$C:$FB,67)</f>
        <v>3155400</v>
      </c>
      <c r="F189" s="50">
        <f>VLOOKUP($A189,'Data shares'!$C:$FB,69)*100</f>
        <v>26.13</v>
      </c>
      <c r="G189" s="49">
        <f>VLOOKUP($A189,'Data shares'!$C:$FB,42)</f>
        <v>1050300</v>
      </c>
      <c r="H189" s="49">
        <f>VLOOKUP($A189,'Data shares'!$C:$FB,43)</f>
        <v>846000</v>
      </c>
      <c r="I189" s="50">
        <f>VLOOKUP($A189,'Data shares'!$C:$FB,45)*100</f>
        <v>24.15</v>
      </c>
      <c r="J189" s="49">
        <f>VLOOKUP($A189,'Data shares'!$C:$FB,58)</f>
        <v>2094300</v>
      </c>
      <c r="K189" s="49">
        <f>VLOOKUP($A189,'Data shares'!$C:$FB,59)</f>
        <v>1771200</v>
      </c>
      <c r="L189" s="50">
        <f>VLOOKUP($A189,'Data shares'!$C:$FB,61)*100</f>
        <v>18.240000000000002</v>
      </c>
      <c r="M189" s="49">
        <f>VLOOKUP($A189,'Data shares'!$C:$FB,62)</f>
        <v>835200</v>
      </c>
      <c r="N189" s="49">
        <f>VLOOKUP($A189,'Data shares'!$C:$FB,63)</f>
        <v>538200</v>
      </c>
      <c r="O189" s="140">
        <f>VLOOKUP($A189,'Data shares'!$C:$FB,65)*100</f>
        <v>55.179999999999993</v>
      </c>
    </row>
    <row r="190" spans="1:15" x14ac:dyDescent="0.25">
      <c r="A190" s="101"/>
      <c r="B190" s="50"/>
      <c r="C190" s="50"/>
      <c r="D190" s="49"/>
      <c r="E190" s="49"/>
      <c r="F190" s="50"/>
      <c r="G190" s="49"/>
      <c r="H190" s="49"/>
      <c r="I190" s="50"/>
      <c r="J190" s="49"/>
      <c r="K190" s="49"/>
      <c r="L190" s="50"/>
      <c r="M190" s="49"/>
      <c r="N190" s="49"/>
      <c r="O190" s="140"/>
    </row>
    <row r="191" spans="1:15" x14ac:dyDescent="0.25">
      <c r="A191" s="101"/>
      <c r="B191" s="50"/>
      <c r="C191" s="50"/>
      <c r="D191" s="49"/>
      <c r="E191" s="49"/>
      <c r="F191" s="50"/>
      <c r="G191" s="49"/>
      <c r="H191" s="49"/>
      <c r="I191" s="50"/>
      <c r="J191" s="49"/>
      <c r="K191" s="49"/>
      <c r="L191" s="50"/>
      <c r="M191" s="49"/>
      <c r="N191" s="49"/>
      <c r="O191" s="140"/>
    </row>
    <row r="192" spans="1:15" x14ac:dyDescent="0.25">
      <c r="A192" s="101"/>
      <c r="B192" s="50"/>
      <c r="C192" s="50"/>
      <c r="D192" s="49"/>
      <c r="E192" s="49"/>
      <c r="F192" s="50"/>
      <c r="G192" s="49"/>
      <c r="H192" s="49"/>
      <c r="I192" s="50"/>
      <c r="J192" s="49"/>
      <c r="K192" s="49"/>
      <c r="L192" s="50"/>
      <c r="M192" s="49"/>
      <c r="N192" s="49"/>
      <c r="O192" s="140"/>
    </row>
    <row r="193" spans="1:15" x14ac:dyDescent="0.25">
      <c r="A193" s="101"/>
      <c r="B193" s="50"/>
      <c r="C193" s="50"/>
      <c r="D193" s="49"/>
      <c r="E193" s="49"/>
      <c r="F193" s="50"/>
      <c r="G193" s="49"/>
      <c r="H193" s="49"/>
      <c r="I193" s="50"/>
      <c r="J193" s="49"/>
      <c r="K193" s="49"/>
      <c r="L193" s="50"/>
      <c r="M193" s="49"/>
      <c r="N193" s="49"/>
      <c r="O193" s="140"/>
    </row>
    <row r="194" spans="1:15" x14ac:dyDescent="0.25">
      <c r="A194" s="101"/>
      <c r="B194" s="50"/>
      <c r="C194" s="50"/>
      <c r="D194" s="49"/>
      <c r="E194" s="49"/>
      <c r="F194" s="50"/>
      <c r="G194" s="49"/>
      <c r="H194" s="49"/>
      <c r="I194" s="50"/>
      <c r="J194" s="49"/>
      <c r="K194" s="49"/>
      <c r="L194" s="50"/>
      <c r="M194" s="49"/>
      <c r="N194" s="49"/>
      <c r="O194" s="140"/>
    </row>
    <row r="195" spans="1:15" x14ac:dyDescent="0.25">
      <c r="A195" s="101"/>
      <c r="B195" s="50"/>
      <c r="C195" s="50"/>
      <c r="D195" s="49"/>
      <c r="E195" s="49"/>
      <c r="F195" s="50"/>
      <c r="G195" s="49"/>
      <c r="H195" s="49"/>
      <c r="I195" s="50"/>
      <c r="J195" s="49"/>
      <c r="K195" s="49"/>
      <c r="L195" s="50"/>
      <c r="M195" s="49"/>
      <c r="N195" s="49"/>
      <c r="O195" s="140"/>
    </row>
    <row r="196" spans="1:15" x14ac:dyDescent="0.25">
      <c r="A196" s="101"/>
      <c r="B196" s="50"/>
      <c r="C196" s="50"/>
      <c r="D196" s="49"/>
      <c r="E196" s="49"/>
      <c r="F196" s="50"/>
      <c r="G196" s="49"/>
      <c r="H196" s="49"/>
      <c r="I196" s="50"/>
      <c r="J196" s="49"/>
      <c r="K196" s="49"/>
      <c r="L196" s="50"/>
      <c r="M196" s="49"/>
      <c r="N196" s="49"/>
      <c r="O196" s="140"/>
    </row>
    <row r="197" spans="1:15" x14ac:dyDescent="0.25">
      <c r="A197" s="101"/>
      <c r="B197" s="50"/>
      <c r="C197" s="50"/>
      <c r="D197" s="49"/>
      <c r="E197" s="49"/>
      <c r="F197" s="50"/>
      <c r="G197" s="49"/>
      <c r="H197" s="49"/>
      <c r="I197" s="50"/>
      <c r="J197" s="49"/>
      <c r="K197" s="49"/>
      <c r="L197" s="50"/>
      <c r="M197" s="49"/>
      <c r="N197" s="49"/>
      <c r="O197" s="140"/>
    </row>
    <row r="198" spans="1:15" x14ac:dyDescent="0.25">
      <c r="A198" s="101"/>
      <c r="B198" s="50"/>
      <c r="C198" s="50"/>
      <c r="D198" s="49"/>
      <c r="E198" s="49"/>
      <c r="F198" s="50"/>
      <c r="G198" s="49"/>
      <c r="H198" s="49"/>
      <c r="I198" s="50"/>
      <c r="J198" s="49"/>
      <c r="K198" s="49"/>
      <c r="L198" s="50"/>
      <c r="M198" s="49"/>
      <c r="N198" s="49"/>
      <c r="O198" s="140"/>
    </row>
    <row r="199" spans="1:15" x14ac:dyDescent="0.25">
      <c r="A199" s="101"/>
      <c r="B199" s="50"/>
      <c r="C199" s="50"/>
      <c r="D199" s="49"/>
      <c r="E199" s="49"/>
      <c r="F199" s="50"/>
      <c r="G199" s="49"/>
      <c r="H199" s="49"/>
      <c r="I199" s="50"/>
      <c r="J199" s="49"/>
      <c r="K199" s="49"/>
      <c r="L199" s="50"/>
      <c r="M199" s="49"/>
      <c r="N199" s="49"/>
      <c r="O199" s="140"/>
    </row>
    <row r="200" spans="1:15" x14ac:dyDescent="0.25">
      <c r="A200" s="101"/>
      <c r="B200" s="50"/>
      <c r="C200" s="50"/>
      <c r="D200" s="49"/>
      <c r="E200" s="49"/>
      <c r="F200" s="50"/>
      <c r="G200" s="49"/>
      <c r="H200" s="49"/>
      <c r="I200" s="50"/>
      <c r="J200" s="49"/>
      <c r="K200" s="49"/>
      <c r="L200" s="50"/>
      <c r="M200" s="49"/>
      <c r="N200" s="49"/>
      <c r="O200" s="140"/>
    </row>
    <row r="201" spans="1:15" x14ac:dyDescent="0.25">
      <c r="A201" s="101"/>
      <c r="B201" s="50"/>
      <c r="C201" s="50"/>
      <c r="D201" s="49"/>
      <c r="E201" s="49"/>
      <c r="F201" s="50"/>
      <c r="G201" s="49"/>
      <c r="H201" s="49"/>
      <c r="I201" s="50"/>
      <c r="J201" s="49"/>
      <c r="K201" s="49"/>
      <c r="L201" s="50"/>
      <c r="M201" s="49"/>
      <c r="N201" s="49"/>
      <c r="O201" s="140"/>
    </row>
    <row r="202" spans="1:15" x14ac:dyDescent="0.25">
      <c r="A202" s="101"/>
      <c r="B202" s="50"/>
      <c r="C202" s="50"/>
      <c r="D202" s="49"/>
      <c r="E202" s="49"/>
      <c r="F202" s="50"/>
      <c r="G202" s="49"/>
      <c r="H202" s="49"/>
      <c r="I202" s="50"/>
      <c r="J202" s="49"/>
      <c r="K202" s="49"/>
      <c r="L202" s="50"/>
      <c r="M202" s="49"/>
      <c r="N202" s="49"/>
      <c r="O202" s="140"/>
    </row>
    <row r="203" spans="1:15" x14ac:dyDescent="0.25">
      <c r="A203" s="101"/>
      <c r="B203" s="50"/>
      <c r="C203" s="50"/>
      <c r="D203" s="49"/>
      <c r="E203" s="49"/>
      <c r="F203" s="50"/>
      <c r="G203" s="49"/>
      <c r="H203" s="49"/>
      <c r="I203" s="50"/>
      <c r="J203" s="49"/>
      <c r="K203" s="49"/>
      <c r="L203" s="50"/>
      <c r="M203" s="49"/>
      <c r="N203" s="49"/>
      <c r="O203" s="140"/>
    </row>
    <row r="204" spans="1:15" x14ac:dyDescent="0.25">
      <c r="A204" s="101"/>
      <c r="B204" s="50"/>
      <c r="C204" s="50"/>
      <c r="D204" s="49"/>
      <c r="E204" s="49"/>
      <c r="F204" s="50"/>
      <c r="G204" s="49"/>
      <c r="H204" s="49"/>
      <c r="I204" s="50"/>
      <c r="J204" s="49"/>
      <c r="K204" s="49"/>
      <c r="L204" s="50"/>
      <c r="M204" s="49"/>
      <c r="N204" s="49"/>
      <c r="O204" s="140"/>
    </row>
    <row r="205" spans="1:15" x14ac:dyDescent="0.25">
      <c r="A205" s="101"/>
      <c r="B205" s="50"/>
      <c r="C205" s="50"/>
      <c r="D205" s="49"/>
      <c r="E205" s="49"/>
      <c r="F205" s="50"/>
      <c r="G205" s="49"/>
      <c r="H205" s="49"/>
      <c r="I205" s="50"/>
      <c r="J205" s="49"/>
      <c r="K205" s="49"/>
      <c r="L205" s="50"/>
      <c r="M205" s="49"/>
      <c r="N205" s="49"/>
      <c r="O205" s="140"/>
    </row>
    <row r="206" spans="1:15" x14ac:dyDescent="0.25">
      <c r="A206" s="101"/>
      <c r="B206" s="50"/>
      <c r="C206" s="50"/>
      <c r="D206" s="49"/>
      <c r="E206" s="49"/>
      <c r="F206" s="50"/>
      <c r="G206" s="49"/>
      <c r="H206" s="49"/>
      <c r="I206" s="50"/>
      <c r="J206" s="49"/>
      <c r="K206" s="49"/>
      <c r="L206" s="50"/>
      <c r="M206" s="49"/>
      <c r="N206" s="49"/>
      <c r="O206" s="140"/>
    </row>
    <row r="207" spans="1:15" x14ac:dyDescent="0.25">
      <c r="A207" s="101"/>
      <c r="B207" s="17"/>
      <c r="C207" s="17"/>
      <c r="D207" s="17"/>
      <c r="E207" s="17"/>
      <c r="F207" s="17"/>
      <c r="G207" s="17"/>
      <c r="H207" s="17"/>
      <c r="I207" s="17"/>
      <c r="J207" s="17"/>
      <c r="K207" s="17"/>
      <c r="L207" s="17"/>
      <c r="M207" s="17"/>
      <c r="N207" s="17"/>
      <c r="O207" s="17"/>
    </row>
    <row r="208" spans="1:15" x14ac:dyDescent="0.25">
      <c r="A208" s="102"/>
      <c r="B208" s="17"/>
      <c r="C208" s="17"/>
      <c r="D208" s="17"/>
      <c r="E208" s="17"/>
      <c r="F208" s="17"/>
      <c r="G208" s="17"/>
      <c r="H208" s="17"/>
      <c r="I208" s="17"/>
      <c r="J208" s="17"/>
      <c r="K208" s="17"/>
      <c r="L208" s="17"/>
      <c r="M208" s="17"/>
      <c r="N208" s="17"/>
      <c r="O208" s="17"/>
    </row>
    <row r="209" spans="1:15" x14ac:dyDescent="0.25">
      <c r="A209" s="133" t="s">
        <v>391</v>
      </c>
      <c r="B209" s="133"/>
      <c r="C209" s="133"/>
      <c r="D209" s="133">
        <f>SUM(D7:D172)</f>
        <v>16087839465</v>
      </c>
      <c r="E209" s="133">
        <f>SUM(E7:E172)</f>
        <v>12234983215</v>
      </c>
      <c r="F209" s="134">
        <f>(D209-E209)/E209</f>
        <v>0.31490490688016853</v>
      </c>
      <c r="G209" s="133">
        <f>SUM(G7:G172)</f>
        <v>2192609150</v>
      </c>
      <c r="H209" s="133">
        <f>SUM(H7:H172)</f>
        <v>1493221357</v>
      </c>
      <c r="I209" s="134">
        <f>(G209-H209)/H209</f>
        <v>0.46837516066949747</v>
      </c>
      <c r="J209" s="133">
        <f>SUM(J7:J172)</f>
        <v>9191184317</v>
      </c>
      <c r="K209" s="133">
        <f>SUM(K7:K172)</f>
        <v>6931303035</v>
      </c>
      <c r="L209" s="134">
        <f>(J209-K209)/K209</f>
        <v>0.3260398904201135</v>
      </c>
      <c r="M209" s="133">
        <f>SUM(M7:M172)</f>
        <v>4704045998</v>
      </c>
      <c r="N209" s="133">
        <f>SUM(N7:N172)</f>
        <v>3810458823</v>
      </c>
      <c r="O209" s="134">
        <f>(M209-N209)/N209</f>
        <v>0.23450907528675846</v>
      </c>
    </row>
    <row r="210" spans="1:15" x14ac:dyDescent="0.25">
      <c r="A210" s="133" t="s">
        <v>398</v>
      </c>
      <c r="B210" s="133"/>
      <c r="C210" s="133"/>
      <c r="D210" s="133">
        <f>D209/10000000</f>
        <v>1608.7839465</v>
      </c>
      <c r="E210" s="133">
        <f>E209/10000000</f>
        <v>1223.4983215</v>
      </c>
      <c r="F210" s="134">
        <f>(D210-E210)/E210</f>
        <v>0.31490490688016853</v>
      </c>
      <c r="G210" s="133">
        <f>G209/10000000</f>
        <v>219.26091500000001</v>
      </c>
      <c r="H210" s="133">
        <f>H209/10000000</f>
        <v>149.32213569999999</v>
      </c>
      <c r="I210" s="134">
        <f>(G210-H210)/H210</f>
        <v>0.46837516066949764</v>
      </c>
      <c r="J210" s="133">
        <f>J209/10000000</f>
        <v>919.11843169999997</v>
      </c>
      <c r="K210" s="133">
        <f>K209/10000000</f>
        <v>693.13030349999997</v>
      </c>
      <c r="L210" s="134">
        <f>(J210-K210)/K210</f>
        <v>0.3260398904201135</v>
      </c>
      <c r="M210" s="133">
        <f>M209/10000000</f>
        <v>470.40459980000003</v>
      </c>
      <c r="N210" s="133">
        <f>N209/10000000</f>
        <v>381.04588230000002</v>
      </c>
      <c r="O210" s="134">
        <f>(M210-N210)/N210</f>
        <v>0.23450907528675846</v>
      </c>
    </row>
    <row r="211" spans="1:15" x14ac:dyDescent="0.25">
      <c r="A211" s="17"/>
      <c r="B211" s="17"/>
      <c r="C211" s="17"/>
      <c r="D211" s="17"/>
      <c r="E211" s="17"/>
      <c r="F211" s="17"/>
      <c r="G211" s="17"/>
      <c r="H211" s="17"/>
      <c r="I211" s="17"/>
      <c r="J211" s="17"/>
      <c r="K211" s="17"/>
      <c r="L211" s="17"/>
      <c r="M211" s="17"/>
      <c r="N211" s="17"/>
      <c r="O211"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workbookViewId="0">
      <pane ySplit="6" topLeftCell="A128" activePane="bottomLeft" state="frozen"/>
      <selection pane="bottomLeft" activeCell="A149" sqref="A149"/>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46009</v>
      </c>
      <c r="C6" s="76" t="s">
        <v>322</v>
      </c>
      <c r="D6" s="76" t="s">
        <v>328</v>
      </c>
      <c r="E6" s="3">
        <f>B6</f>
        <v>46009</v>
      </c>
      <c r="F6" s="76" t="s">
        <v>322</v>
      </c>
      <c r="G6" s="76" t="s">
        <v>328</v>
      </c>
      <c r="H6" s="3">
        <f>E6</f>
        <v>46009</v>
      </c>
      <c r="I6" s="76" t="s">
        <v>333</v>
      </c>
      <c r="J6" s="3">
        <f>E6</f>
        <v>46009</v>
      </c>
      <c r="K6" s="76" t="s">
        <v>333</v>
      </c>
      <c r="L6" s="3">
        <f>E6</f>
        <v>46009</v>
      </c>
      <c r="M6" s="76" t="s">
        <v>333</v>
      </c>
      <c r="N6" s="3">
        <f>E6</f>
        <v>46009</v>
      </c>
      <c r="O6" s="76" t="s">
        <v>333</v>
      </c>
    </row>
    <row r="7" spans="1:19" x14ac:dyDescent="0.25">
      <c r="A7" s="105" t="str">
        <f>'Data shares'!C2</f>
        <v>360ONE</v>
      </c>
      <c r="B7" s="143">
        <f>VLOOKUP($A7,'Data shares'!$C:$FA,118)</f>
        <v>0.59</v>
      </c>
      <c r="C7" s="143">
        <f>VLOOKUP($A7,'Data shares'!$C:$FA,119)</f>
        <v>0.63</v>
      </c>
      <c r="D7" s="143">
        <f>VLOOKUP($A7,'Data shares'!$C:$FA,121)*100</f>
        <v>-6.35</v>
      </c>
      <c r="E7" s="143">
        <f>VLOOKUP($A7,'Data shares'!$C:$FA,124)</f>
        <v>0.2</v>
      </c>
      <c r="F7" s="143">
        <f>VLOOKUP($A7,'Data shares'!$C:$FA,125)</f>
        <v>0.61</v>
      </c>
      <c r="G7" s="143">
        <f>VLOOKUP($A7,'Data shares'!$C:$FA,127)*100</f>
        <v>-67.210000000000008</v>
      </c>
      <c r="H7" s="103">
        <f>VLOOKUP($A7,'OI(Volume)'!$A$7:$O$427,8)</f>
        <v>1796500</v>
      </c>
      <c r="I7" s="103">
        <f>VLOOKUP($A7,'OI(Volume)'!$A$7:$O$427,9)</f>
        <v>74500</v>
      </c>
      <c r="J7" s="103">
        <f>VLOOKUP($A7,'OI(Volume)'!$A$7:$O$427,11)</f>
        <v>1057000</v>
      </c>
      <c r="K7" s="103">
        <f>VLOOKUP($A7,'OI(Volume)'!$A$7:$O$427,12)</f>
        <v>-28000</v>
      </c>
      <c r="L7" s="103">
        <f>VLOOKUP($A7,'OI(Value)'!$A$7:$O$306,8,0)</f>
        <v>206</v>
      </c>
      <c r="M7" s="103">
        <f>VLOOKUP($A7,'OI(Value)'!$A$7:$O$306,9,0)</f>
        <v>9</v>
      </c>
      <c r="N7" s="103">
        <f>VLOOKUP($A7,'OI(Value)'!$A$7:$O$306,11,0)</f>
        <v>121</v>
      </c>
      <c r="O7" s="103">
        <f>VLOOKUP($A7,'OI(Value)'!$A$7:$O$306,12,0)</f>
        <v>-3</v>
      </c>
      <c r="P7" s="179">
        <f>VLOOKUP(A7,'OI(Value)'!A7:O182,8,0)</f>
        <v>206</v>
      </c>
      <c r="Q7" s="179">
        <f>VLOOKUP(A7,'OI(Value)'!A7:O182,9,0)</f>
        <v>9</v>
      </c>
      <c r="R7" s="179">
        <f>VLOOKUP(A7,'OI(Value)'!A7:O182,11,0)</f>
        <v>121</v>
      </c>
      <c r="S7" s="179">
        <f>VLOOKUP(A7,'OI(Value)'!A7:O182,12,0)</f>
        <v>-3</v>
      </c>
    </row>
    <row r="8" spans="1:19" x14ac:dyDescent="0.25">
      <c r="A8" s="105" t="str">
        <f>'Data shares'!C3</f>
        <v>ABB</v>
      </c>
      <c r="B8" s="143">
        <f>VLOOKUP($A8,'Data shares'!$C:$FA,118)</f>
        <v>0.76</v>
      </c>
      <c r="C8" s="143">
        <f>VLOOKUP($A8,'Data shares'!$C:$FA,119)</f>
        <v>0.78</v>
      </c>
      <c r="D8" s="143">
        <f>VLOOKUP($A8,'Data shares'!$C:$FA,121)*100</f>
        <v>-2.56</v>
      </c>
      <c r="E8" s="143">
        <f>VLOOKUP($A8,'Data shares'!$C:$FA,124)</f>
        <v>0.65</v>
      </c>
      <c r="F8" s="143">
        <f>VLOOKUP($A8,'Data shares'!$C:$FA,125)</f>
        <v>0.5</v>
      </c>
      <c r="G8" s="143">
        <f>VLOOKUP($A8,'Data shares'!$C:$FA,127)*100</f>
        <v>30</v>
      </c>
      <c r="H8" s="103">
        <f>VLOOKUP($A8,'OI(Volume)'!$A$7:$O$427,8)</f>
        <v>941500</v>
      </c>
      <c r="I8" s="103">
        <f>VLOOKUP($A8,'OI(Volume)'!$A$7:$O$427,9)</f>
        <v>69625</v>
      </c>
      <c r="J8" s="103">
        <f>VLOOKUP($A8,'OI(Volume)'!$A$7:$O$427,11)</f>
        <v>714625</v>
      </c>
      <c r="K8" s="103">
        <f>VLOOKUP($A8,'OI(Volume)'!$A$7:$O$427,12)</f>
        <v>38625</v>
      </c>
      <c r="L8" s="103">
        <f>VLOOKUP($A8,'OI(Value)'!$A$7:$O$306,8,0)</f>
        <v>482</v>
      </c>
      <c r="M8" s="103">
        <f>VLOOKUP($A8,'OI(Value)'!$A$7:$O$306,9,0)</f>
        <v>36</v>
      </c>
      <c r="N8" s="103">
        <f>VLOOKUP($A8,'OI(Value)'!$A$7:$O$306,11,0)</f>
        <v>366</v>
      </c>
      <c r="O8" s="103">
        <f>VLOOKUP($A8,'OI(Value)'!$A$7:$O$306,12,0)</f>
        <v>20</v>
      </c>
      <c r="P8" s="179">
        <f>VLOOKUP(A8,'OI(Value)'!A8:O209,8,0)</f>
        <v>482</v>
      </c>
      <c r="Q8" s="179">
        <f>VLOOKUP(A8,'OI(Value)'!A8:O209,9,0)</f>
        <v>36</v>
      </c>
      <c r="R8" s="179">
        <f>VLOOKUP(A8,'OI(Value)'!A8:O209,11,0)</f>
        <v>366</v>
      </c>
      <c r="S8" s="179">
        <f>VLOOKUP(A8,'OI(Value)'!A8:O209,11,0)</f>
        <v>366</v>
      </c>
    </row>
    <row r="9" spans="1:19" x14ac:dyDescent="0.25">
      <c r="A9" s="105" t="str">
        <f>'Data shares'!C4</f>
        <v>ABCAPITAL</v>
      </c>
      <c r="B9" s="143">
        <f>VLOOKUP($A9,'Data shares'!$C:$FA,118)</f>
        <v>0.62</v>
      </c>
      <c r="C9" s="143">
        <f>VLOOKUP($A9,'Data shares'!$C:$FA,119)</f>
        <v>0.65</v>
      </c>
      <c r="D9" s="143">
        <f>VLOOKUP($A9,'Data shares'!$C:$FA,121)*100</f>
        <v>-4.62</v>
      </c>
      <c r="E9" s="143">
        <f>VLOOKUP($A9,'Data shares'!$C:$FA,124)</f>
        <v>0.45</v>
      </c>
      <c r="F9" s="143">
        <f>VLOOKUP($A9,'Data shares'!$C:$FA,125)</f>
        <v>0.55000000000000004</v>
      </c>
      <c r="G9" s="143">
        <f>VLOOKUP($A9,'Data shares'!$C:$FA,127)*100</f>
        <v>-18.18</v>
      </c>
      <c r="H9" s="103">
        <f>VLOOKUP($A9,'OI(Volume)'!$A$7:$O$427,8)</f>
        <v>27782200</v>
      </c>
      <c r="I9" s="103">
        <f>VLOOKUP($A9,'OI(Volume)'!$A$7:$O$427,9)</f>
        <v>607600</v>
      </c>
      <c r="J9" s="103">
        <f>VLOOKUP($A9,'OI(Volume)'!$A$7:$O$427,11)</f>
        <v>17198800</v>
      </c>
      <c r="K9" s="103">
        <f>VLOOKUP($A9,'OI(Volume)'!$A$7:$O$427,12)</f>
        <v>-573500</v>
      </c>
      <c r="L9" s="103">
        <f>VLOOKUP($A9,'OI(Value)'!$A$7:$O$306,8,0)</f>
        <v>960</v>
      </c>
      <c r="M9" s="103">
        <f>VLOOKUP($A9,'OI(Value)'!$A$7:$O$306,9,0)</f>
        <v>21</v>
      </c>
      <c r="N9" s="103">
        <f>VLOOKUP($A9,'OI(Value)'!$A$7:$O$306,11,0)</f>
        <v>594</v>
      </c>
      <c r="O9" s="103">
        <f>VLOOKUP($A9,'OI(Value)'!$A$7:$O$306,12,0)</f>
        <v>-20</v>
      </c>
      <c r="P9" s="179">
        <f>VLOOKUP(A9,'OI(Value)'!A9:O210,8,0)</f>
        <v>960</v>
      </c>
      <c r="Q9" s="179">
        <f>VLOOKUP(A9,'OI(Value)'!A9:O210,9,0)</f>
        <v>21</v>
      </c>
      <c r="R9" s="179">
        <f>VLOOKUP(A9,'OI(Value)'!A9:O210,11,0)</f>
        <v>594</v>
      </c>
      <c r="S9" s="179">
        <f>VLOOKUP(A9,'OI(Value)'!A9:O210,11,0)</f>
        <v>594</v>
      </c>
    </row>
    <row r="10" spans="1:19" x14ac:dyDescent="0.25">
      <c r="A10" s="105" t="str">
        <f>'Data shares'!C5</f>
        <v>ADANIENSOL</v>
      </c>
      <c r="B10" s="143">
        <f>VLOOKUP($A10,'Data shares'!$C:$FA,118)</f>
        <v>0.54</v>
      </c>
      <c r="C10" s="143">
        <f>VLOOKUP($A10,'Data shares'!$C:$FA,119)</f>
        <v>0.56000000000000005</v>
      </c>
      <c r="D10" s="143">
        <f>VLOOKUP($A10,'Data shares'!$C:$FA,121)*100</f>
        <v>-3.5700000000000003</v>
      </c>
      <c r="E10" s="143">
        <f>VLOOKUP($A10,'Data shares'!$C:$FA,124)</f>
        <v>0.35</v>
      </c>
      <c r="F10" s="143">
        <f>VLOOKUP($A10,'Data shares'!$C:$FA,125)</f>
        <v>0.6</v>
      </c>
      <c r="G10" s="143">
        <f>VLOOKUP($A10,'Data shares'!$C:$FA,127)*100</f>
        <v>-41.67</v>
      </c>
      <c r="H10" s="103">
        <f>VLOOKUP($A10,'OI(Volume)'!$A$7:$O$427,8)</f>
        <v>4177575</v>
      </c>
      <c r="I10" s="103">
        <f>VLOOKUP($A10,'OI(Volume)'!$A$7:$O$427,9)</f>
        <v>120825</v>
      </c>
      <c r="J10" s="103">
        <f>VLOOKUP($A10,'OI(Volume)'!$A$7:$O$427,11)</f>
        <v>2244375</v>
      </c>
      <c r="K10" s="103">
        <f>VLOOKUP($A10,'OI(Volume)'!$A$7:$O$427,12)</f>
        <v>-43875</v>
      </c>
      <c r="L10" s="103">
        <f>VLOOKUP($A10,'OI(Value)'!$A$7:$O$306,8,0)</f>
        <v>408</v>
      </c>
      <c r="M10" s="103">
        <f>VLOOKUP($A10,'OI(Value)'!$A$7:$O$306,9,0)</f>
        <v>12</v>
      </c>
      <c r="N10" s="103">
        <f>VLOOKUP($A10,'OI(Value)'!$A$7:$O$306,11,0)</f>
        <v>219</v>
      </c>
      <c r="O10" s="103">
        <f>VLOOKUP($A10,'OI(Value)'!$A$7:$O$306,12,0)</f>
        <v>-4</v>
      </c>
      <c r="P10" s="179">
        <f>VLOOKUP(A10,'OI(Value)'!A10:O211,8,0)</f>
        <v>408</v>
      </c>
      <c r="Q10" s="179">
        <f>VLOOKUP(A10,'OI(Value)'!A10:O211,9,0)</f>
        <v>12</v>
      </c>
      <c r="R10" s="179">
        <f>VLOOKUP(A10,'OI(Value)'!A10:O211,11,0)</f>
        <v>219</v>
      </c>
      <c r="S10" s="179">
        <f>VLOOKUP(A10,'OI(Value)'!A10:O211,11,0)</f>
        <v>219</v>
      </c>
    </row>
    <row r="11" spans="1:19" x14ac:dyDescent="0.25">
      <c r="A11" s="105" t="str">
        <f>'Data shares'!C6</f>
        <v>ADANIENT</v>
      </c>
      <c r="B11" s="143">
        <f>VLOOKUP($A11,'Data shares'!$C:$FA,118)</f>
        <v>0.62</v>
      </c>
      <c r="C11" s="143">
        <f>VLOOKUP($A11,'Data shares'!$C:$FA,119)</f>
        <v>0.61</v>
      </c>
      <c r="D11" s="143">
        <f>VLOOKUP($A11,'Data shares'!$C:$FA,121)*100</f>
        <v>1.6400000000000001</v>
      </c>
      <c r="E11" s="143">
        <f>VLOOKUP($A11,'Data shares'!$C:$FA,124)</f>
        <v>0.33</v>
      </c>
      <c r="F11" s="143">
        <f>VLOOKUP($A11,'Data shares'!$C:$FA,125)</f>
        <v>0.47</v>
      </c>
      <c r="G11" s="143">
        <f>VLOOKUP($A11,'Data shares'!$C:$FA,127)*100</f>
        <v>-29.79</v>
      </c>
      <c r="H11" s="103">
        <f>VLOOKUP($A11,'OI(Volume)'!$A$7:$O$427,8)</f>
        <v>14251698</v>
      </c>
      <c r="I11" s="103">
        <f>VLOOKUP($A11,'OI(Volume)'!$A$7:$O$427,9)</f>
        <v>-123600</v>
      </c>
      <c r="J11" s="103">
        <f>VLOOKUP($A11,'OI(Volume)'!$A$7:$O$427,11)</f>
        <v>8785488</v>
      </c>
      <c r="K11" s="103">
        <f>VLOOKUP($A11,'OI(Volume)'!$A$7:$O$427,12)</f>
        <v>27501</v>
      </c>
      <c r="L11" s="103">
        <f>VLOOKUP($A11,'OI(Value)'!$A$7:$O$306,8,0)</f>
        <v>3187</v>
      </c>
      <c r="M11" s="103">
        <f>VLOOKUP($A11,'OI(Value)'!$A$7:$O$306,9,0)</f>
        <v>-28</v>
      </c>
      <c r="N11" s="103">
        <f>VLOOKUP($A11,'OI(Value)'!$A$7:$O$306,11,0)</f>
        <v>1965</v>
      </c>
      <c r="O11" s="103">
        <f>VLOOKUP($A11,'OI(Value)'!$A$7:$O$306,12,0)</f>
        <v>6</v>
      </c>
      <c r="P11" s="179">
        <f>VLOOKUP(A11,'OI(Value)'!A11:O212,8,0)</f>
        <v>3187</v>
      </c>
      <c r="Q11" s="179">
        <f>VLOOKUP(A11,'OI(Value)'!A11:O212,9,0)</f>
        <v>-28</v>
      </c>
      <c r="R11" s="179">
        <f>VLOOKUP(A11,'OI(Value)'!A11:O212,11,0)</f>
        <v>1965</v>
      </c>
      <c r="S11" s="179">
        <f>VLOOKUP(A11,'OI(Value)'!A11:O212,11,0)</f>
        <v>1965</v>
      </c>
    </row>
    <row r="12" spans="1:19" x14ac:dyDescent="0.25">
      <c r="A12" s="105" t="str">
        <f>'Data shares'!C7</f>
        <v>ADANIGREEN</v>
      </c>
      <c r="B12" s="143">
        <f>VLOOKUP($A12,'Data shares'!$C:$FA,118)</f>
        <v>0.54</v>
      </c>
      <c r="C12" s="143">
        <f>VLOOKUP($A12,'Data shares'!$C:$FA,119)</f>
        <v>0.54</v>
      </c>
      <c r="D12" s="143">
        <f>VLOOKUP($A12,'Data shares'!$C:$FA,121)*100</f>
        <v>0</v>
      </c>
      <c r="E12" s="143">
        <f>VLOOKUP($A12,'Data shares'!$C:$FA,124)</f>
        <v>0.45</v>
      </c>
      <c r="F12" s="143">
        <f>VLOOKUP($A12,'Data shares'!$C:$FA,125)</f>
        <v>0.53</v>
      </c>
      <c r="G12" s="143">
        <f>VLOOKUP($A12,'Data shares'!$C:$FA,127)*100</f>
        <v>-15.09</v>
      </c>
      <c r="H12" s="103">
        <f>VLOOKUP($A12,'OI(Volume)'!$A$7:$O$427,8)</f>
        <v>12261000</v>
      </c>
      <c r="I12" s="103">
        <f>VLOOKUP($A12,'OI(Volume)'!$A$7:$O$427,9)</f>
        <v>-438600</v>
      </c>
      <c r="J12" s="103">
        <f>VLOOKUP($A12,'OI(Volume)'!$A$7:$O$427,11)</f>
        <v>6606600</v>
      </c>
      <c r="K12" s="103">
        <f>VLOOKUP($A12,'OI(Volume)'!$A$7:$O$427,12)</f>
        <v>-201600</v>
      </c>
      <c r="L12" s="103">
        <f>VLOOKUP($A12,'OI(Value)'!$A$7:$O$306,8,0)</f>
        <v>1243</v>
      </c>
      <c r="M12" s="103">
        <f>VLOOKUP($A12,'OI(Value)'!$A$7:$O$306,9,0)</f>
        <v>-44</v>
      </c>
      <c r="N12" s="103">
        <f>VLOOKUP($A12,'OI(Value)'!$A$7:$O$306,11,0)</f>
        <v>670</v>
      </c>
      <c r="O12" s="103">
        <f>VLOOKUP($A12,'OI(Value)'!$A$7:$O$306,12,0)</f>
        <v>-20</v>
      </c>
      <c r="P12" s="179">
        <f>VLOOKUP(A12,'OI(Value)'!A12:O213,8,0)</f>
        <v>1243</v>
      </c>
      <c r="Q12" s="179">
        <f>VLOOKUP(A12,'OI(Value)'!A12:O213,9,0)</f>
        <v>-44</v>
      </c>
      <c r="R12" s="179">
        <f>VLOOKUP(A12,'OI(Value)'!A12:O213,11,0)</f>
        <v>670</v>
      </c>
      <c r="S12" s="179">
        <f>VLOOKUP(A12,'OI(Value)'!A12:O213,11,0)</f>
        <v>670</v>
      </c>
    </row>
    <row r="13" spans="1:19" x14ac:dyDescent="0.25">
      <c r="A13" s="105" t="str">
        <f>'Data shares'!C8</f>
        <v>ADANIPORTS</v>
      </c>
      <c r="B13" s="143">
        <f>VLOOKUP($A13,'Data shares'!$C:$FA,118)</f>
        <v>0.5</v>
      </c>
      <c r="C13" s="143">
        <f>VLOOKUP($A13,'Data shares'!$C:$FA,119)</f>
        <v>0.49</v>
      </c>
      <c r="D13" s="143">
        <f>VLOOKUP($A13,'Data shares'!$C:$FA,121)*100</f>
        <v>2.04</v>
      </c>
      <c r="E13" s="143">
        <f>VLOOKUP($A13,'Data shares'!$C:$FA,124)</f>
        <v>0.38</v>
      </c>
      <c r="F13" s="143">
        <f>VLOOKUP($A13,'Data shares'!$C:$FA,125)</f>
        <v>0.45</v>
      </c>
      <c r="G13" s="143">
        <f>VLOOKUP($A13,'Data shares'!$C:$FA,127)*100</f>
        <v>-15.559999999999999</v>
      </c>
      <c r="H13" s="103">
        <f>VLOOKUP($A13,'OI(Volume)'!$A$7:$O$427,8)</f>
        <v>9401675</v>
      </c>
      <c r="I13" s="103">
        <f>VLOOKUP($A13,'OI(Volume)'!$A$7:$O$427,9)</f>
        <v>-9025</v>
      </c>
      <c r="J13" s="103">
        <f>VLOOKUP($A13,'OI(Volume)'!$A$7:$O$427,11)</f>
        <v>4745725</v>
      </c>
      <c r="K13" s="103">
        <f>VLOOKUP($A13,'OI(Volume)'!$A$7:$O$427,12)</f>
        <v>134425</v>
      </c>
      <c r="L13" s="103">
        <f>VLOOKUP($A13,'OI(Value)'!$A$7:$O$306,8,0)</f>
        <v>1410</v>
      </c>
      <c r="M13" s="103">
        <f>VLOOKUP($A13,'OI(Value)'!$A$7:$O$306,9,0)</f>
        <v>-1</v>
      </c>
      <c r="N13" s="103">
        <f>VLOOKUP($A13,'OI(Value)'!$A$7:$O$306,11,0)</f>
        <v>712</v>
      </c>
      <c r="O13" s="103">
        <f>VLOOKUP($A13,'OI(Value)'!$A$7:$O$306,12,0)</f>
        <v>20</v>
      </c>
      <c r="P13" s="179">
        <f>VLOOKUP(A13,'OI(Value)'!A13:O214,8,0)</f>
        <v>1410</v>
      </c>
      <c r="Q13" s="179">
        <f>VLOOKUP(A13,'OI(Value)'!A13:O214,9,0)</f>
        <v>-1</v>
      </c>
      <c r="R13" s="179">
        <f>VLOOKUP(A13,'OI(Value)'!A13:O214,11,0)</f>
        <v>712</v>
      </c>
      <c r="S13" s="179">
        <f>VLOOKUP(A13,'OI(Value)'!A13:O214,11,0)</f>
        <v>712</v>
      </c>
    </row>
    <row r="14" spans="1:19" x14ac:dyDescent="0.25">
      <c r="A14" s="105" t="str">
        <f>'Data shares'!C9</f>
        <v>ALKEM</v>
      </c>
      <c r="B14" s="143">
        <f>VLOOKUP($A14,'Data shares'!$C:$FA,118)</f>
        <v>0.61</v>
      </c>
      <c r="C14" s="143">
        <f>VLOOKUP($A14,'Data shares'!$C:$FA,119)</f>
        <v>0.65</v>
      </c>
      <c r="D14" s="143">
        <f>VLOOKUP($A14,'Data shares'!$C:$FA,121)*100</f>
        <v>-6.15</v>
      </c>
      <c r="E14" s="143">
        <f>VLOOKUP($A14,'Data shares'!$C:$FA,124)</f>
        <v>0.91</v>
      </c>
      <c r="F14" s="143">
        <f>VLOOKUP($A14,'Data shares'!$C:$FA,125)</f>
        <v>0.42</v>
      </c>
      <c r="G14" s="143">
        <f>VLOOKUP($A14,'Data shares'!$C:$FA,127)*100</f>
        <v>116.67</v>
      </c>
      <c r="H14" s="103">
        <f>VLOOKUP($A14,'OI(Volume)'!$A$7:$O$427,8)</f>
        <v>272500</v>
      </c>
      <c r="I14" s="103">
        <f>VLOOKUP($A14,'OI(Volume)'!$A$7:$O$427,9)</f>
        <v>19875</v>
      </c>
      <c r="J14" s="103">
        <f>VLOOKUP($A14,'OI(Volume)'!$A$7:$O$427,11)</f>
        <v>167250</v>
      </c>
      <c r="K14" s="103">
        <f>VLOOKUP($A14,'OI(Volume)'!$A$7:$O$427,12)</f>
        <v>3875</v>
      </c>
      <c r="L14" s="103">
        <f>VLOOKUP($A14,'OI(Value)'!$A$7:$O$306,8,0)</f>
        <v>151</v>
      </c>
      <c r="M14" s="103">
        <f>VLOOKUP($A14,'OI(Value)'!$A$7:$O$306,9,0)</f>
        <v>11</v>
      </c>
      <c r="N14" s="103">
        <f>VLOOKUP($A14,'OI(Value)'!$A$7:$O$306,11,0)</f>
        <v>93</v>
      </c>
      <c r="O14" s="103">
        <f>VLOOKUP($A14,'OI(Value)'!$A$7:$O$306,12,0)</f>
        <v>2</v>
      </c>
      <c r="P14" s="179">
        <f>VLOOKUP(A14,'OI(Value)'!A14:O215,8,0)</f>
        <v>151</v>
      </c>
      <c r="Q14" s="179">
        <f>VLOOKUP(A14,'OI(Value)'!A14:O215,9,0)</f>
        <v>11</v>
      </c>
      <c r="R14" s="179">
        <f>VLOOKUP(A14,'OI(Value)'!A14:O215,11,0)</f>
        <v>93</v>
      </c>
      <c r="S14" s="179">
        <f>VLOOKUP(A14,'OI(Value)'!A14:O215,11,0)</f>
        <v>93</v>
      </c>
    </row>
    <row r="15" spans="1:19" x14ac:dyDescent="0.25">
      <c r="A15" s="105" t="str">
        <f>'Data shares'!C10</f>
        <v>AMBER</v>
      </c>
      <c r="B15" s="143">
        <f>VLOOKUP($A15,'Data shares'!$C:$FA,118)</f>
        <v>0.69</v>
      </c>
      <c r="C15" s="143">
        <f>VLOOKUP($A15,'Data shares'!$C:$FA,119)</f>
        <v>0.66</v>
      </c>
      <c r="D15" s="143">
        <f>VLOOKUP($A15,'Data shares'!$C:$FA,121)*100</f>
        <v>4.55</v>
      </c>
      <c r="E15" s="143">
        <f>VLOOKUP($A15,'Data shares'!$C:$FA,124)</f>
        <v>0.71</v>
      </c>
      <c r="F15" s="143">
        <f>VLOOKUP($A15,'Data shares'!$C:$FA,125)</f>
        <v>0.8</v>
      </c>
      <c r="G15" s="143">
        <f>VLOOKUP($A15,'Data shares'!$C:$FA,127)*100</f>
        <v>-11.25</v>
      </c>
      <c r="H15" s="103">
        <f>VLOOKUP($A15,'OI(Volume)'!$A$7:$O$427,8)</f>
        <v>1169100</v>
      </c>
      <c r="I15" s="103">
        <f>VLOOKUP($A15,'OI(Volume)'!$A$7:$O$427,9)</f>
        <v>-9000</v>
      </c>
      <c r="J15" s="103">
        <f>VLOOKUP($A15,'OI(Volume)'!$A$7:$O$427,11)</f>
        <v>801200</v>
      </c>
      <c r="K15" s="103">
        <f>VLOOKUP($A15,'OI(Volume)'!$A$7:$O$427,12)</f>
        <v>19700</v>
      </c>
      <c r="L15" s="103">
        <f>VLOOKUP($A15,'OI(Value)'!$A$7:$O$306,8,0)</f>
        <v>771</v>
      </c>
      <c r="M15" s="103">
        <f>VLOOKUP($A15,'OI(Value)'!$A$7:$O$306,9,0)</f>
        <v>-6</v>
      </c>
      <c r="N15" s="103">
        <f>VLOOKUP($A15,'OI(Value)'!$A$7:$O$306,11,0)</f>
        <v>528</v>
      </c>
      <c r="O15" s="103">
        <f>VLOOKUP($A15,'OI(Value)'!$A$7:$O$306,12,0)</f>
        <v>13</v>
      </c>
      <c r="P15" s="179">
        <f>VLOOKUP(A15,'OI(Value)'!A15:O216,8,0)</f>
        <v>771</v>
      </c>
      <c r="Q15" s="179">
        <f>VLOOKUP(A15,'OI(Value)'!A15:O216,9,0)</f>
        <v>-6</v>
      </c>
      <c r="R15" s="179">
        <f>VLOOKUP(A15,'OI(Value)'!A15:O216,11,0)</f>
        <v>528</v>
      </c>
      <c r="S15" s="179">
        <f>VLOOKUP(A15,'OI(Value)'!A15:O216,11,0)</f>
        <v>528</v>
      </c>
    </row>
    <row r="16" spans="1:19" x14ac:dyDescent="0.25">
      <c r="A16" s="105" t="str">
        <f>'Data shares'!C11</f>
        <v>AMBUJACEM</v>
      </c>
      <c r="B16" s="143">
        <f>VLOOKUP($A16,'Data shares'!$C:$FA,118)</f>
        <v>0.76</v>
      </c>
      <c r="C16" s="143">
        <f>VLOOKUP($A16,'Data shares'!$C:$FA,119)</f>
        <v>0.81</v>
      </c>
      <c r="D16" s="143">
        <f>VLOOKUP($A16,'Data shares'!$C:$FA,121)*100</f>
        <v>-6.17</v>
      </c>
      <c r="E16" s="143">
        <f>VLOOKUP($A16,'Data shares'!$C:$FA,124)</f>
        <v>0.42</v>
      </c>
      <c r="F16" s="143">
        <f>VLOOKUP($A16,'Data shares'!$C:$FA,125)</f>
        <v>0.45</v>
      </c>
      <c r="G16" s="143">
        <f>VLOOKUP($A16,'Data shares'!$C:$FA,127)*100</f>
        <v>-6.67</v>
      </c>
      <c r="H16" s="103">
        <f>VLOOKUP($A16,'OI(Volume)'!$A$7:$O$427,8)</f>
        <v>12600000</v>
      </c>
      <c r="I16" s="103">
        <f>VLOOKUP($A16,'OI(Volume)'!$A$7:$O$427,9)</f>
        <v>735000</v>
      </c>
      <c r="J16" s="103">
        <f>VLOOKUP($A16,'OI(Volume)'!$A$7:$O$427,11)</f>
        <v>9578100</v>
      </c>
      <c r="K16" s="103">
        <f>VLOOKUP($A16,'OI(Volume)'!$A$7:$O$427,12)</f>
        <v>-63000</v>
      </c>
      <c r="L16" s="103">
        <f>VLOOKUP($A16,'OI(Value)'!$A$7:$O$306,8,0)</f>
        <v>677</v>
      </c>
      <c r="M16" s="103">
        <f>VLOOKUP($A16,'OI(Value)'!$A$7:$O$306,9,0)</f>
        <v>40</v>
      </c>
      <c r="N16" s="103">
        <f>VLOOKUP($A16,'OI(Value)'!$A$7:$O$306,11,0)</f>
        <v>515</v>
      </c>
      <c r="O16" s="103">
        <f>VLOOKUP($A16,'OI(Value)'!$A$7:$O$306,12,0)</f>
        <v>-3</v>
      </c>
      <c r="P16" s="179">
        <f>VLOOKUP(A16,'OI(Value)'!A16:O217,8,0)</f>
        <v>677</v>
      </c>
      <c r="Q16" s="179">
        <f>VLOOKUP(A16,'OI(Value)'!A16:O217,9,0)</f>
        <v>40</v>
      </c>
      <c r="R16" s="179">
        <f>VLOOKUP(A16,'OI(Value)'!A16:O217,11,0)</f>
        <v>515</v>
      </c>
      <c r="S16" s="179">
        <f>VLOOKUP(A16,'OI(Value)'!A16:O217,11,0)</f>
        <v>515</v>
      </c>
    </row>
    <row r="17" spans="1:19" x14ac:dyDescent="0.25">
      <c r="A17" s="105" t="str">
        <f>'Data shares'!C12</f>
        <v>ANGELONE</v>
      </c>
      <c r="B17" s="143">
        <f>VLOOKUP($A17,'Data shares'!$C:$FA,118)</f>
        <v>0.39</v>
      </c>
      <c r="C17" s="143">
        <f>VLOOKUP($A17,'Data shares'!$C:$FA,119)</f>
        <v>0.41</v>
      </c>
      <c r="D17" s="143">
        <f>VLOOKUP($A17,'Data shares'!$C:$FA,121)*100</f>
        <v>-4.88</v>
      </c>
      <c r="E17" s="143">
        <f>VLOOKUP($A17,'Data shares'!$C:$FA,124)</f>
        <v>0.34</v>
      </c>
      <c r="F17" s="143">
        <f>VLOOKUP($A17,'Data shares'!$C:$FA,125)</f>
        <v>0.4</v>
      </c>
      <c r="G17" s="143">
        <f>VLOOKUP($A17,'Data shares'!$C:$FA,127)*100</f>
        <v>-15</v>
      </c>
      <c r="H17" s="103">
        <f>VLOOKUP($A17,'OI(Volume)'!$A$7:$O$427,8)</f>
        <v>5492500</v>
      </c>
      <c r="I17" s="103">
        <f>VLOOKUP($A17,'OI(Volume)'!$A$7:$O$427,9)</f>
        <v>352500</v>
      </c>
      <c r="J17" s="103">
        <f>VLOOKUP($A17,'OI(Volume)'!$A$7:$O$427,11)</f>
        <v>2156000</v>
      </c>
      <c r="K17" s="103">
        <f>VLOOKUP($A17,'OI(Volume)'!$A$7:$O$427,12)</f>
        <v>60500</v>
      </c>
      <c r="L17" s="103">
        <f>VLOOKUP($A17,'OI(Value)'!$A$7:$O$306,8,0)</f>
        <v>1360</v>
      </c>
      <c r="M17" s="103">
        <f>VLOOKUP($A17,'OI(Value)'!$A$7:$O$306,9,0)</f>
        <v>87</v>
      </c>
      <c r="N17" s="103">
        <f>VLOOKUP($A17,'OI(Value)'!$A$7:$O$306,11,0)</f>
        <v>534</v>
      </c>
      <c r="O17" s="103">
        <f>VLOOKUP($A17,'OI(Value)'!$A$7:$O$306,12,0)</f>
        <v>15</v>
      </c>
      <c r="P17" s="179">
        <f>VLOOKUP(A17,'OI(Value)'!A17:O218,8,0)</f>
        <v>1360</v>
      </c>
      <c r="Q17" s="179">
        <f>VLOOKUP(A17,'OI(Value)'!A17:O218,9,0)</f>
        <v>87</v>
      </c>
      <c r="R17" s="179">
        <f>VLOOKUP(A17,'OI(Value)'!A17:O218,11,0)</f>
        <v>534</v>
      </c>
      <c r="S17" s="179">
        <f>VLOOKUP(A17,'OI(Value)'!A17:O218,11,0)</f>
        <v>534</v>
      </c>
    </row>
    <row r="18" spans="1:19" x14ac:dyDescent="0.25">
      <c r="A18" s="105" t="str">
        <f>'Data shares'!C13</f>
        <v>APLAPOLLO</v>
      </c>
      <c r="B18" s="143">
        <f>VLOOKUP($A18,'Data shares'!$C:$FA,118)</f>
        <v>0.84</v>
      </c>
      <c r="C18" s="143">
        <f>VLOOKUP($A18,'Data shares'!$C:$FA,119)</f>
        <v>0.75</v>
      </c>
      <c r="D18" s="143">
        <f>VLOOKUP($A18,'Data shares'!$C:$FA,121)*100</f>
        <v>12</v>
      </c>
      <c r="E18" s="143">
        <f>VLOOKUP($A18,'Data shares'!$C:$FA,124)</f>
        <v>0.39</v>
      </c>
      <c r="F18" s="143">
        <f>VLOOKUP($A18,'Data shares'!$C:$FA,125)</f>
        <v>0.32</v>
      </c>
      <c r="G18" s="143">
        <f>VLOOKUP($A18,'Data shares'!$C:$FA,127)*100</f>
        <v>21.88</v>
      </c>
      <c r="H18" s="103">
        <f>VLOOKUP($A18,'OI(Volume)'!$A$7:$O$427,8)</f>
        <v>1015350</v>
      </c>
      <c r="I18" s="103">
        <f>VLOOKUP($A18,'OI(Volume)'!$A$7:$O$427,9)</f>
        <v>-127400</v>
      </c>
      <c r="J18" s="103">
        <f>VLOOKUP($A18,'OI(Volume)'!$A$7:$O$427,11)</f>
        <v>849800</v>
      </c>
      <c r="K18" s="103">
        <f>VLOOKUP($A18,'OI(Volume)'!$A$7:$O$427,12)</f>
        <v>-12250</v>
      </c>
      <c r="L18" s="103">
        <f>VLOOKUP($A18,'OI(Value)'!$A$7:$O$306,8,0)</f>
        <v>183</v>
      </c>
      <c r="M18" s="103">
        <f>VLOOKUP($A18,'OI(Value)'!$A$7:$O$306,9,0)</f>
        <v>-23</v>
      </c>
      <c r="N18" s="103">
        <f>VLOOKUP($A18,'OI(Value)'!$A$7:$O$306,11,0)</f>
        <v>153</v>
      </c>
      <c r="O18" s="103">
        <f>VLOOKUP($A18,'OI(Value)'!$A$7:$O$306,12,0)</f>
        <v>-2</v>
      </c>
      <c r="P18" s="179">
        <f>VLOOKUP(A18,'OI(Value)'!A18:O219,8,0)</f>
        <v>183</v>
      </c>
      <c r="Q18" s="179">
        <f>VLOOKUP(A18,'OI(Value)'!A18:O219,9,0)</f>
        <v>-23</v>
      </c>
      <c r="R18" s="179">
        <f>VLOOKUP(A18,'OI(Value)'!A18:O219,11,0)</f>
        <v>153</v>
      </c>
      <c r="S18" s="179">
        <f>VLOOKUP(A18,'OI(Value)'!A18:O219,11,0)</f>
        <v>153</v>
      </c>
    </row>
    <row r="19" spans="1:19" x14ac:dyDescent="0.25">
      <c r="A19" s="105" t="str">
        <f>'Data shares'!C14</f>
        <v>APOLLOHOSP</v>
      </c>
      <c r="B19" s="143">
        <f>VLOOKUP($A19,'Data shares'!$C:$FA,118)</f>
        <v>0.48</v>
      </c>
      <c r="C19" s="143">
        <f>VLOOKUP($A19,'Data shares'!$C:$FA,119)</f>
        <v>0.47</v>
      </c>
      <c r="D19" s="143">
        <f>VLOOKUP($A19,'Data shares'!$C:$FA,121)*100</f>
        <v>2.13</v>
      </c>
      <c r="E19" s="143">
        <f>VLOOKUP($A19,'Data shares'!$C:$FA,124)</f>
        <v>0.41</v>
      </c>
      <c r="F19" s="143">
        <f>VLOOKUP($A19,'Data shares'!$C:$FA,125)</f>
        <v>0.54</v>
      </c>
      <c r="G19" s="143">
        <f>VLOOKUP($A19,'Data shares'!$C:$FA,127)*100</f>
        <v>-24.07</v>
      </c>
      <c r="H19" s="103">
        <f>VLOOKUP($A19,'OI(Volume)'!$A$7:$O$427,8)</f>
        <v>2403000</v>
      </c>
      <c r="I19" s="103">
        <f>VLOOKUP($A19,'OI(Volume)'!$A$7:$O$427,9)</f>
        <v>-11750</v>
      </c>
      <c r="J19" s="103">
        <f>VLOOKUP($A19,'OI(Volume)'!$A$7:$O$427,11)</f>
        <v>1152750</v>
      </c>
      <c r="K19" s="103">
        <f>VLOOKUP($A19,'OI(Volume)'!$A$7:$O$427,12)</f>
        <v>20625</v>
      </c>
      <c r="L19" s="103">
        <f>VLOOKUP($A19,'OI(Value)'!$A$7:$O$306,8,0)</f>
        <v>1666</v>
      </c>
      <c r="M19" s="103">
        <f>VLOOKUP($A19,'OI(Value)'!$A$7:$O$306,9,0)</f>
        <v>-8</v>
      </c>
      <c r="N19" s="103">
        <f>VLOOKUP($A19,'OI(Value)'!$A$7:$O$306,11,0)</f>
        <v>799</v>
      </c>
      <c r="O19" s="103">
        <f>VLOOKUP($A19,'OI(Value)'!$A$7:$O$306,12,0)</f>
        <v>14</v>
      </c>
      <c r="P19" s="179">
        <f>VLOOKUP(A19,'OI(Value)'!A19:O220,8,0)</f>
        <v>1666</v>
      </c>
      <c r="Q19" s="179">
        <f>VLOOKUP(A19,'OI(Value)'!A19:O220,9,0)</f>
        <v>-8</v>
      </c>
      <c r="R19" s="179">
        <f>VLOOKUP(A19,'OI(Value)'!A19:O220,11,0)</f>
        <v>799</v>
      </c>
      <c r="S19" s="179">
        <f>VLOOKUP(A19,'OI(Value)'!A19:O220,11,0)</f>
        <v>799</v>
      </c>
    </row>
    <row r="20" spans="1:19" x14ac:dyDescent="0.25">
      <c r="A20" s="105" t="str">
        <f>'Data shares'!C15</f>
        <v>ASHOKLEY</v>
      </c>
      <c r="B20" s="143">
        <f>VLOOKUP($A20,'Data shares'!$C:$FA,118)</f>
        <v>1</v>
      </c>
      <c r="C20" s="143">
        <f>VLOOKUP($A20,'Data shares'!$C:$FA,119)</f>
        <v>0.98</v>
      </c>
      <c r="D20" s="143">
        <f>VLOOKUP($A20,'Data shares'!$C:$FA,121)*100</f>
        <v>2.04</v>
      </c>
      <c r="E20" s="143">
        <f>VLOOKUP($A20,'Data shares'!$C:$FA,124)</f>
        <v>0.48</v>
      </c>
      <c r="F20" s="143">
        <f>VLOOKUP($A20,'Data shares'!$C:$FA,125)</f>
        <v>0.66</v>
      </c>
      <c r="G20" s="143">
        <f>VLOOKUP($A20,'Data shares'!$C:$FA,127)*100</f>
        <v>-27.27</v>
      </c>
      <c r="H20" s="103">
        <f>VLOOKUP($A20,'OI(Volume)'!$A$7:$O$427,8)</f>
        <v>73490000</v>
      </c>
      <c r="I20" s="103">
        <f>VLOOKUP($A20,'OI(Volume)'!$A$7:$O$427,9)</f>
        <v>5665000</v>
      </c>
      <c r="J20" s="103">
        <f>VLOOKUP($A20,'OI(Volume)'!$A$7:$O$427,11)</f>
        <v>73420000</v>
      </c>
      <c r="K20" s="103">
        <f>VLOOKUP($A20,'OI(Volume)'!$A$7:$O$427,12)</f>
        <v>7245000</v>
      </c>
      <c r="L20" s="103">
        <f>VLOOKUP($A20,'OI(Value)'!$A$7:$O$306,8,0)</f>
        <v>1250</v>
      </c>
      <c r="M20" s="103">
        <f>VLOOKUP($A20,'OI(Value)'!$A$7:$O$306,9,0)</f>
        <v>96</v>
      </c>
      <c r="N20" s="103">
        <f>VLOOKUP($A20,'OI(Value)'!$A$7:$O$306,11,0)</f>
        <v>1249</v>
      </c>
      <c r="O20" s="103">
        <f>VLOOKUP($A20,'OI(Value)'!$A$7:$O$306,12,0)</f>
        <v>123</v>
      </c>
      <c r="P20" s="179">
        <f>VLOOKUP(A20,'OI(Value)'!A20:O221,8,0)</f>
        <v>1250</v>
      </c>
      <c r="Q20" s="179">
        <f>VLOOKUP(A20,'OI(Value)'!A20:O221,9,0)</f>
        <v>96</v>
      </c>
      <c r="R20" s="179">
        <f>VLOOKUP(A20,'OI(Value)'!A20:O221,11,0)</f>
        <v>1249</v>
      </c>
      <c r="S20" s="179">
        <f>VLOOKUP(A20,'OI(Value)'!A20:O221,11,0)</f>
        <v>1249</v>
      </c>
    </row>
    <row r="21" spans="1:19" x14ac:dyDescent="0.25">
      <c r="A21" s="105" t="str">
        <f>'Data shares'!C16</f>
        <v>ASIANPAINT</v>
      </c>
      <c r="B21" s="143">
        <f>VLOOKUP($A21,'Data shares'!$C:$FA,118)</f>
        <v>0.49</v>
      </c>
      <c r="C21" s="143">
        <f>VLOOKUP($A21,'Data shares'!$C:$FA,119)</f>
        <v>0.51</v>
      </c>
      <c r="D21" s="143">
        <f>VLOOKUP($A21,'Data shares'!$C:$FA,121)*100</f>
        <v>-3.92</v>
      </c>
      <c r="E21" s="143">
        <f>VLOOKUP($A21,'Data shares'!$C:$FA,124)</f>
        <v>0.41</v>
      </c>
      <c r="F21" s="143">
        <f>VLOOKUP($A21,'Data shares'!$C:$FA,125)</f>
        <v>0.38</v>
      </c>
      <c r="G21" s="143">
        <f>VLOOKUP($A21,'Data shares'!$C:$FA,127)*100</f>
        <v>7.89</v>
      </c>
      <c r="H21" s="103">
        <f>VLOOKUP($A21,'OI(Volume)'!$A$7:$O$427,8)</f>
        <v>9059250</v>
      </c>
      <c r="I21" s="103">
        <f>VLOOKUP($A21,'OI(Volume)'!$A$7:$O$427,9)</f>
        <v>176000</v>
      </c>
      <c r="J21" s="103">
        <f>VLOOKUP($A21,'OI(Volume)'!$A$7:$O$427,11)</f>
        <v>4471500</v>
      </c>
      <c r="K21" s="103">
        <f>VLOOKUP($A21,'OI(Volume)'!$A$7:$O$427,12)</f>
        <v>-63750</v>
      </c>
      <c r="L21" s="103">
        <f>VLOOKUP($A21,'OI(Value)'!$A$7:$O$306,8,0)</f>
        <v>2504</v>
      </c>
      <c r="M21" s="103">
        <f>VLOOKUP($A21,'OI(Value)'!$A$7:$O$306,9,0)</f>
        <v>49</v>
      </c>
      <c r="N21" s="103">
        <f>VLOOKUP($A21,'OI(Value)'!$A$7:$O$306,11,0)</f>
        <v>1236</v>
      </c>
      <c r="O21" s="103">
        <f>VLOOKUP($A21,'OI(Value)'!$A$7:$O$306,12,0)</f>
        <v>-18</v>
      </c>
      <c r="P21" s="179">
        <f>VLOOKUP(A21,'OI(Value)'!A21:O222,8,0)</f>
        <v>2504</v>
      </c>
      <c r="Q21" s="179">
        <f>VLOOKUP(A21,'OI(Value)'!A21:O222,9,0)</f>
        <v>49</v>
      </c>
      <c r="R21" s="179">
        <f>VLOOKUP(A21,'OI(Value)'!A21:O222,11,0)</f>
        <v>1236</v>
      </c>
      <c r="S21" s="179">
        <f>VLOOKUP(A21,'OI(Value)'!A21:O222,11,0)</f>
        <v>1236</v>
      </c>
    </row>
    <row r="22" spans="1:19" x14ac:dyDescent="0.25">
      <c r="A22" s="105" t="str">
        <f>'Data shares'!C17</f>
        <v>ASTRAL</v>
      </c>
      <c r="B22" s="143">
        <f>VLOOKUP($A22,'Data shares'!$C:$FA,118)</f>
        <v>0.53</v>
      </c>
      <c r="C22" s="143">
        <f>VLOOKUP($A22,'Data shares'!$C:$FA,119)</f>
        <v>0.51</v>
      </c>
      <c r="D22" s="143">
        <f>VLOOKUP($A22,'Data shares'!$C:$FA,121)*100</f>
        <v>3.92</v>
      </c>
      <c r="E22" s="143">
        <f>VLOOKUP($A22,'Data shares'!$C:$FA,124)</f>
        <v>0.7</v>
      </c>
      <c r="F22" s="143">
        <f>VLOOKUP($A22,'Data shares'!$C:$FA,125)</f>
        <v>0.72</v>
      </c>
      <c r="G22" s="143">
        <f>VLOOKUP($A22,'Data shares'!$C:$FA,127)*100</f>
        <v>-2.78</v>
      </c>
      <c r="H22" s="103">
        <f>VLOOKUP($A22,'OI(Volume)'!$A$7:$O$427,8)</f>
        <v>3734900</v>
      </c>
      <c r="I22" s="103">
        <f>VLOOKUP($A22,'OI(Volume)'!$A$7:$O$427,9)</f>
        <v>17000</v>
      </c>
      <c r="J22" s="103">
        <f>VLOOKUP($A22,'OI(Volume)'!$A$7:$O$427,11)</f>
        <v>1973700</v>
      </c>
      <c r="K22" s="103">
        <f>VLOOKUP($A22,'OI(Volume)'!$A$7:$O$427,12)</f>
        <v>94350</v>
      </c>
      <c r="L22" s="103">
        <f>VLOOKUP($A22,'OI(Value)'!$A$7:$O$306,8,0)</f>
        <v>528</v>
      </c>
      <c r="M22" s="103">
        <f>VLOOKUP($A22,'OI(Value)'!$A$7:$O$306,9,0)</f>
        <v>2</v>
      </c>
      <c r="N22" s="103">
        <f>VLOOKUP($A22,'OI(Value)'!$A$7:$O$306,11,0)</f>
        <v>279</v>
      </c>
      <c r="O22" s="103">
        <f>VLOOKUP($A22,'OI(Value)'!$A$7:$O$306,12,0)</f>
        <v>13</v>
      </c>
      <c r="P22" s="179">
        <f>VLOOKUP(A22,'OI(Value)'!A22:O223,8,0)</f>
        <v>528</v>
      </c>
      <c r="Q22" s="179">
        <f>VLOOKUP(A22,'OI(Value)'!A22:O223,9,0)</f>
        <v>2</v>
      </c>
      <c r="R22" s="179">
        <f>VLOOKUP(A22,'OI(Value)'!A22:O223,11,0)</f>
        <v>279</v>
      </c>
      <c r="S22" s="179">
        <f>VLOOKUP(A22,'OI(Value)'!A22:O223,11,0)</f>
        <v>279</v>
      </c>
    </row>
    <row r="23" spans="1:19" x14ac:dyDescent="0.25">
      <c r="A23" s="105" t="str">
        <f>'Data shares'!C18</f>
        <v>AUBANK</v>
      </c>
      <c r="B23" s="143">
        <f>VLOOKUP($A23,'Data shares'!$C:$FA,118)</f>
        <v>0.83</v>
      </c>
      <c r="C23" s="143">
        <f>VLOOKUP($A23,'Data shares'!$C:$FA,119)</f>
        <v>0.81</v>
      </c>
      <c r="D23" s="143">
        <f>VLOOKUP($A23,'Data shares'!$C:$FA,121)*100</f>
        <v>2.4699999999999998</v>
      </c>
      <c r="E23" s="143">
        <f>VLOOKUP($A23,'Data shares'!$C:$FA,124)</f>
        <v>0.66</v>
      </c>
      <c r="F23" s="143">
        <f>VLOOKUP($A23,'Data shares'!$C:$FA,125)</f>
        <v>0.41</v>
      </c>
      <c r="G23" s="143">
        <f>VLOOKUP($A23,'Data shares'!$C:$FA,127)*100</f>
        <v>60.980000000000004</v>
      </c>
      <c r="H23" s="103">
        <f>VLOOKUP($A23,'OI(Volume)'!$A$7:$O$427,8)</f>
        <v>8455000</v>
      </c>
      <c r="I23" s="103">
        <f>VLOOKUP($A23,'OI(Volume)'!$A$7:$O$427,9)</f>
        <v>-206000</v>
      </c>
      <c r="J23" s="103">
        <f>VLOOKUP($A23,'OI(Volume)'!$A$7:$O$427,11)</f>
        <v>7002000</v>
      </c>
      <c r="K23" s="103">
        <f>VLOOKUP($A23,'OI(Volume)'!$A$7:$O$427,12)</f>
        <v>-23000</v>
      </c>
      <c r="L23" s="103">
        <f>VLOOKUP($A23,'OI(Value)'!$A$7:$O$306,8,0)</f>
        <v>835</v>
      </c>
      <c r="M23" s="103">
        <f>VLOOKUP($A23,'OI(Value)'!$A$7:$O$306,9,0)</f>
        <v>-20</v>
      </c>
      <c r="N23" s="103">
        <f>VLOOKUP($A23,'OI(Value)'!$A$7:$O$306,11,0)</f>
        <v>691</v>
      </c>
      <c r="O23" s="103">
        <f>VLOOKUP($A23,'OI(Value)'!$A$7:$O$306,12,0)</f>
        <v>-2</v>
      </c>
      <c r="P23" s="179">
        <f>VLOOKUP(A23,'OI(Value)'!A23:O224,8,0)</f>
        <v>835</v>
      </c>
      <c r="Q23" s="179">
        <f>VLOOKUP(A23,'OI(Value)'!A23:O224,9,0)</f>
        <v>-20</v>
      </c>
      <c r="R23" s="179">
        <f>VLOOKUP(A23,'OI(Value)'!A23:O224,11,0)</f>
        <v>691</v>
      </c>
      <c r="S23" s="179">
        <f>VLOOKUP(A23,'OI(Value)'!A23:O224,11,0)</f>
        <v>691</v>
      </c>
    </row>
    <row r="24" spans="1:19" x14ac:dyDescent="0.25">
      <c r="A24" s="105" t="str">
        <f>'Data shares'!C19</f>
        <v>AUROPHARMA</v>
      </c>
      <c r="B24" s="143">
        <f>VLOOKUP($A24,'Data shares'!$C:$FA,118)</f>
        <v>0.49</v>
      </c>
      <c r="C24" s="143">
        <f>VLOOKUP($A24,'Data shares'!$C:$FA,119)</f>
        <v>0.45</v>
      </c>
      <c r="D24" s="143">
        <f>VLOOKUP($A24,'Data shares'!$C:$FA,121)*100</f>
        <v>8.89</v>
      </c>
      <c r="E24" s="143">
        <f>VLOOKUP($A24,'Data shares'!$C:$FA,124)</f>
        <v>0.59</v>
      </c>
      <c r="F24" s="143">
        <f>VLOOKUP($A24,'Data shares'!$C:$FA,125)</f>
        <v>0.36</v>
      </c>
      <c r="G24" s="143">
        <f>VLOOKUP($A24,'Data shares'!$C:$FA,127)*100</f>
        <v>63.89</v>
      </c>
      <c r="H24" s="103">
        <f>VLOOKUP($A24,'OI(Volume)'!$A$7:$O$427,8)</f>
        <v>5818450</v>
      </c>
      <c r="I24" s="103">
        <f>VLOOKUP($A24,'OI(Volume)'!$A$7:$O$427,9)</f>
        <v>-161150</v>
      </c>
      <c r="J24" s="103">
        <f>VLOOKUP($A24,'OI(Volume)'!$A$7:$O$427,11)</f>
        <v>2840200</v>
      </c>
      <c r="K24" s="103">
        <f>VLOOKUP($A24,'OI(Volume)'!$A$7:$O$427,12)</f>
        <v>176550</v>
      </c>
      <c r="L24" s="103">
        <f>VLOOKUP($A24,'OI(Value)'!$A$7:$O$306,8,0)</f>
        <v>704</v>
      </c>
      <c r="M24" s="103">
        <f>VLOOKUP($A24,'OI(Value)'!$A$7:$O$306,9,0)</f>
        <v>-19</v>
      </c>
      <c r="N24" s="103">
        <f>VLOOKUP($A24,'OI(Value)'!$A$7:$O$306,11,0)</f>
        <v>344</v>
      </c>
      <c r="O24" s="103">
        <f>VLOOKUP($A24,'OI(Value)'!$A$7:$O$306,12,0)</f>
        <v>21</v>
      </c>
      <c r="P24" s="179">
        <f>VLOOKUP(A24,'OI(Value)'!A24:O225,8,0)</f>
        <v>704</v>
      </c>
      <c r="Q24" s="179">
        <f>VLOOKUP(A24,'OI(Value)'!A24:O225,9,0)</f>
        <v>-19</v>
      </c>
      <c r="R24" s="179">
        <f>VLOOKUP(A24,'OI(Value)'!A24:O225,11,0)</f>
        <v>344</v>
      </c>
      <c r="S24" s="179">
        <f>VLOOKUP(A24,'OI(Value)'!A24:O225,11,0)</f>
        <v>344</v>
      </c>
    </row>
    <row r="25" spans="1:19" x14ac:dyDescent="0.25">
      <c r="A25" s="105" t="str">
        <f>'Data shares'!C20</f>
        <v>AXISBANK</v>
      </c>
      <c r="B25" s="143">
        <f>VLOOKUP($A25,'Data shares'!$C:$FA,118)</f>
        <v>0.46</v>
      </c>
      <c r="C25" s="143">
        <f>VLOOKUP($A25,'Data shares'!$C:$FA,119)</f>
        <v>0.44</v>
      </c>
      <c r="D25" s="143">
        <f>VLOOKUP($A25,'Data shares'!$C:$FA,121)*100</f>
        <v>4.55</v>
      </c>
      <c r="E25" s="143">
        <f>VLOOKUP($A25,'Data shares'!$C:$FA,124)</f>
        <v>0.54</v>
      </c>
      <c r="F25" s="143">
        <f>VLOOKUP($A25,'Data shares'!$C:$FA,125)</f>
        <v>0.66</v>
      </c>
      <c r="G25" s="143">
        <f>VLOOKUP($A25,'Data shares'!$C:$FA,127)*100</f>
        <v>-18.18</v>
      </c>
      <c r="H25" s="103">
        <f>VLOOKUP($A25,'OI(Volume)'!$A$7:$O$427,8)</f>
        <v>32336250</v>
      </c>
      <c r="I25" s="103">
        <f>VLOOKUP($A25,'OI(Volume)'!$A$7:$O$427,9)</f>
        <v>-4076250</v>
      </c>
      <c r="J25" s="103">
        <f>VLOOKUP($A25,'OI(Volume)'!$A$7:$O$427,11)</f>
        <v>14866250</v>
      </c>
      <c r="K25" s="103">
        <f>VLOOKUP($A25,'OI(Volume)'!$A$7:$O$427,12)</f>
        <v>-1188750</v>
      </c>
      <c r="L25" s="103">
        <f>VLOOKUP($A25,'OI(Value)'!$A$7:$O$306,8,0)</f>
        <v>3987</v>
      </c>
      <c r="M25" s="103">
        <f>VLOOKUP($A25,'OI(Value)'!$A$7:$O$306,9,0)</f>
        <v>-503</v>
      </c>
      <c r="N25" s="103">
        <f>VLOOKUP($A25,'OI(Value)'!$A$7:$O$306,11,0)</f>
        <v>1833</v>
      </c>
      <c r="O25" s="103">
        <f>VLOOKUP($A25,'OI(Value)'!$A$7:$O$306,12,0)</f>
        <v>-147</v>
      </c>
      <c r="P25" s="179">
        <f>VLOOKUP(A25,'OI(Value)'!A25:O226,8,0)</f>
        <v>3987</v>
      </c>
      <c r="Q25" s="179">
        <f>VLOOKUP(A25,'OI(Value)'!A25:O226,9,0)</f>
        <v>-503</v>
      </c>
      <c r="R25" s="179">
        <f>VLOOKUP(A25,'OI(Value)'!A25:O226,11,0)</f>
        <v>1833</v>
      </c>
      <c r="S25" s="179">
        <f>VLOOKUP(A25,'OI(Value)'!A25:O226,11,0)</f>
        <v>1833</v>
      </c>
    </row>
    <row r="26" spans="1:19" x14ac:dyDescent="0.25">
      <c r="A26" s="105" t="str">
        <f>'Data shares'!C21</f>
        <v>BAJAJ-AUTO</v>
      </c>
      <c r="B26" s="143">
        <f>VLOOKUP($A26,'Data shares'!$C:$FA,118)</f>
        <v>0.51</v>
      </c>
      <c r="C26" s="143">
        <f>VLOOKUP($A26,'Data shares'!$C:$FA,119)</f>
        <v>0.53</v>
      </c>
      <c r="D26" s="143">
        <f>VLOOKUP($A26,'Data shares'!$C:$FA,121)*100</f>
        <v>-3.7699999999999996</v>
      </c>
      <c r="E26" s="143">
        <f>VLOOKUP($A26,'Data shares'!$C:$FA,124)</f>
        <v>0.54</v>
      </c>
      <c r="F26" s="143">
        <f>VLOOKUP($A26,'Data shares'!$C:$FA,125)</f>
        <v>0.73</v>
      </c>
      <c r="G26" s="143">
        <f>VLOOKUP($A26,'Data shares'!$C:$FA,127)*100</f>
        <v>-26.029999999999998</v>
      </c>
      <c r="H26" s="103">
        <f>VLOOKUP($A26,'OI(Volume)'!$A$7:$O$427,8)</f>
        <v>2257500</v>
      </c>
      <c r="I26" s="103">
        <f>VLOOKUP($A26,'OI(Volume)'!$A$7:$O$427,9)</f>
        <v>72300</v>
      </c>
      <c r="J26" s="103">
        <f>VLOOKUP($A26,'OI(Volume)'!$A$7:$O$427,11)</f>
        <v>1147950</v>
      </c>
      <c r="K26" s="103">
        <f>VLOOKUP($A26,'OI(Volume)'!$A$7:$O$427,12)</f>
        <v>-21075</v>
      </c>
      <c r="L26" s="103">
        <f>VLOOKUP($A26,'OI(Value)'!$A$7:$O$306,8,0)</f>
        <v>2000</v>
      </c>
      <c r="M26" s="103">
        <f>VLOOKUP($A26,'OI(Value)'!$A$7:$O$306,9,0)</f>
        <v>64</v>
      </c>
      <c r="N26" s="103">
        <f>VLOOKUP($A26,'OI(Value)'!$A$7:$O$306,11,0)</f>
        <v>1017</v>
      </c>
      <c r="O26" s="103">
        <f>VLOOKUP($A26,'OI(Value)'!$A$7:$O$306,12,0)</f>
        <v>-19</v>
      </c>
      <c r="P26" s="179">
        <f>VLOOKUP(A26,'OI(Value)'!A26:O227,8,0)</f>
        <v>2000</v>
      </c>
      <c r="Q26" s="179">
        <f>VLOOKUP(A26,'OI(Value)'!A26:O227,9,0)</f>
        <v>64</v>
      </c>
      <c r="R26" s="179">
        <f>VLOOKUP(A26,'OI(Value)'!A26:O227,11,0)</f>
        <v>1017</v>
      </c>
      <c r="S26" s="179">
        <f>VLOOKUP(A26,'OI(Value)'!A26:O227,11,0)</f>
        <v>1017</v>
      </c>
    </row>
    <row r="27" spans="1:19" x14ac:dyDescent="0.25">
      <c r="A27" s="105" t="str">
        <f>'Data shares'!C22</f>
        <v>BAJAJFINSV</v>
      </c>
      <c r="B27" s="143">
        <f>VLOOKUP($A27,'Data shares'!$C:$FA,118)</f>
        <v>0.66</v>
      </c>
      <c r="C27" s="143">
        <f>VLOOKUP($A27,'Data shares'!$C:$FA,119)</f>
        <v>0.65</v>
      </c>
      <c r="D27" s="143">
        <f>VLOOKUP($A27,'Data shares'!$C:$FA,121)*100</f>
        <v>1.54</v>
      </c>
      <c r="E27" s="143">
        <f>VLOOKUP($A27,'Data shares'!$C:$FA,124)</f>
        <v>0.48</v>
      </c>
      <c r="F27" s="143">
        <f>VLOOKUP($A27,'Data shares'!$C:$FA,125)</f>
        <v>0.67</v>
      </c>
      <c r="G27" s="143">
        <f>VLOOKUP($A27,'Data shares'!$C:$FA,127)*100</f>
        <v>-28.360000000000003</v>
      </c>
      <c r="H27" s="103">
        <f>VLOOKUP($A27,'OI(Volume)'!$A$7:$O$427,8)</f>
        <v>5562500</v>
      </c>
      <c r="I27" s="103">
        <f>VLOOKUP($A27,'OI(Volume)'!$A$7:$O$427,9)</f>
        <v>-25500</v>
      </c>
      <c r="J27" s="103">
        <f>VLOOKUP($A27,'OI(Volume)'!$A$7:$O$427,11)</f>
        <v>3671750</v>
      </c>
      <c r="K27" s="103">
        <f>VLOOKUP($A27,'OI(Volume)'!$A$7:$O$427,12)</f>
        <v>15500</v>
      </c>
      <c r="L27" s="103">
        <f>VLOOKUP($A27,'OI(Value)'!$A$7:$O$306,8,0)</f>
        <v>1129</v>
      </c>
      <c r="M27" s="103">
        <f>VLOOKUP($A27,'OI(Value)'!$A$7:$O$306,9,0)</f>
        <v>-5</v>
      </c>
      <c r="N27" s="103">
        <f>VLOOKUP($A27,'OI(Value)'!$A$7:$O$306,11,0)</f>
        <v>745</v>
      </c>
      <c r="O27" s="103">
        <f>VLOOKUP($A27,'OI(Value)'!$A$7:$O$306,12,0)</f>
        <v>3</v>
      </c>
      <c r="P27" s="179">
        <f>VLOOKUP(A27,'OI(Value)'!A27:O228,8,0)</f>
        <v>1129</v>
      </c>
      <c r="Q27" s="179">
        <f>VLOOKUP(A27,'OI(Value)'!A27:O228,9,0)</f>
        <v>-5</v>
      </c>
      <c r="R27" s="179">
        <f>VLOOKUP(A27,'OI(Value)'!A27:O228,11,0)</f>
        <v>745</v>
      </c>
      <c r="S27" s="179">
        <f>VLOOKUP(A27,'OI(Value)'!A27:O228,11,0)</f>
        <v>745</v>
      </c>
    </row>
    <row r="28" spans="1:19" x14ac:dyDescent="0.25">
      <c r="A28" s="105" t="str">
        <f>'Data shares'!C23</f>
        <v>BAJFINANCE</v>
      </c>
      <c r="B28" s="143">
        <f>VLOOKUP($A28,'Data shares'!$C:$FA,118)</f>
        <v>0.59</v>
      </c>
      <c r="C28" s="143">
        <f>VLOOKUP($A28,'Data shares'!$C:$FA,119)</f>
        <v>0.59</v>
      </c>
      <c r="D28" s="143">
        <f>VLOOKUP($A28,'Data shares'!$C:$FA,121)*100</f>
        <v>0</v>
      </c>
      <c r="E28" s="143">
        <f>VLOOKUP($A28,'Data shares'!$C:$FA,124)</f>
        <v>0.48</v>
      </c>
      <c r="F28" s="143">
        <f>VLOOKUP($A28,'Data shares'!$C:$FA,125)</f>
        <v>0.47</v>
      </c>
      <c r="G28" s="143">
        <f>VLOOKUP($A28,'Data shares'!$C:$FA,127)*100</f>
        <v>2.13</v>
      </c>
      <c r="H28" s="103">
        <f>VLOOKUP($A28,'OI(Volume)'!$A$7:$O$427,8)</f>
        <v>31846500</v>
      </c>
      <c r="I28" s="103">
        <f>VLOOKUP($A28,'OI(Volume)'!$A$7:$O$427,9)</f>
        <v>-588750</v>
      </c>
      <c r="J28" s="103">
        <f>VLOOKUP($A28,'OI(Volume)'!$A$7:$O$427,11)</f>
        <v>18822750</v>
      </c>
      <c r="K28" s="103">
        <f>VLOOKUP($A28,'OI(Volume)'!$A$7:$O$427,12)</f>
        <v>-384750</v>
      </c>
      <c r="L28" s="103">
        <f>VLOOKUP($A28,'OI(Value)'!$A$7:$O$306,8,0)</f>
        <v>3192</v>
      </c>
      <c r="M28" s="103">
        <f>VLOOKUP($A28,'OI(Value)'!$A$7:$O$306,9,0)</f>
        <v>-59</v>
      </c>
      <c r="N28" s="103">
        <f>VLOOKUP($A28,'OI(Value)'!$A$7:$O$306,11,0)</f>
        <v>1886</v>
      </c>
      <c r="O28" s="103">
        <f>VLOOKUP($A28,'OI(Value)'!$A$7:$O$306,12,0)</f>
        <v>-39</v>
      </c>
      <c r="P28" s="179">
        <f>VLOOKUP(A28,'OI(Value)'!A28:O229,8,0)</f>
        <v>3192</v>
      </c>
      <c r="Q28" s="179">
        <f>VLOOKUP(A28,'OI(Value)'!A28:O229,9,0)</f>
        <v>-59</v>
      </c>
      <c r="R28" s="179">
        <f>VLOOKUP(A28,'OI(Value)'!A28:O229,11,0)</f>
        <v>1886</v>
      </c>
      <c r="S28" s="179">
        <f>VLOOKUP(A28,'OI(Value)'!A28:O229,11,0)</f>
        <v>1886</v>
      </c>
    </row>
    <row r="29" spans="1:19" x14ac:dyDescent="0.25">
      <c r="A29" s="105" t="str">
        <f>'Data shares'!C24</f>
        <v>BANDHANBNK</v>
      </c>
      <c r="B29" s="143">
        <f>VLOOKUP($A29,'Data shares'!$C:$FA,118)</f>
        <v>0.69</v>
      </c>
      <c r="C29" s="143">
        <f>VLOOKUP($A29,'Data shares'!$C:$FA,119)</f>
        <v>0.67</v>
      </c>
      <c r="D29" s="143">
        <f>VLOOKUP($A29,'Data shares'!$C:$FA,121)*100</f>
        <v>2.9899999999999998</v>
      </c>
      <c r="E29" s="143">
        <f>VLOOKUP($A29,'Data shares'!$C:$FA,124)</f>
        <v>0.26</v>
      </c>
      <c r="F29" s="143">
        <f>VLOOKUP($A29,'Data shares'!$C:$FA,125)</f>
        <v>0.16</v>
      </c>
      <c r="G29" s="143">
        <f>VLOOKUP($A29,'Data shares'!$C:$FA,127)*100</f>
        <v>62.5</v>
      </c>
      <c r="H29" s="103">
        <f>VLOOKUP($A29,'OI(Volume)'!$A$7:$O$427,8)</f>
        <v>41072400</v>
      </c>
      <c r="I29" s="103">
        <f>VLOOKUP($A29,'OI(Volume)'!$A$7:$O$427,9)</f>
        <v>-817200</v>
      </c>
      <c r="J29" s="103">
        <f>VLOOKUP($A29,'OI(Volume)'!$A$7:$O$427,11)</f>
        <v>28206000</v>
      </c>
      <c r="K29" s="103">
        <f>VLOOKUP($A29,'OI(Volume)'!$A$7:$O$427,12)</f>
        <v>-36000</v>
      </c>
      <c r="L29" s="103">
        <f>VLOOKUP($A29,'OI(Value)'!$A$7:$O$306,8,0)</f>
        <v>600</v>
      </c>
      <c r="M29" s="103">
        <f>VLOOKUP($A29,'OI(Value)'!$A$7:$O$306,9,0)</f>
        <v>-12</v>
      </c>
      <c r="N29" s="103">
        <f>VLOOKUP($A29,'OI(Value)'!$A$7:$O$306,11,0)</f>
        <v>412</v>
      </c>
      <c r="O29" s="103">
        <f>VLOOKUP($A29,'OI(Value)'!$A$7:$O$306,12,0)</f>
        <v>-1</v>
      </c>
      <c r="P29" s="179">
        <f>VLOOKUP(A29,'OI(Value)'!A29:O230,8,0)</f>
        <v>600</v>
      </c>
      <c r="Q29" s="179">
        <f>VLOOKUP(A29,'OI(Value)'!A29:O230,9,0)</f>
        <v>-12</v>
      </c>
      <c r="R29" s="179">
        <f>VLOOKUP(A29,'OI(Value)'!A29:O230,11,0)</f>
        <v>412</v>
      </c>
      <c r="S29" s="179">
        <f>VLOOKUP(A29,'OI(Value)'!A29:O230,11,0)</f>
        <v>412</v>
      </c>
    </row>
    <row r="30" spans="1:19" x14ac:dyDescent="0.25">
      <c r="A30" s="105" t="str">
        <f>'Data shares'!C25</f>
        <v>BANKBARODA</v>
      </c>
      <c r="B30" s="143">
        <f>VLOOKUP($A30,'Data shares'!$C:$FA,118)</f>
        <v>0.82</v>
      </c>
      <c r="C30" s="143">
        <f>VLOOKUP($A30,'Data shares'!$C:$FA,119)</f>
        <v>0.79</v>
      </c>
      <c r="D30" s="143">
        <f>VLOOKUP($A30,'Data shares'!$C:$FA,121)*100</f>
        <v>3.8</v>
      </c>
      <c r="E30" s="143">
        <f>VLOOKUP($A30,'Data shares'!$C:$FA,124)</f>
        <v>0.56000000000000005</v>
      </c>
      <c r="F30" s="143">
        <f>VLOOKUP($A30,'Data shares'!$C:$FA,125)</f>
        <v>0.52</v>
      </c>
      <c r="G30" s="143">
        <f>VLOOKUP($A30,'Data shares'!$C:$FA,127)*100</f>
        <v>7.6899999999999995</v>
      </c>
      <c r="H30" s="103">
        <f>VLOOKUP($A30,'OI(Volume)'!$A$7:$O$427,8)</f>
        <v>48291750</v>
      </c>
      <c r="I30" s="103">
        <f>VLOOKUP($A30,'OI(Volume)'!$A$7:$O$427,9)</f>
        <v>-2334150</v>
      </c>
      <c r="J30" s="103">
        <f>VLOOKUP($A30,'OI(Volume)'!$A$7:$O$427,11)</f>
        <v>39701025</v>
      </c>
      <c r="K30" s="103">
        <f>VLOOKUP($A30,'OI(Volume)'!$A$7:$O$427,12)</f>
        <v>-406575</v>
      </c>
      <c r="L30" s="103">
        <f>VLOOKUP($A30,'OI(Value)'!$A$7:$O$306,8,0)</f>
        <v>1392</v>
      </c>
      <c r="M30" s="103">
        <f>VLOOKUP($A30,'OI(Value)'!$A$7:$O$306,9,0)</f>
        <v>-67</v>
      </c>
      <c r="N30" s="103">
        <f>VLOOKUP($A30,'OI(Value)'!$A$7:$O$306,11,0)</f>
        <v>1145</v>
      </c>
      <c r="O30" s="103">
        <f>VLOOKUP($A30,'OI(Value)'!$A$7:$O$306,12,0)</f>
        <v>-12</v>
      </c>
      <c r="P30" s="179">
        <f>VLOOKUP(A30,'OI(Value)'!A30:O231,8,0)</f>
        <v>1392</v>
      </c>
      <c r="Q30" s="179">
        <f>VLOOKUP(A30,'OI(Value)'!A30:O231,9,0)</f>
        <v>-67</v>
      </c>
      <c r="R30" s="179">
        <f>VLOOKUP(A30,'OI(Value)'!A30:O231,11,0)</f>
        <v>1145</v>
      </c>
      <c r="S30" s="179">
        <f>VLOOKUP(A30,'OI(Value)'!A30:O231,11,0)</f>
        <v>1145</v>
      </c>
    </row>
    <row r="31" spans="1:19" x14ac:dyDescent="0.25">
      <c r="A31" s="105" t="str">
        <f>'Data shares'!C26</f>
        <v>BANKINDIA</v>
      </c>
      <c r="B31" s="143">
        <f>VLOOKUP($A31,'Data shares'!$C:$FA,118)</f>
        <v>0.75</v>
      </c>
      <c r="C31" s="143">
        <f>VLOOKUP($A31,'Data shares'!$C:$FA,119)</f>
        <v>0.72</v>
      </c>
      <c r="D31" s="143">
        <f>VLOOKUP($A31,'Data shares'!$C:$FA,121)*100</f>
        <v>4.17</v>
      </c>
      <c r="E31" s="143">
        <f>VLOOKUP($A31,'Data shares'!$C:$FA,124)</f>
        <v>0.73</v>
      </c>
      <c r="F31" s="143">
        <f>VLOOKUP($A31,'Data shares'!$C:$FA,125)</f>
        <v>0.36</v>
      </c>
      <c r="G31" s="143">
        <f>VLOOKUP($A31,'Data shares'!$C:$FA,127)*100</f>
        <v>102.78</v>
      </c>
      <c r="H31" s="103">
        <f>VLOOKUP($A31,'OI(Volume)'!$A$7:$O$427,8)</f>
        <v>27367600</v>
      </c>
      <c r="I31" s="103">
        <f>VLOOKUP($A31,'OI(Volume)'!$A$7:$O$427,9)</f>
        <v>-228800</v>
      </c>
      <c r="J31" s="103">
        <f>VLOOKUP($A31,'OI(Volume)'!$A$7:$O$427,11)</f>
        <v>20503600</v>
      </c>
      <c r="K31" s="103">
        <f>VLOOKUP($A31,'OI(Volume)'!$A$7:$O$427,12)</f>
        <v>561600</v>
      </c>
      <c r="L31" s="103">
        <f>VLOOKUP($A31,'OI(Value)'!$A$7:$O$306,8,0)</f>
        <v>390</v>
      </c>
      <c r="M31" s="103">
        <f>VLOOKUP($A31,'OI(Value)'!$A$7:$O$306,9,0)</f>
        <v>-3</v>
      </c>
      <c r="N31" s="103">
        <f>VLOOKUP($A31,'OI(Value)'!$A$7:$O$306,11,0)</f>
        <v>292</v>
      </c>
      <c r="O31" s="103">
        <f>VLOOKUP($A31,'OI(Value)'!$A$7:$O$306,12,0)</f>
        <v>8</v>
      </c>
      <c r="P31" s="179">
        <f>VLOOKUP(A31,'OI(Value)'!A31:O232,8,0)</f>
        <v>390</v>
      </c>
      <c r="Q31" s="179">
        <f>VLOOKUP(A31,'OI(Value)'!A31:O232,9,0)</f>
        <v>-3</v>
      </c>
      <c r="R31" s="179">
        <f>VLOOKUP(A31,'OI(Value)'!A31:O232,11,0)</f>
        <v>292</v>
      </c>
      <c r="S31" s="179">
        <f>VLOOKUP(A31,'OI(Value)'!A31:O232,11,0)</f>
        <v>292</v>
      </c>
    </row>
    <row r="32" spans="1:19" x14ac:dyDescent="0.25">
      <c r="A32" s="105" t="str">
        <f>'Data shares'!C27</f>
        <v>BANKNIFTY</v>
      </c>
      <c r="B32" s="143">
        <f>VLOOKUP($A32,'Data shares'!$C:$FA,118)</f>
        <v>0.75</v>
      </c>
      <c r="C32" s="143">
        <f>VLOOKUP($A32,'Data shares'!$C:$FA,119)</f>
        <v>0.75</v>
      </c>
      <c r="D32" s="143">
        <f>VLOOKUP($A32,'Data shares'!$C:$FA,121)*100</f>
        <v>0</v>
      </c>
      <c r="E32" s="143">
        <f>VLOOKUP($A32,'Data shares'!$C:$FA,124)</f>
        <v>0.92</v>
      </c>
      <c r="F32" s="143">
        <f>VLOOKUP($A32,'Data shares'!$C:$FA,125)</f>
        <v>0.96</v>
      </c>
      <c r="G32" s="143">
        <f>VLOOKUP($A32,'Data shares'!$C:$FA,127)*100</f>
        <v>-4.17</v>
      </c>
      <c r="H32" s="103">
        <f>VLOOKUP($A32,'OI(Volume)'!$A$7:$O$427,8)</f>
        <v>23455860</v>
      </c>
      <c r="I32" s="103">
        <f>VLOOKUP($A32,'OI(Volume)'!$A$7:$O$427,9)</f>
        <v>753000</v>
      </c>
      <c r="J32" s="103">
        <f>VLOOKUP($A32,'OI(Volume)'!$A$7:$O$427,11)</f>
        <v>17550390</v>
      </c>
      <c r="K32" s="103">
        <f>VLOOKUP($A32,'OI(Volume)'!$A$7:$O$427,12)</f>
        <v>503185</v>
      </c>
      <c r="L32" s="103">
        <f>VLOOKUP($A32,'OI(Value)'!$A$7:$O$306,8,0)</f>
        <v>138564</v>
      </c>
      <c r="M32" s="103">
        <f>VLOOKUP($A32,'OI(Value)'!$A$7:$O$306,9,0)</f>
        <v>4448</v>
      </c>
      <c r="N32" s="103">
        <f>VLOOKUP($A32,'OI(Value)'!$A$7:$O$306,11,0)</f>
        <v>103678</v>
      </c>
      <c r="O32" s="103">
        <f>VLOOKUP($A32,'OI(Value)'!$A$7:$O$306,12,0)</f>
        <v>2973</v>
      </c>
      <c r="P32" s="179">
        <f>VLOOKUP(A32,'OI(Value)'!A32:O233,8,0)</f>
        <v>138564</v>
      </c>
      <c r="Q32" s="179">
        <f>VLOOKUP(A32,'OI(Value)'!A32:O233,9,0)</f>
        <v>4448</v>
      </c>
      <c r="R32" s="179">
        <f>VLOOKUP(A32,'OI(Value)'!A32:O233,11,0)</f>
        <v>103678</v>
      </c>
      <c r="S32" s="179">
        <f>VLOOKUP(A32,'OI(Value)'!A32:O233,11,0)</f>
        <v>103678</v>
      </c>
    </row>
    <row r="33" spans="1:19" x14ac:dyDescent="0.25">
      <c r="A33" s="105" t="str">
        <f>'Data shares'!C28</f>
        <v>BDL</v>
      </c>
      <c r="B33" s="143">
        <f>VLOOKUP($A33,'Data shares'!$C:$FA,118)</f>
        <v>0.4</v>
      </c>
      <c r="C33" s="143">
        <f>VLOOKUP($A33,'Data shares'!$C:$FA,119)</f>
        <v>0.4</v>
      </c>
      <c r="D33" s="143">
        <f>VLOOKUP($A33,'Data shares'!$C:$FA,121)*100</f>
        <v>0</v>
      </c>
      <c r="E33" s="143">
        <f>VLOOKUP($A33,'Data shares'!$C:$FA,124)</f>
        <v>0.49</v>
      </c>
      <c r="F33" s="143">
        <f>VLOOKUP($A33,'Data shares'!$C:$FA,125)</f>
        <v>0.63</v>
      </c>
      <c r="G33" s="143">
        <f>VLOOKUP($A33,'Data shares'!$C:$FA,127)*100</f>
        <v>-22.220000000000002</v>
      </c>
      <c r="H33" s="103">
        <f>VLOOKUP($A33,'OI(Volume)'!$A$7:$O$427,8)</f>
        <v>7423075</v>
      </c>
      <c r="I33" s="103">
        <f>VLOOKUP($A33,'OI(Volume)'!$A$7:$O$427,9)</f>
        <v>-53625</v>
      </c>
      <c r="J33" s="103">
        <f>VLOOKUP($A33,'OI(Volume)'!$A$7:$O$427,11)</f>
        <v>2975250</v>
      </c>
      <c r="K33" s="103">
        <f>VLOOKUP($A33,'OI(Volume)'!$A$7:$O$427,12)</f>
        <v>18825</v>
      </c>
      <c r="L33" s="103">
        <f>VLOOKUP($A33,'OI(Value)'!$A$7:$O$306,8,0)</f>
        <v>997</v>
      </c>
      <c r="M33" s="103">
        <f>VLOOKUP($A33,'OI(Value)'!$A$7:$O$306,9,0)</f>
        <v>-7</v>
      </c>
      <c r="N33" s="103">
        <f>VLOOKUP($A33,'OI(Value)'!$A$7:$O$306,11,0)</f>
        <v>400</v>
      </c>
      <c r="O33" s="103">
        <f>VLOOKUP($A33,'OI(Value)'!$A$7:$O$306,12,0)</f>
        <v>3</v>
      </c>
      <c r="P33" s="179">
        <f>VLOOKUP(A33,'OI(Value)'!A33:O234,8,0)</f>
        <v>997</v>
      </c>
      <c r="Q33" s="179">
        <f>VLOOKUP(A33,'OI(Value)'!A33:O234,9,0)</f>
        <v>-7</v>
      </c>
      <c r="R33" s="179">
        <f>VLOOKUP(A33,'OI(Value)'!A33:O234,11,0)</f>
        <v>400</v>
      </c>
      <c r="S33" s="179">
        <f>VLOOKUP(A33,'OI(Value)'!A33:O234,11,0)</f>
        <v>400</v>
      </c>
    </row>
    <row r="34" spans="1:19" x14ac:dyDescent="0.25">
      <c r="A34" s="105" t="str">
        <f>'Data shares'!C29</f>
        <v>BEL</v>
      </c>
      <c r="B34" s="143">
        <f>VLOOKUP($A34,'Data shares'!$C:$FA,118)</f>
        <v>0.46</v>
      </c>
      <c r="C34" s="143">
        <f>VLOOKUP($A34,'Data shares'!$C:$FA,119)</f>
        <v>0.46</v>
      </c>
      <c r="D34" s="143">
        <f>VLOOKUP($A34,'Data shares'!$C:$FA,121)*100</f>
        <v>0</v>
      </c>
      <c r="E34" s="143">
        <f>VLOOKUP($A34,'Data shares'!$C:$FA,124)</f>
        <v>0.48</v>
      </c>
      <c r="F34" s="143">
        <f>VLOOKUP($A34,'Data shares'!$C:$FA,125)</f>
        <v>0.39</v>
      </c>
      <c r="G34" s="143">
        <f>VLOOKUP($A34,'Data shares'!$C:$FA,127)*100</f>
        <v>23.080000000000002</v>
      </c>
      <c r="H34" s="103">
        <f>VLOOKUP($A34,'OI(Volume)'!$A$7:$O$427,8)</f>
        <v>92124825</v>
      </c>
      <c r="I34" s="103">
        <f>VLOOKUP($A34,'OI(Volume)'!$A$7:$O$427,9)</f>
        <v>-1004625</v>
      </c>
      <c r="J34" s="103">
        <f>VLOOKUP($A34,'OI(Volume)'!$A$7:$O$427,11)</f>
        <v>42665925</v>
      </c>
      <c r="K34" s="103">
        <f>VLOOKUP($A34,'OI(Volume)'!$A$7:$O$427,12)</f>
        <v>225150</v>
      </c>
      <c r="L34" s="103">
        <f>VLOOKUP($A34,'OI(Value)'!$A$7:$O$306,8,0)</f>
        <v>3541</v>
      </c>
      <c r="M34" s="103">
        <f>VLOOKUP($A34,'OI(Value)'!$A$7:$O$306,9,0)</f>
        <v>-39</v>
      </c>
      <c r="N34" s="103">
        <f>VLOOKUP($A34,'OI(Value)'!$A$7:$O$306,11,0)</f>
        <v>1640</v>
      </c>
      <c r="O34" s="103">
        <f>VLOOKUP($A34,'OI(Value)'!$A$7:$O$306,12,0)</f>
        <v>9</v>
      </c>
      <c r="P34" s="179">
        <f>VLOOKUP(A34,'OI(Value)'!A34:O235,8,0)</f>
        <v>3541</v>
      </c>
      <c r="Q34" s="179">
        <f>VLOOKUP(A34,'OI(Value)'!A34:O235,9,0)</f>
        <v>-39</v>
      </c>
      <c r="R34" s="179">
        <f>VLOOKUP(A34,'OI(Value)'!A34:O235,11,0)</f>
        <v>1640</v>
      </c>
      <c r="S34" s="179">
        <f>VLOOKUP(A34,'OI(Value)'!A34:O235,11,0)</f>
        <v>1640</v>
      </c>
    </row>
    <row r="35" spans="1:19" x14ac:dyDescent="0.25">
      <c r="A35" s="105" t="str">
        <f>'Data shares'!C30</f>
        <v>BHARATFORG</v>
      </c>
      <c r="B35" s="143">
        <f>VLOOKUP($A35,'Data shares'!$C:$FA,118)</f>
        <v>0.63</v>
      </c>
      <c r="C35" s="143">
        <f>VLOOKUP($A35,'Data shares'!$C:$FA,119)</f>
        <v>0.62</v>
      </c>
      <c r="D35" s="143">
        <f>VLOOKUP($A35,'Data shares'!$C:$FA,121)*100</f>
        <v>1.6099999999999999</v>
      </c>
      <c r="E35" s="143">
        <f>VLOOKUP($A35,'Data shares'!$C:$FA,124)</f>
        <v>0.74</v>
      </c>
      <c r="F35" s="143">
        <f>VLOOKUP($A35,'Data shares'!$C:$FA,125)</f>
        <v>0.44</v>
      </c>
      <c r="G35" s="143">
        <f>VLOOKUP($A35,'Data shares'!$C:$FA,127)*100</f>
        <v>68.179999999999993</v>
      </c>
      <c r="H35" s="103">
        <f>VLOOKUP($A35,'OI(Volume)'!$A$7:$O$427,8)</f>
        <v>3592500</v>
      </c>
      <c r="I35" s="103">
        <f>VLOOKUP($A35,'OI(Volume)'!$A$7:$O$427,9)</f>
        <v>-15000</v>
      </c>
      <c r="J35" s="103">
        <f>VLOOKUP($A35,'OI(Volume)'!$A$7:$O$427,11)</f>
        <v>2273000</v>
      </c>
      <c r="K35" s="103">
        <f>VLOOKUP($A35,'OI(Volume)'!$A$7:$O$427,12)</f>
        <v>19500</v>
      </c>
      <c r="L35" s="103">
        <f>VLOOKUP($A35,'OI(Value)'!$A$7:$O$306,8,0)</f>
        <v>506</v>
      </c>
      <c r="M35" s="103">
        <f>VLOOKUP($A35,'OI(Value)'!$A$7:$O$306,9,0)</f>
        <v>-2</v>
      </c>
      <c r="N35" s="103">
        <f>VLOOKUP($A35,'OI(Value)'!$A$7:$O$306,11,0)</f>
        <v>320</v>
      </c>
      <c r="O35" s="103">
        <f>VLOOKUP($A35,'OI(Value)'!$A$7:$O$306,12,0)</f>
        <v>3</v>
      </c>
      <c r="P35" s="179">
        <f>VLOOKUP(A35,'OI(Value)'!A35:O236,8,0)</f>
        <v>506</v>
      </c>
      <c r="Q35" s="179">
        <f>VLOOKUP(A35,'OI(Value)'!A35:O236,9,0)</f>
        <v>-2</v>
      </c>
      <c r="R35" s="179">
        <f>VLOOKUP(A35,'OI(Value)'!A35:O236,11,0)</f>
        <v>320</v>
      </c>
      <c r="S35" s="179">
        <f>VLOOKUP(A35,'OI(Value)'!A35:O236,11,0)</f>
        <v>320</v>
      </c>
    </row>
    <row r="36" spans="1:19" x14ac:dyDescent="0.25">
      <c r="A36" s="105" t="str">
        <f>'Data shares'!C31</f>
        <v>BHARTIARTL</v>
      </c>
      <c r="B36" s="143">
        <f>VLOOKUP($A36,'Data shares'!$C:$FA,118)</f>
        <v>0.49</v>
      </c>
      <c r="C36" s="143">
        <f>VLOOKUP($A36,'Data shares'!$C:$FA,119)</f>
        <v>0.5</v>
      </c>
      <c r="D36" s="143">
        <f>VLOOKUP($A36,'Data shares'!$C:$FA,121)*100</f>
        <v>-2</v>
      </c>
      <c r="E36" s="143">
        <f>VLOOKUP($A36,'Data shares'!$C:$FA,124)</f>
        <v>0.52</v>
      </c>
      <c r="F36" s="143">
        <f>VLOOKUP($A36,'Data shares'!$C:$FA,125)</f>
        <v>0.51</v>
      </c>
      <c r="G36" s="143">
        <f>VLOOKUP($A36,'Data shares'!$C:$FA,127)*100</f>
        <v>1.96</v>
      </c>
      <c r="H36" s="103">
        <f>VLOOKUP($A36,'OI(Volume)'!$A$7:$O$427,8)</f>
        <v>19322525</v>
      </c>
      <c r="I36" s="103">
        <f>VLOOKUP($A36,'OI(Volume)'!$A$7:$O$427,9)</f>
        <v>76475</v>
      </c>
      <c r="J36" s="103">
        <f>VLOOKUP($A36,'OI(Volume)'!$A$7:$O$427,11)</f>
        <v>9387425</v>
      </c>
      <c r="K36" s="103">
        <f>VLOOKUP($A36,'OI(Volume)'!$A$7:$O$427,12)</f>
        <v>-207575</v>
      </c>
      <c r="L36" s="103">
        <f>VLOOKUP($A36,'OI(Value)'!$A$7:$O$306,8,0)</f>
        <v>4048</v>
      </c>
      <c r="M36" s="103">
        <f>VLOOKUP($A36,'OI(Value)'!$A$7:$O$306,9,0)</f>
        <v>16</v>
      </c>
      <c r="N36" s="103">
        <f>VLOOKUP($A36,'OI(Value)'!$A$7:$O$306,11,0)</f>
        <v>1967</v>
      </c>
      <c r="O36" s="103">
        <f>VLOOKUP($A36,'OI(Value)'!$A$7:$O$306,12,0)</f>
        <v>-43</v>
      </c>
      <c r="P36" s="179">
        <f>VLOOKUP(A36,'OI(Value)'!A36:O237,8,0)</f>
        <v>4048</v>
      </c>
      <c r="Q36" s="179">
        <f>VLOOKUP(A36,'OI(Value)'!A36:O237,9,0)</f>
        <v>16</v>
      </c>
      <c r="R36" s="179">
        <f>VLOOKUP(A36,'OI(Value)'!A36:O237,11,0)</f>
        <v>1967</v>
      </c>
      <c r="S36" s="179">
        <f>VLOOKUP(A36,'OI(Value)'!A36:O237,11,0)</f>
        <v>1967</v>
      </c>
    </row>
    <row r="37" spans="1:19" x14ac:dyDescent="0.25">
      <c r="A37" s="105" t="str">
        <f>'Data shares'!C32</f>
        <v>BHEL</v>
      </c>
      <c r="B37" s="143">
        <f>VLOOKUP($A37,'Data shares'!$C:$FA,118)</f>
        <v>0.46</v>
      </c>
      <c r="C37" s="143">
        <f>VLOOKUP($A37,'Data shares'!$C:$FA,119)</f>
        <v>0.48</v>
      </c>
      <c r="D37" s="143">
        <f>VLOOKUP($A37,'Data shares'!$C:$FA,121)*100</f>
        <v>-4.17</v>
      </c>
      <c r="E37" s="143">
        <f>VLOOKUP($A37,'Data shares'!$C:$FA,124)</f>
        <v>0.46</v>
      </c>
      <c r="F37" s="143">
        <f>VLOOKUP($A37,'Data shares'!$C:$FA,125)</f>
        <v>0.32</v>
      </c>
      <c r="G37" s="143">
        <f>VLOOKUP($A37,'Data shares'!$C:$FA,127)*100</f>
        <v>43.75</v>
      </c>
      <c r="H37" s="103">
        <f>VLOOKUP($A37,'OI(Volume)'!$A$7:$O$427,8)</f>
        <v>53849250</v>
      </c>
      <c r="I37" s="103">
        <f>VLOOKUP($A37,'OI(Volume)'!$A$7:$O$427,9)</f>
        <v>1669500</v>
      </c>
      <c r="J37" s="103">
        <f>VLOOKUP($A37,'OI(Volume)'!$A$7:$O$427,11)</f>
        <v>24979500</v>
      </c>
      <c r="K37" s="103">
        <f>VLOOKUP($A37,'OI(Volume)'!$A$7:$O$427,12)</f>
        <v>81375</v>
      </c>
      <c r="L37" s="103">
        <f>VLOOKUP($A37,'OI(Value)'!$A$7:$O$306,8,0)</f>
        <v>1484</v>
      </c>
      <c r="M37" s="103">
        <f>VLOOKUP($A37,'OI(Value)'!$A$7:$O$306,9,0)</f>
        <v>46</v>
      </c>
      <c r="N37" s="103">
        <f>VLOOKUP($A37,'OI(Value)'!$A$7:$O$306,11,0)</f>
        <v>688</v>
      </c>
      <c r="O37" s="103">
        <f>VLOOKUP($A37,'OI(Value)'!$A$7:$O$306,12,0)</f>
        <v>2</v>
      </c>
      <c r="P37" s="179">
        <f>VLOOKUP(A37,'OI(Value)'!A37:O238,8,0)</f>
        <v>1484</v>
      </c>
      <c r="Q37" s="179">
        <f>VLOOKUP(A37,'OI(Value)'!A37:O238,9,0)</f>
        <v>46</v>
      </c>
      <c r="R37" s="179">
        <f>VLOOKUP(A37,'OI(Value)'!A37:O238,11,0)</f>
        <v>688</v>
      </c>
      <c r="S37" s="179">
        <f>VLOOKUP(A37,'OI(Value)'!A37:O238,11,0)</f>
        <v>688</v>
      </c>
    </row>
    <row r="38" spans="1:19" x14ac:dyDescent="0.25">
      <c r="A38" s="105" t="str">
        <f>'Data shares'!C33</f>
        <v>BIOCON</v>
      </c>
      <c r="B38" s="143">
        <f>VLOOKUP($A38,'Data shares'!$C:$FA,118)</f>
        <v>0.52</v>
      </c>
      <c r="C38" s="143">
        <f>VLOOKUP($A38,'Data shares'!$C:$FA,119)</f>
        <v>0.51</v>
      </c>
      <c r="D38" s="143">
        <f>VLOOKUP($A38,'Data shares'!$C:$FA,121)*100</f>
        <v>1.96</v>
      </c>
      <c r="E38" s="143">
        <f>VLOOKUP($A38,'Data shares'!$C:$FA,124)</f>
        <v>0.45</v>
      </c>
      <c r="F38" s="143">
        <f>VLOOKUP($A38,'Data shares'!$C:$FA,125)</f>
        <v>0.34</v>
      </c>
      <c r="G38" s="143">
        <f>VLOOKUP($A38,'Data shares'!$C:$FA,127)*100</f>
        <v>32.35</v>
      </c>
      <c r="H38" s="103">
        <f>VLOOKUP($A38,'OI(Volume)'!$A$7:$O$427,8)</f>
        <v>31135000</v>
      </c>
      <c r="I38" s="103">
        <f>VLOOKUP($A38,'OI(Volume)'!$A$7:$O$427,9)</f>
        <v>-1850000</v>
      </c>
      <c r="J38" s="103">
        <f>VLOOKUP($A38,'OI(Volume)'!$A$7:$O$427,11)</f>
        <v>16207500</v>
      </c>
      <c r="K38" s="103">
        <f>VLOOKUP($A38,'OI(Volume)'!$A$7:$O$427,12)</f>
        <v>-500000</v>
      </c>
      <c r="L38" s="103">
        <f>VLOOKUP($A38,'OI(Value)'!$A$7:$O$306,8,0)</f>
        <v>1225</v>
      </c>
      <c r="M38" s="103">
        <f>VLOOKUP($A38,'OI(Value)'!$A$7:$O$306,9,0)</f>
        <v>-73</v>
      </c>
      <c r="N38" s="103">
        <f>VLOOKUP($A38,'OI(Value)'!$A$7:$O$306,11,0)</f>
        <v>638</v>
      </c>
      <c r="O38" s="103">
        <f>VLOOKUP($A38,'OI(Value)'!$A$7:$O$306,12,0)</f>
        <v>-20</v>
      </c>
      <c r="P38" s="179">
        <f>VLOOKUP(A38,'OI(Value)'!A38:O239,8,0)</f>
        <v>1225</v>
      </c>
      <c r="Q38" s="179">
        <f>VLOOKUP(A38,'OI(Value)'!A38:O239,9,0)</f>
        <v>-73</v>
      </c>
      <c r="R38" s="179">
        <f>VLOOKUP(A38,'OI(Value)'!A38:O239,11,0)</f>
        <v>638</v>
      </c>
      <c r="S38" s="179">
        <f>VLOOKUP(A38,'OI(Value)'!A38:O239,11,0)</f>
        <v>638</v>
      </c>
    </row>
    <row r="39" spans="1:19" x14ac:dyDescent="0.25">
      <c r="A39" s="105" t="str">
        <f>'Data shares'!C34</f>
        <v>BLUESTARCO</v>
      </c>
      <c r="B39" s="143">
        <f>VLOOKUP($A39,'Data shares'!$C:$FA,118)</f>
        <v>0.95</v>
      </c>
      <c r="C39" s="143">
        <f>VLOOKUP($A39,'Data shares'!$C:$FA,119)</f>
        <v>0.7</v>
      </c>
      <c r="D39" s="143">
        <f>VLOOKUP($A39,'Data shares'!$C:$FA,121)*100</f>
        <v>35.709999999999994</v>
      </c>
      <c r="E39" s="143">
        <f>VLOOKUP($A39,'Data shares'!$C:$FA,124)</f>
        <v>0.65</v>
      </c>
      <c r="F39" s="143">
        <f>VLOOKUP($A39,'Data shares'!$C:$FA,125)</f>
        <v>0.23</v>
      </c>
      <c r="G39" s="143">
        <f>VLOOKUP($A39,'Data shares'!$C:$FA,127)*100</f>
        <v>182.61</v>
      </c>
      <c r="H39" s="103">
        <f>VLOOKUP($A39,'OI(Volume)'!$A$7:$O$427,8)</f>
        <v>608400</v>
      </c>
      <c r="I39" s="103">
        <f>VLOOKUP($A39,'OI(Volume)'!$A$7:$O$427,9)</f>
        <v>-135525</v>
      </c>
      <c r="J39" s="103">
        <f>VLOOKUP($A39,'OI(Volume)'!$A$7:$O$427,11)</f>
        <v>578825</v>
      </c>
      <c r="K39" s="103">
        <f>VLOOKUP($A39,'OI(Volume)'!$A$7:$O$427,12)</f>
        <v>58175</v>
      </c>
      <c r="L39" s="103">
        <f>VLOOKUP($A39,'OI(Value)'!$A$7:$O$306,8,0)</f>
        <v>113</v>
      </c>
      <c r="M39" s="103">
        <f>VLOOKUP($A39,'OI(Value)'!$A$7:$O$306,9,0)</f>
        <v>-25</v>
      </c>
      <c r="N39" s="103">
        <f>VLOOKUP($A39,'OI(Value)'!$A$7:$O$306,11,0)</f>
        <v>107</v>
      </c>
      <c r="O39" s="103">
        <f>VLOOKUP($A39,'OI(Value)'!$A$7:$O$306,12,0)</f>
        <v>11</v>
      </c>
      <c r="P39" s="179">
        <f>VLOOKUP(A39,'OI(Value)'!A39:O240,8,0)</f>
        <v>113</v>
      </c>
      <c r="Q39" s="179">
        <f>VLOOKUP(A39,'OI(Value)'!A39:O240,9,0)</f>
        <v>-25</v>
      </c>
      <c r="R39" s="179">
        <f>VLOOKUP(A39,'OI(Value)'!A39:O240,11,0)</f>
        <v>107</v>
      </c>
      <c r="S39" s="179">
        <f>VLOOKUP(A39,'OI(Value)'!A39:O240,11,0)</f>
        <v>107</v>
      </c>
    </row>
    <row r="40" spans="1:19" x14ac:dyDescent="0.25">
      <c r="A40" s="105" t="str">
        <f>'Data shares'!C35</f>
        <v>BOSCHLTD</v>
      </c>
      <c r="B40" s="143">
        <f>VLOOKUP($A40,'Data shares'!$C:$FA,118)</f>
        <v>0.43</v>
      </c>
      <c r="C40" s="143">
        <f>VLOOKUP($A40,'Data shares'!$C:$FA,119)</f>
        <v>0.48</v>
      </c>
      <c r="D40" s="143">
        <f>VLOOKUP($A40,'Data shares'!$C:$FA,121)*100</f>
        <v>-10.42</v>
      </c>
      <c r="E40" s="143">
        <f>VLOOKUP($A40,'Data shares'!$C:$FA,124)</f>
        <v>0.2</v>
      </c>
      <c r="F40" s="143">
        <f>VLOOKUP($A40,'Data shares'!$C:$FA,125)</f>
        <v>0.15</v>
      </c>
      <c r="G40" s="143">
        <f>VLOOKUP($A40,'Data shares'!$C:$FA,127)*100</f>
        <v>33.33</v>
      </c>
      <c r="H40" s="103">
        <f>VLOOKUP($A40,'OI(Volume)'!$A$7:$O$427,8)</f>
        <v>97225</v>
      </c>
      <c r="I40" s="103">
        <f>VLOOKUP($A40,'OI(Volume)'!$A$7:$O$427,9)</f>
        <v>8100</v>
      </c>
      <c r="J40" s="103">
        <f>VLOOKUP($A40,'OI(Volume)'!$A$7:$O$427,11)</f>
        <v>42125</v>
      </c>
      <c r="K40" s="103">
        <f>VLOOKUP($A40,'OI(Volume)'!$A$7:$O$427,12)</f>
        <v>-400</v>
      </c>
      <c r="L40" s="103">
        <f>VLOOKUP($A40,'OI(Value)'!$A$7:$O$306,8,0)</f>
        <v>348</v>
      </c>
      <c r="M40" s="103">
        <f>VLOOKUP($A40,'OI(Value)'!$A$7:$O$306,9,0)</f>
        <v>29</v>
      </c>
      <c r="N40" s="103">
        <f>VLOOKUP($A40,'OI(Value)'!$A$7:$O$306,11,0)</f>
        <v>151</v>
      </c>
      <c r="O40" s="103">
        <f>VLOOKUP($A40,'OI(Value)'!$A$7:$O$306,12,0)</f>
        <v>-1</v>
      </c>
      <c r="P40" s="179">
        <f>VLOOKUP(A40,'OI(Value)'!A40:O241,8,0)</f>
        <v>348</v>
      </c>
      <c r="Q40" s="179">
        <f>VLOOKUP(A40,'OI(Value)'!A40:O241,9,0)</f>
        <v>29</v>
      </c>
      <c r="R40" s="179">
        <f>VLOOKUP(A40,'OI(Value)'!A40:O241,11,0)</f>
        <v>151</v>
      </c>
      <c r="S40" s="179">
        <f>VLOOKUP(A40,'OI(Value)'!A40:O241,11,0)</f>
        <v>151</v>
      </c>
    </row>
    <row r="41" spans="1:19" x14ac:dyDescent="0.25">
      <c r="A41" s="105" t="str">
        <f>'Data shares'!C36</f>
        <v>BPCL</v>
      </c>
      <c r="B41" s="143">
        <f>VLOOKUP($A41,'Data shares'!$C:$FA,118)</f>
        <v>0.56999999999999995</v>
      </c>
      <c r="C41" s="143">
        <f>VLOOKUP($A41,'Data shares'!$C:$FA,119)</f>
        <v>0.56999999999999995</v>
      </c>
      <c r="D41" s="143">
        <f>VLOOKUP($A41,'Data shares'!$C:$FA,121)*100</f>
        <v>0</v>
      </c>
      <c r="E41" s="143">
        <f>VLOOKUP($A41,'Data shares'!$C:$FA,124)</f>
        <v>0.42</v>
      </c>
      <c r="F41" s="143">
        <f>VLOOKUP($A41,'Data shares'!$C:$FA,125)</f>
        <v>0.27</v>
      </c>
      <c r="G41" s="143">
        <f>VLOOKUP($A41,'Data shares'!$C:$FA,127)*100</f>
        <v>55.559999999999995</v>
      </c>
      <c r="H41" s="103">
        <f>VLOOKUP($A41,'OI(Volume)'!$A$7:$O$427,8)</f>
        <v>19896150</v>
      </c>
      <c r="I41" s="103">
        <f>VLOOKUP($A41,'OI(Volume)'!$A$7:$O$427,9)</f>
        <v>-69125</v>
      </c>
      <c r="J41" s="103">
        <f>VLOOKUP($A41,'OI(Volume)'!$A$7:$O$427,11)</f>
        <v>11377975</v>
      </c>
      <c r="K41" s="103">
        <f>VLOOKUP($A41,'OI(Volume)'!$A$7:$O$427,12)</f>
        <v>-84925</v>
      </c>
      <c r="L41" s="103">
        <f>VLOOKUP($A41,'OI(Value)'!$A$7:$O$306,8,0)</f>
        <v>726</v>
      </c>
      <c r="M41" s="103">
        <f>VLOOKUP($A41,'OI(Value)'!$A$7:$O$306,9,0)</f>
        <v>-3</v>
      </c>
      <c r="N41" s="103">
        <f>VLOOKUP($A41,'OI(Value)'!$A$7:$O$306,11,0)</f>
        <v>415</v>
      </c>
      <c r="O41" s="103">
        <f>VLOOKUP($A41,'OI(Value)'!$A$7:$O$306,12,0)</f>
        <v>-3</v>
      </c>
      <c r="P41" s="179">
        <f>VLOOKUP(A41,'OI(Value)'!A41:O242,8,0)</f>
        <v>726</v>
      </c>
      <c r="Q41" s="179">
        <f>VLOOKUP(A41,'OI(Value)'!A41:O242,9,0)</f>
        <v>-3</v>
      </c>
      <c r="R41" s="179">
        <f>VLOOKUP(A41,'OI(Value)'!A41:O242,11,0)</f>
        <v>415</v>
      </c>
      <c r="S41" s="179">
        <f>VLOOKUP(A41,'OI(Value)'!A41:O242,11,0)</f>
        <v>415</v>
      </c>
    </row>
    <row r="42" spans="1:19" x14ac:dyDescent="0.25">
      <c r="A42" s="105" t="str">
        <f>'Data shares'!C37</f>
        <v>BRITANNIA</v>
      </c>
      <c r="B42" s="143">
        <f>VLOOKUP($A42,'Data shares'!$C:$FA,118)</f>
        <v>0.59</v>
      </c>
      <c r="C42" s="143">
        <f>VLOOKUP($A42,'Data shares'!$C:$FA,119)</f>
        <v>0.64</v>
      </c>
      <c r="D42" s="143">
        <f>VLOOKUP($A42,'Data shares'!$C:$FA,121)*100</f>
        <v>-7.8100000000000005</v>
      </c>
      <c r="E42" s="143">
        <f>VLOOKUP($A42,'Data shares'!$C:$FA,124)</f>
        <v>0.36</v>
      </c>
      <c r="F42" s="143">
        <f>VLOOKUP($A42,'Data shares'!$C:$FA,125)</f>
        <v>0.36</v>
      </c>
      <c r="G42" s="143">
        <f>VLOOKUP($A42,'Data shares'!$C:$FA,127)*100</f>
        <v>0</v>
      </c>
      <c r="H42" s="103">
        <f>VLOOKUP($A42,'OI(Volume)'!$A$7:$O$427,8)</f>
        <v>1345750</v>
      </c>
      <c r="I42" s="103">
        <f>VLOOKUP($A42,'OI(Volume)'!$A$7:$O$427,9)</f>
        <v>82375</v>
      </c>
      <c r="J42" s="103">
        <f>VLOOKUP($A42,'OI(Volume)'!$A$7:$O$427,11)</f>
        <v>790625</v>
      </c>
      <c r="K42" s="103">
        <f>VLOOKUP($A42,'OI(Volume)'!$A$7:$O$427,12)</f>
        <v>-12250</v>
      </c>
      <c r="L42" s="103">
        <f>VLOOKUP($A42,'OI(Value)'!$A$7:$O$306,8,0)</f>
        <v>814</v>
      </c>
      <c r="M42" s="103">
        <f>VLOOKUP($A42,'OI(Value)'!$A$7:$O$306,9,0)</f>
        <v>50</v>
      </c>
      <c r="N42" s="103">
        <f>VLOOKUP($A42,'OI(Value)'!$A$7:$O$306,11,0)</f>
        <v>478</v>
      </c>
      <c r="O42" s="103">
        <f>VLOOKUP($A42,'OI(Value)'!$A$7:$O$306,12,0)</f>
        <v>-7</v>
      </c>
      <c r="P42" s="179">
        <f>VLOOKUP(A42,'OI(Value)'!A42:O243,8,0)</f>
        <v>814</v>
      </c>
      <c r="Q42" s="179">
        <f>VLOOKUP(A42,'OI(Value)'!A42:O243,9,0)</f>
        <v>50</v>
      </c>
      <c r="R42" s="179">
        <f>VLOOKUP(A42,'OI(Value)'!A42:O243,11,0)</f>
        <v>478</v>
      </c>
      <c r="S42" s="179">
        <f>VLOOKUP(A42,'OI(Value)'!A42:O243,11,0)</f>
        <v>478</v>
      </c>
    </row>
    <row r="43" spans="1:19" x14ac:dyDescent="0.25">
      <c r="A43" s="105" t="str">
        <f>'Data shares'!C38</f>
        <v>BSE</v>
      </c>
      <c r="B43" s="143">
        <f>VLOOKUP($A43,'Data shares'!$C:$FA,118)</f>
        <v>0.55000000000000004</v>
      </c>
      <c r="C43" s="143">
        <f>VLOOKUP($A43,'Data shares'!$C:$FA,119)</f>
        <v>0.5</v>
      </c>
      <c r="D43" s="143">
        <f>VLOOKUP($A43,'Data shares'!$C:$FA,121)*100</f>
        <v>10</v>
      </c>
      <c r="E43" s="143">
        <f>VLOOKUP($A43,'Data shares'!$C:$FA,124)</f>
        <v>0.48</v>
      </c>
      <c r="F43" s="143">
        <f>VLOOKUP($A43,'Data shares'!$C:$FA,125)</f>
        <v>0.53</v>
      </c>
      <c r="G43" s="143">
        <f>VLOOKUP($A43,'Data shares'!$C:$FA,127)*100</f>
        <v>-9.43</v>
      </c>
      <c r="H43" s="103">
        <f>VLOOKUP($A43,'OI(Volume)'!$A$7:$O$427,8)</f>
        <v>13107750</v>
      </c>
      <c r="I43" s="103">
        <f>VLOOKUP($A43,'OI(Volume)'!$A$7:$O$427,9)</f>
        <v>-1834125</v>
      </c>
      <c r="J43" s="103">
        <f>VLOOKUP($A43,'OI(Volume)'!$A$7:$O$427,11)</f>
        <v>7259250</v>
      </c>
      <c r="K43" s="103">
        <f>VLOOKUP($A43,'OI(Volume)'!$A$7:$O$427,12)</f>
        <v>-285750</v>
      </c>
      <c r="L43" s="103">
        <f>VLOOKUP($A43,'OI(Value)'!$A$7:$O$306,8,0)</f>
        <v>3525</v>
      </c>
      <c r="M43" s="103">
        <f>VLOOKUP($A43,'OI(Value)'!$A$7:$O$306,9,0)</f>
        <v>-493</v>
      </c>
      <c r="N43" s="103">
        <f>VLOOKUP($A43,'OI(Value)'!$A$7:$O$306,11,0)</f>
        <v>1952</v>
      </c>
      <c r="O43" s="103">
        <f>VLOOKUP($A43,'OI(Value)'!$A$7:$O$306,12,0)</f>
        <v>-77</v>
      </c>
      <c r="P43" s="179">
        <f>VLOOKUP(A43,'OI(Value)'!A43:O244,8,0)</f>
        <v>3525</v>
      </c>
      <c r="Q43" s="179">
        <f>VLOOKUP(A43,'OI(Value)'!A43:O244,9,0)</f>
        <v>-493</v>
      </c>
      <c r="R43" s="179">
        <f>VLOOKUP(A43,'OI(Value)'!A43:O244,11,0)</f>
        <v>1952</v>
      </c>
      <c r="S43" s="179">
        <f>VLOOKUP(A43,'OI(Value)'!A43:O244,11,0)</f>
        <v>1952</v>
      </c>
    </row>
    <row r="44" spans="1:19" x14ac:dyDescent="0.25">
      <c r="A44" s="105" t="str">
        <f>'Data shares'!C39</f>
        <v>CAMS</v>
      </c>
      <c r="B44" s="143">
        <f>VLOOKUP($A44,'Data shares'!$C:$FA,118)</f>
        <v>0.64</v>
      </c>
      <c r="C44" s="143">
        <f>VLOOKUP($A44,'Data shares'!$C:$FA,119)</f>
        <v>0.65</v>
      </c>
      <c r="D44" s="143">
        <f>VLOOKUP($A44,'Data shares'!$C:$FA,121)*100</f>
        <v>-1.54</v>
      </c>
      <c r="E44" s="143">
        <f>VLOOKUP($A44,'Data shares'!$C:$FA,124)</f>
        <v>0.31</v>
      </c>
      <c r="F44" s="143">
        <f>VLOOKUP($A44,'Data shares'!$C:$FA,125)</f>
        <v>0.94</v>
      </c>
      <c r="G44" s="143">
        <f>VLOOKUP($A44,'Data shares'!$C:$FA,127)*100</f>
        <v>-67.02</v>
      </c>
      <c r="H44" s="103">
        <f>VLOOKUP($A44,'OI(Volume)'!$A$7:$O$427,8)</f>
        <v>6111750</v>
      </c>
      <c r="I44" s="103">
        <f>VLOOKUP($A44,'OI(Volume)'!$A$7:$O$427,9)</f>
        <v>201750</v>
      </c>
      <c r="J44" s="103">
        <f>VLOOKUP($A44,'OI(Volume)'!$A$7:$O$427,11)</f>
        <v>3891000</v>
      </c>
      <c r="K44" s="103">
        <f>VLOOKUP($A44,'OI(Volume)'!$A$7:$O$427,12)</f>
        <v>27750</v>
      </c>
      <c r="L44" s="103">
        <f>VLOOKUP($A44,'OI(Value)'!$A$7:$O$306,8,0)</f>
        <v>461</v>
      </c>
      <c r="M44" s="103">
        <f>VLOOKUP($A44,'OI(Value)'!$A$7:$O$306,9,0)</f>
        <v>15</v>
      </c>
      <c r="N44" s="103">
        <f>VLOOKUP($A44,'OI(Value)'!$A$7:$O$306,11,0)</f>
        <v>293</v>
      </c>
      <c r="O44" s="103">
        <f>VLOOKUP($A44,'OI(Value)'!$A$7:$O$306,12,0)</f>
        <v>2</v>
      </c>
      <c r="P44" s="179">
        <f>VLOOKUP(A44,'OI(Value)'!A44:O245,8,0)</f>
        <v>461</v>
      </c>
      <c r="Q44" s="179">
        <f>VLOOKUP(A44,'OI(Value)'!A44:O245,9,0)</f>
        <v>15</v>
      </c>
      <c r="R44" s="179">
        <f>VLOOKUP(A44,'OI(Value)'!A44:O245,11,0)</f>
        <v>293</v>
      </c>
      <c r="S44" s="179">
        <f>VLOOKUP(A44,'OI(Value)'!A44:O245,11,0)</f>
        <v>293</v>
      </c>
    </row>
    <row r="45" spans="1:19" x14ac:dyDescent="0.25">
      <c r="A45" s="105" t="str">
        <f>'Data shares'!C40</f>
        <v>CANBK</v>
      </c>
      <c r="B45" s="143">
        <f>VLOOKUP($A45,'Data shares'!$C:$FA,118)</f>
        <v>0.81</v>
      </c>
      <c r="C45" s="143">
        <f>VLOOKUP($A45,'Data shares'!$C:$FA,119)</f>
        <v>0.82</v>
      </c>
      <c r="D45" s="143">
        <f>VLOOKUP($A45,'Data shares'!$C:$FA,121)*100</f>
        <v>-1.22</v>
      </c>
      <c r="E45" s="143">
        <f>VLOOKUP($A45,'Data shares'!$C:$FA,124)</f>
        <v>0.56999999999999995</v>
      </c>
      <c r="F45" s="143">
        <f>VLOOKUP($A45,'Data shares'!$C:$FA,125)</f>
        <v>0.49</v>
      </c>
      <c r="G45" s="143">
        <f>VLOOKUP($A45,'Data shares'!$C:$FA,127)*100</f>
        <v>16.329999999999998</v>
      </c>
      <c r="H45" s="103">
        <f>VLOOKUP($A45,'OI(Volume)'!$A$7:$O$427,8)</f>
        <v>111084750</v>
      </c>
      <c r="I45" s="103">
        <f>VLOOKUP($A45,'OI(Volume)'!$A$7:$O$427,9)</f>
        <v>384750</v>
      </c>
      <c r="J45" s="103">
        <f>VLOOKUP($A45,'OI(Volume)'!$A$7:$O$427,11)</f>
        <v>90200250</v>
      </c>
      <c r="K45" s="103">
        <f>VLOOKUP($A45,'OI(Volume)'!$A$7:$O$427,12)</f>
        <v>-634500</v>
      </c>
      <c r="L45" s="103">
        <f>VLOOKUP($A45,'OI(Value)'!$A$7:$O$306,8,0)</f>
        <v>1663</v>
      </c>
      <c r="M45" s="103">
        <f>VLOOKUP($A45,'OI(Value)'!$A$7:$O$306,9,0)</f>
        <v>6</v>
      </c>
      <c r="N45" s="103">
        <f>VLOOKUP($A45,'OI(Value)'!$A$7:$O$306,11,0)</f>
        <v>1350</v>
      </c>
      <c r="O45" s="103">
        <f>VLOOKUP($A45,'OI(Value)'!$A$7:$O$306,12,0)</f>
        <v>-9</v>
      </c>
      <c r="P45" s="179">
        <f>VLOOKUP(A45,'OI(Value)'!A45:O246,8,0)</f>
        <v>1663</v>
      </c>
      <c r="Q45" s="179">
        <f>VLOOKUP(A45,'OI(Value)'!A45:O246,9,0)</f>
        <v>6</v>
      </c>
      <c r="R45" s="179">
        <f>VLOOKUP(A45,'OI(Value)'!A45:O246,11,0)</f>
        <v>1350</v>
      </c>
      <c r="S45" s="179">
        <f>VLOOKUP(A45,'OI(Value)'!A45:O246,11,0)</f>
        <v>1350</v>
      </c>
    </row>
    <row r="46" spans="1:19" x14ac:dyDescent="0.25">
      <c r="A46" s="105" t="str">
        <f>'Data shares'!C41</f>
        <v>CDSL</v>
      </c>
      <c r="B46" s="143">
        <f>VLOOKUP($A46,'Data shares'!$C:$FA,118)</f>
        <v>0.45</v>
      </c>
      <c r="C46" s="143">
        <f>VLOOKUP($A46,'Data shares'!$C:$FA,119)</f>
        <v>0.44</v>
      </c>
      <c r="D46" s="143">
        <f>VLOOKUP($A46,'Data shares'!$C:$FA,121)*100</f>
        <v>2.27</v>
      </c>
      <c r="E46" s="143">
        <f>VLOOKUP($A46,'Data shares'!$C:$FA,124)</f>
        <v>0.26</v>
      </c>
      <c r="F46" s="143">
        <f>VLOOKUP($A46,'Data shares'!$C:$FA,125)</f>
        <v>0.35</v>
      </c>
      <c r="G46" s="143">
        <f>VLOOKUP($A46,'Data shares'!$C:$FA,127)*100</f>
        <v>-25.71</v>
      </c>
      <c r="H46" s="103">
        <f>VLOOKUP($A46,'OI(Volume)'!$A$7:$O$427,8)</f>
        <v>11409025</v>
      </c>
      <c r="I46" s="103">
        <f>VLOOKUP($A46,'OI(Volume)'!$A$7:$O$427,9)</f>
        <v>-299250</v>
      </c>
      <c r="J46" s="103">
        <f>VLOOKUP($A46,'OI(Volume)'!$A$7:$O$427,11)</f>
        <v>5124775</v>
      </c>
      <c r="K46" s="103">
        <f>VLOOKUP($A46,'OI(Volume)'!$A$7:$O$427,12)</f>
        <v>24225</v>
      </c>
      <c r="L46" s="103">
        <f>VLOOKUP($A46,'OI(Value)'!$A$7:$O$306,8,0)</f>
        <v>1701</v>
      </c>
      <c r="M46" s="103">
        <f>VLOOKUP($A46,'OI(Value)'!$A$7:$O$306,9,0)</f>
        <v>-45</v>
      </c>
      <c r="N46" s="103">
        <f>VLOOKUP($A46,'OI(Value)'!$A$7:$O$306,11,0)</f>
        <v>764</v>
      </c>
      <c r="O46" s="103">
        <f>VLOOKUP($A46,'OI(Value)'!$A$7:$O$306,12,0)</f>
        <v>4</v>
      </c>
      <c r="P46" s="179">
        <f>VLOOKUP(A46,'OI(Value)'!A46:O247,8,0)</f>
        <v>1701</v>
      </c>
      <c r="Q46" s="179">
        <f>VLOOKUP(A46,'OI(Value)'!A46:O247,9,0)</f>
        <v>-45</v>
      </c>
      <c r="R46" s="179">
        <f>VLOOKUP(A46,'OI(Value)'!A46:O247,11,0)</f>
        <v>764</v>
      </c>
      <c r="S46" s="179">
        <f>VLOOKUP(A46,'OI(Value)'!A46:O247,11,0)</f>
        <v>764</v>
      </c>
    </row>
    <row r="47" spans="1:19" x14ac:dyDescent="0.25">
      <c r="A47" s="105" t="str">
        <f>'Data shares'!C42</f>
        <v>CGPOWER</v>
      </c>
      <c r="B47" s="143">
        <f>VLOOKUP($A47,'Data shares'!$C:$FA,118)</f>
        <v>0.44</v>
      </c>
      <c r="C47" s="143">
        <f>VLOOKUP($A47,'Data shares'!$C:$FA,119)</f>
        <v>0.44</v>
      </c>
      <c r="D47" s="143">
        <f>VLOOKUP($A47,'Data shares'!$C:$FA,121)*100</f>
        <v>0</v>
      </c>
      <c r="E47" s="143">
        <f>VLOOKUP($A47,'Data shares'!$C:$FA,124)</f>
        <v>0.41</v>
      </c>
      <c r="F47" s="143">
        <f>VLOOKUP($A47,'Data shares'!$C:$FA,125)</f>
        <v>0.22</v>
      </c>
      <c r="G47" s="143">
        <f>VLOOKUP($A47,'Data shares'!$C:$FA,127)*100</f>
        <v>86.36</v>
      </c>
      <c r="H47" s="103">
        <f>VLOOKUP($A47,'OI(Volume)'!$A$7:$O$427,8)</f>
        <v>9453700</v>
      </c>
      <c r="I47" s="103">
        <f>VLOOKUP($A47,'OI(Volume)'!$A$7:$O$427,9)</f>
        <v>-185300</v>
      </c>
      <c r="J47" s="103">
        <f>VLOOKUP($A47,'OI(Volume)'!$A$7:$O$427,11)</f>
        <v>4167550</v>
      </c>
      <c r="K47" s="103">
        <f>VLOOKUP($A47,'OI(Volume)'!$A$7:$O$427,12)</f>
        <v>-113050</v>
      </c>
      <c r="L47" s="103">
        <f>VLOOKUP($A47,'OI(Value)'!$A$7:$O$306,8,0)</f>
        <v>626</v>
      </c>
      <c r="M47" s="103">
        <f>VLOOKUP($A47,'OI(Value)'!$A$7:$O$306,9,0)</f>
        <v>-12</v>
      </c>
      <c r="N47" s="103">
        <f>VLOOKUP($A47,'OI(Value)'!$A$7:$O$306,11,0)</f>
        <v>276</v>
      </c>
      <c r="O47" s="103">
        <f>VLOOKUP($A47,'OI(Value)'!$A$7:$O$306,12,0)</f>
        <v>-7</v>
      </c>
      <c r="P47" s="179">
        <f>VLOOKUP(A47,'OI(Value)'!A47:O248,8,0)</f>
        <v>626</v>
      </c>
      <c r="Q47" s="179">
        <f>VLOOKUP(A47,'OI(Value)'!A47:O248,9,0)</f>
        <v>-12</v>
      </c>
      <c r="R47" s="179">
        <f>VLOOKUP(A47,'OI(Value)'!A47:O248,11,0)</f>
        <v>276</v>
      </c>
      <c r="S47" s="179">
        <f>VLOOKUP(A47,'OI(Value)'!A47:O248,11,0)</f>
        <v>276</v>
      </c>
    </row>
    <row r="48" spans="1:19" x14ac:dyDescent="0.25">
      <c r="A48" s="105" t="str">
        <f>'Data shares'!C43</f>
        <v>CHOLAFIN</v>
      </c>
      <c r="B48" s="143">
        <f>VLOOKUP($A48,'Data shares'!$C:$FA,118)</f>
        <v>0.89</v>
      </c>
      <c r="C48" s="143">
        <f>VLOOKUP($A48,'Data shares'!$C:$FA,119)</f>
        <v>0.74</v>
      </c>
      <c r="D48" s="143">
        <f>VLOOKUP($A48,'Data shares'!$C:$FA,121)*100</f>
        <v>20.27</v>
      </c>
      <c r="E48" s="143">
        <f>VLOOKUP($A48,'Data shares'!$C:$FA,124)</f>
        <v>0.91</v>
      </c>
      <c r="F48" s="143">
        <f>VLOOKUP($A48,'Data shares'!$C:$FA,125)</f>
        <v>0.64</v>
      </c>
      <c r="G48" s="143">
        <f>VLOOKUP($A48,'Data shares'!$C:$FA,127)*100</f>
        <v>42.19</v>
      </c>
      <c r="H48" s="103">
        <f>VLOOKUP($A48,'OI(Volume)'!$A$7:$O$427,8)</f>
        <v>5990000</v>
      </c>
      <c r="I48" s="103">
        <f>VLOOKUP($A48,'OI(Volume)'!$A$7:$O$427,9)</f>
        <v>145625</v>
      </c>
      <c r="J48" s="103">
        <f>VLOOKUP($A48,'OI(Volume)'!$A$7:$O$427,11)</f>
        <v>5344375</v>
      </c>
      <c r="K48" s="103">
        <f>VLOOKUP($A48,'OI(Volume)'!$A$7:$O$427,12)</f>
        <v>1036875</v>
      </c>
      <c r="L48" s="103">
        <f>VLOOKUP($A48,'OI(Value)'!$A$7:$O$306,8,0)</f>
        <v>1010</v>
      </c>
      <c r="M48" s="103">
        <f>VLOOKUP($A48,'OI(Value)'!$A$7:$O$306,9,0)</f>
        <v>25</v>
      </c>
      <c r="N48" s="103">
        <f>VLOOKUP($A48,'OI(Value)'!$A$7:$O$306,11,0)</f>
        <v>901</v>
      </c>
      <c r="O48" s="103">
        <f>VLOOKUP($A48,'OI(Value)'!$A$7:$O$306,12,0)</f>
        <v>175</v>
      </c>
      <c r="P48" s="179">
        <f>VLOOKUP(A48,'OI(Value)'!A48:O249,8,0)</f>
        <v>1010</v>
      </c>
      <c r="Q48" s="179">
        <f>VLOOKUP(A48,'OI(Value)'!A48:O249,9,0)</f>
        <v>25</v>
      </c>
      <c r="R48" s="179">
        <f>VLOOKUP(A48,'OI(Value)'!A48:O249,11,0)</f>
        <v>901</v>
      </c>
      <c r="S48" s="179">
        <f>VLOOKUP(A48,'OI(Value)'!A48:O249,11,0)</f>
        <v>901</v>
      </c>
    </row>
    <row r="49" spans="1:19" x14ac:dyDescent="0.25">
      <c r="A49" s="105" t="str">
        <f>'Data shares'!C44</f>
        <v>CIPLA</v>
      </c>
      <c r="B49" s="143">
        <f>VLOOKUP($A49,'Data shares'!$C:$FA,118)</f>
        <v>0.66</v>
      </c>
      <c r="C49" s="143">
        <f>VLOOKUP($A49,'Data shares'!$C:$FA,119)</f>
        <v>0.65</v>
      </c>
      <c r="D49" s="143">
        <f>VLOOKUP($A49,'Data shares'!$C:$FA,121)*100</f>
        <v>1.54</v>
      </c>
      <c r="E49" s="143">
        <f>VLOOKUP($A49,'Data shares'!$C:$FA,124)</f>
        <v>0.4</v>
      </c>
      <c r="F49" s="143">
        <f>VLOOKUP($A49,'Data shares'!$C:$FA,125)</f>
        <v>0.38</v>
      </c>
      <c r="G49" s="143">
        <f>VLOOKUP($A49,'Data shares'!$C:$FA,127)*100</f>
        <v>5.26</v>
      </c>
      <c r="H49" s="103">
        <f>VLOOKUP($A49,'OI(Volume)'!$A$7:$O$427,8)</f>
        <v>5991375</v>
      </c>
      <c r="I49" s="103">
        <f>VLOOKUP($A49,'OI(Volume)'!$A$7:$O$427,9)</f>
        <v>-151500</v>
      </c>
      <c r="J49" s="103">
        <f>VLOOKUP($A49,'OI(Volume)'!$A$7:$O$427,11)</f>
        <v>3982125</v>
      </c>
      <c r="K49" s="103">
        <f>VLOOKUP($A49,'OI(Volume)'!$A$7:$O$427,12)</f>
        <v>7500</v>
      </c>
      <c r="L49" s="103">
        <f>VLOOKUP($A49,'OI(Value)'!$A$7:$O$306,8,0)</f>
        <v>900</v>
      </c>
      <c r="M49" s="103">
        <f>VLOOKUP($A49,'OI(Value)'!$A$7:$O$306,9,0)</f>
        <v>-23</v>
      </c>
      <c r="N49" s="103">
        <f>VLOOKUP($A49,'OI(Value)'!$A$7:$O$306,11,0)</f>
        <v>598</v>
      </c>
      <c r="O49" s="103">
        <f>VLOOKUP($A49,'OI(Value)'!$A$7:$O$306,12,0)</f>
        <v>1</v>
      </c>
      <c r="P49" s="179">
        <f>VLOOKUP(A49,'OI(Value)'!A49:O250,8,0)</f>
        <v>900</v>
      </c>
      <c r="Q49" s="179">
        <f>VLOOKUP(A49,'OI(Value)'!A49:O250,9,0)</f>
        <v>-23</v>
      </c>
      <c r="R49" s="179">
        <f>VLOOKUP(A49,'OI(Value)'!A49:O250,11,0)</f>
        <v>598</v>
      </c>
      <c r="S49" s="179">
        <f>VLOOKUP(A49,'OI(Value)'!A49:O250,11,0)</f>
        <v>598</v>
      </c>
    </row>
    <row r="50" spans="1:19" x14ac:dyDescent="0.25">
      <c r="A50" s="105" t="str">
        <f>'Data shares'!C45</f>
        <v>COALINDIA</v>
      </c>
      <c r="B50" s="143">
        <f>VLOOKUP($A50,'Data shares'!$C:$FA,118)</f>
        <v>0.97</v>
      </c>
      <c r="C50" s="143">
        <f>VLOOKUP($A50,'Data shares'!$C:$FA,119)</f>
        <v>0.95</v>
      </c>
      <c r="D50" s="143">
        <f>VLOOKUP($A50,'Data shares'!$C:$FA,121)*100</f>
        <v>2.11</v>
      </c>
      <c r="E50" s="143">
        <f>VLOOKUP($A50,'Data shares'!$C:$FA,124)</f>
        <v>0.75</v>
      </c>
      <c r="F50" s="143">
        <f>VLOOKUP($A50,'Data shares'!$C:$FA,125)</f>
        <v>0.57999999999999996</v>
      </c>
      <c r="G50" s="143">
        <f>VLOOKUP($A50,'Data shares'!$C:$FA,127)*100</f>
        <v>29.310000000000002</v>
      </c>
      <c r="H50" s="103">
        <f>VLOOKUP($A50,'OI(Volume)'!$A$7:$O$427,8)</f>
        <v>19554750</v>
      </c>
      <c r="I50" s="103">
        <f>VLOOKUP($A50,'OI(Volume)'!$A$7:$O$427,9)</f>
        <v>-140400</v>
      </c>
      <c r="J50" s="103">
        <f>VLOOKUP($A50,'OI(Volume)'!$A$7:$O$427,11)</f>
        <v>18974250</v>
      </c>
      <c r="K50" s="103">
        <f>VLOOKUP($A50,'OI(Volume)'!$A$7:$O$427,12)</f>
        <v>206550</v>
      </c>
      <c r="L50" s="103">
        <f>VLOOKUP($A50,'OI(Value)'!$A$7:$O$306,8,0)</f>
        <v>756</v>
      </c>
      <c r="M50" s="103">
        <f>VLOOKUP($A50,'OI(Value)'!$A$7:$O$306,9,0)</f>
        <v>-5</v>
      </c>
      <c r="N50" s="103">
        <f>VLOOKUP($A50,'OI(Value)'!$A$7:$O$306,11,0)</f>
        <v>733</v>
      </c>
      <c r="O50" s="103">
        <f>VLOOKUP($A50,'OI(Value)'!$A$7:$O$306,12,0)</f>
        <v>8</v>
      </c>
      <c r="P50" s="179">
        <f>VLOOKUP(A50,'OI(Value)'!A50:O251,8,0)</f>
        <v>756</v>
      </c>
      <c r="Q50" s="179">
        <f>VLOOKUP(A50,'OI(Value)'!A50:O251,9,0)</f>
        <v>-5</v>
      </c>
      <c r="R50" s="179">
        <f>VLOOKUP(A50,'OI(Value)'!A50:O251,11,0)</f>
        <v>733</v>
      </c>
      <c r="S50" s="179">
        <f>VLOOKUP(A50,'OI(Value)'!A50:O251,11,0)</f>
        <v>733</v>
      </c>
    </row>
    <row r="51" spans="1:19" x14ac:dyDescent="0.25">
      <c r="A51" s="105" t="str">
        <f>'Data shares'!C46</f>
        <v>COFORGE</v>
      </c>
      <c r="B51" s="143">
        <f>VLOOKUP($A51,'Data shares'!$C:$FA,118)</f>
        <v>0.46</v>
      </c>
      <c r="C51" s="143">
        <f>VLOOKUP($A51,'Data shares'!$C:$FA,119)</f>
        <v>0.46</v>
      </c>
      <c r="D51" s="143">
        <f>VLOOKUP($A51,'Data shares'!$C:$FA,121)*100</f>
        <v>0</v>
      </c>
      <c r="E51" s="143">
        <f>VLOOKUP($A51,'Data shares'!$C:$FA,124)</f>
        <v>0.33</v>
      </c>
      <c r="F51" s="143">
        <f>VLOOKUP($A51,'Data shares'!$C:$FA,125)</f>
        <v>0.41</v>
      </c>
      <c r="G51" s="143">
        <f>VLOOKUP($A51,'Data shares'!$C:$FA,127)*100</f>
        <v>-19.509999999999998</v>
      </c>
      <c r="H51" s="103">
        <f>VLOOKUP($A51,'OI(Volume)'!$A$7:$O$427,8)</f>
        <v>7731750</v>
      </c>
      <c r="I51" s="103">
        <f>VLOOKUP($A51,'OI(Volume)'!$A$7:$O$427,9)</f>
        <v>-20625</v>
      </c>
      <c r="J51" s="103">
        <f>VLOOKUP($A51,'OI(Volume)'!$A$7:$O$427,11)</f>
        <v>3554250</v>
      </c>
      <c r="K51" s="103">
        <f>VLOOKUP($A51,'OI(Volume)'!$A$7:$O$427,12)</f>
        <v>6750</v>
      </c>
      <c r="L51" s="103">
        <f>VLOOKUP($A51,'OI(Value)'!$A$7:$O$306,8,0)</f>
        <v>1437</v>
      </c>
      <c r="M51" s="103">
        <f>VLOOKUP($A51,'OI(Value)'!$A$7:$O$306,9,0)</f>
        <v>-4</v>
      </c>
      <c r="N51" s="103">
        <f>VLOOKUP($A51,'OI(Value)'!$A$7:$O$306,11,0)</f>
        <v>661</v>
      </c>
      <c r="O51" s="103">
        <f>VLOOKUP($A51,'OI(Value)'!$A$7:$O$306,12,0)</f>
        <v>1</v>
      </c>
      <c r="P51" s="179">
        <f>VLOOKUP(A51,'OI(Value)'!A51:O252,8,0)</f>
        <v>1437</v>
      </c>
      <c r="Q51" s="179">
        <f>VLOOKUP(A51,'OI(Value)'!A51:O252,9,0)</f>
        <v>-4</v>
      </c>
      <c r="R51" s="179">
        <f>VLOOKUP(A51,'OI(Value)'!A51:O252,11,0)</f>
        <v>661</v>
      </c>
      <c r="S51" s="179">
        <f>VLOOKUP(A51,'OI(Value)'!A51:O252,11,0)</f>
        <v>661</v>
      </c>
    </row>
    <row r="52" spans="1:19" x14ac:dyDescent="0.25">
      <c r="A52" s="105" t="str">
        <f>'Data shares'!C47</f>
        <v>COLPAL</v>
      </c>
      <c r="B52" s="143">
        <f>VLOOKUP($A52,'Data shares'!$C:$FA,118)</f>
        <v>0.64</v>
      </c>
      <c r="C52" s="143">
        <f>VLOOKUP($A52,'Data shares'!$C:$FA,119)</f>
        <v>0.63</v>
      </c>
      <c r="D52" s="143">
        <f>VLOOKUP($A52,'Data shares'!$C:$FA,121)*100</f>
        <v>1.59</v>
      </c>
      <c r="E52" s="143">
        <f>VLOOKUP($A52,'Data shares'!$C:$FA,124)</f>
        <v>0.54</v>
      </c>
      <c r="F52" s="143">
        <f>VLOOKUP($A52,'Data shares'!$C:$FA,125)</f>
        <v>0.76</v>
      </c>
      <c r="G52" s="143">
        <f>VLOOKUP($A52,'Data shares'!$C:$FA,127)*100</f>
        <v>-28.95</v>
      </c>
      <c r="H52" s="103">
        <f>VLOOKUP($A52,'OI(Volume)'!$A$7:$O$427,8)</f>
        <v>2995425</v>
      </c>
      <c r="I52" s="103">
        <f>VLOOKUP($A52,'OI(Volume)'!$A$7:$O$427,9)</f>
        <v>-100575</v>
      </c>
      <c r="J52" s="103">
        <f>VLOOKUP($A52,'OI(Volume)'!$A$7:$O$427,11)</f>
        <v>1922625</v>
      </c>
      <c r="K52" s="103">
        <f>VLOOKUP($A52,'OI(Volume)'!$A$7:$O$427,12)</f>
        <v>-16650</v>
      </c>
      <c r="L52" s="103">
        <f>VLOOKUP($A52,'OI(Value)'!$A$7:$O$306,8,0)</f>
        <v>628</v>
      </c>
      <c r="M52" s="103">
        <f>VLOOKUP($A52,'OI(Value)'!$A$7:$O$306,9,0)</f>
        <v>-21</v>
      </c>
      <c r="N52" s="103">
        <f>VLOOKUP($A52,'OI(Value)'!$A$7:$O$306,11,0)</f>
        <v>403</v>
      </c>
      <c r="O52" s="103">
        <f>VLOOKUP($A52,'OI(Value)'!$A$7:$O$306,12,0)</f>
        <v>-3</v>
      </c>
      <c r="P52" s="179">
        <f>VLOOKUP(A52,'OI(Value)'!A52:O253,8,0)</f>
        <v>628</v>
      </c>
      <c r="Q52" s="179">
        <f>VLOOKUP(A52,'OI(Value)'!A52:O253,9,0)</f>
        <v>-21</v>
      </c>
      <c r="R52" s="179">
        <f>VLOOKUP(A52,'OI(Value)'!A52:O253,11,0)</f>
        <v>403</v>
      </c>
      <c r="S52" s="179">
        <f>VLOOKUP(A52,'OI(Value)'!A52:O253,11,0)</f>
        <v>403</v>
      </c>
    </row>
    <row r="53" spans="1:19" x14ac:dyDescent="0.25">
      <c r="A53" s="105" t="str">
        <f>'Data shares'!C48</f>
        <v>CONCOR</v>
      </c>
      <c r="B53" s="143">
        <f>VLOOKUP($A53,'Data shares'!$C:$FA,118)</f>
        <v>0.74</v>
      </c>
      <c r="C53" s="143">
        <f>VLOOKUP($A53,'Data shares'!$C:$FA,119)</f>
        <v>0.73</v>
      </c>
      <c r="D53" s="143">
        <f>VLOOKUP($A53,'Data shares'!$C:$FA,121)*100</f>
        <v>1.37</v>
      </c>
      <c r="E53" s="143">
        <f>VLOOKUP($A53,'Data shares'!$C:$FA,124)</f>
        <v>0.32</v>
      </c>
      <c r="F53" s="143">
        <f>VLOOKUP($A53,'Data shares'!$C:$FA,125)</f>
        <v>0.44</v>
      </c>
      <c r="G53" s="143">
        <f>VLOOKUP($A53,'Data shares'!$C:$FA,127)*100</f>
        <v>-27.27</v>
      </c>
      <c r="H53" s="103">
        <f>VLOOKUP($A53,'OI(Volume)'!$A$7:$O$427,8)</f>
        <v>13766250</v>
      </c>
      <c r="I53" s="103">
        <f>VLOOKUP($A53,'OI(Volume)'!$A$7:$O$427,9)</f>
        <v>-162500</v>
      </c>
      <c r="J53" s="103">
        <f>VLOOKUP($A53,'OI(Volume)'!$A$7:$O$427,11)</f>
        <v>10165000</v>
      </c>
      <c r="K53" s="103">
        <f>VLOOKUP($A53,'OI(Volume)'!$A$7:$O$427,12)</f>
        <v>15000</v>
      </c>
      <c r="L53" s="103">
        <f>VLOOKUP($A53,'OI(Value)'!$A$7:$O$306,8,0)</f>
        <v>687</v>
      </c>
      <c r="M53" s="103">
        <f>VLOOKUP($A53,'OI(Value)'!$A$7:$O$306,9,0)</f>
        <v>-8</v>
      </c>
      <c r="N53" s="103">
        <f>VLOOKUP($A53,'OI(Value)'!$A$7:$O$306,11,0)</f>
        <v>507</v>
      </c>
      <c r="O53" s="103">
        <f>VLOOKUP($A53,'OI(Value)'!$A$7:$O$306,12,0)</f>
        <v>1</v>
      </c>
      <c r="P53" s="179">
        <f>VLOOKUP(A53,'OI(Value)'!A53:O254,8,0)</f>
        <v>687</v>
      </c>
      <c r="Q53" s="179">
        <f>VLOOKUP(A53,'OI(Value)'!A53:O254,9,0)</f>
        <v>-8</v>
      </c>
      <c r="R53" s="179">
        <f>VLOOKUP(A53,'OI(Value)'!A53:O254,11,0)</f>
        <v>507</v>
      </c>
      <c r="S53" s="179">
        <f>VLOOKUP(A53,'OI(Value)'!A53:O254,11,0)</f>
        <v>507</v>
      </c>
    </row>
    <row r="54" spans="1:19" x14ac:dyDescent="0.25">
      <c r="A54" s="105" t="str">
        <f>'Data shares'!C49</f>
        <v>CROMPTON</v>
      </c>
      <c r="B54" s="143">
        <f>VLOOKUP($A54,'Data shares'!$C:$FA,118)</f>
        <v>0.48</v>
      </c>
      <c r="C54" s="143">
        <f>VLOOKUP($A54,'Data shares'!$C:$FA,119)</f>
        <v>0.49</v>
      </c>
      <c r="D54" s="143">
        <f>VLOOKUP($A54,'Data shares'!$C:$FA,121)*100</f>
        <v>-2.04</v>
      </c>
      <c r="E54" s="143">
        <f>VLOOKUP($A54,'Data shares'!$C:$FA,124)</f>
        <v>0.35</v>
      </c>
      <c r="F54" s="143">
        <f>VLOOKUP($A54,'Data shares'!$C:$FA,125)</f>
        <v>0.28999999999999998</v>
      </c>
      <c r="G54" s="143">
        <f>VLOOKUP($A54,'Data shares'!$C:$FA,127)*100</f>
        <v>20.69</v>
      </c>
      <c r="H54" s="103">
        <f>VLOOKUP($A54,'OI(Volume)'!$A$7:$O$427,8)</f>
        <v>28319400</v>
      </c>
      <c r="I54" s="103">
        <f>VLOOKUP($A54,'OI(Volume)'!$A$7:$O$427,9)</f>
        <v>3843000</v>
      </c>
      <c r="J54" s="103">
        <f>VLOOKUP($A54,'OI(Volume)'!$A$7:$O$427,11)</f>
        <v>13581000</v>
      </c>
      <c r="K54" s="103">
        <f>VLOOKUP($A54,'OI(Volume)'!$A$7:$O$427,12)</f>
        <v>1632600</v>
      </c>
      <c r="L54" s="103">
        <f>VLOOKUP($A54,'OI(Value)'!$A$7:$O$306,8,0)</f>
        <v>726</v>
      </c>
      <c r="M54" s="103">
        <f>VLOOKUP($A54,'OI(Value)'!$A$7:$O$306,9,0)</f>
        <v>99</v>
      </c>
      <c r="N54" s="103">
        <f>VLOOKUP($A54,'OI(Value)'!$A$7:$O$306,11,0)</f>
        <v>348</v>
      </c>
      <c r="O54" s="103">
        <f>VLOOKUP($A54,'OI(Value)'!$A$7:$O$306,12,0)</f>
        <v>42</v>
      </c>
      <c r="P54" s="179">
        <f>VLOOKUP(A54,'OI(Value)'!A54:O255,8,0)</f>
        <v>726</v>
      </c>
      <c r="Q54" s="179">
        <f>VLOOKUP(A54,'OI(Value)'!A54:O255,9,0)</f>
        <v>99</v>
      </c>
      <c r="R54" s="179">
        <f>VLOOKUP(A54,'OI(Value)'!A54:O255,11,0)</f>
        <v>348</v>
      </c>
      <c r="S54" s="179">
        <f>VLOOKUP(A54,'OI(Value)'!A54:O255,11,0)</f>
        <v>348</v>
      </c>
    </row>
    <row r="55" spans="1:19" x14ac:dyDescent="0.25">
      <c r="A55" s="105" t="str">
        <f>'Data shares'!C50</f>
        <v>CUMMINSIND</v>
      </c>
      <c r="B55" s="143">
        <f>VLOOKUP($A55,'Data shares'!$C:$FA,118)</f>
        <v>0.62</v>
      </c>
      <c r="C55" s="143">
        <f>VLOOKUP($A55,'Data shares'!$C:$FA,119)</f>
        <v>0.75</v>
      </c>
      <c r="D55" s="143">
        <f>VLOOKUP($A55,'Data shares'!$C:$FA,121)*100</f>
        <v>-17.330000000000002</v>
      </c>
      <c r="E55" s="143">
        <f>VLOOKUP($A55,'Data shares'!$C:$FA,124)</f>
        <v>0.8</v>
      </c>
      <c r="F55" s="143">
        <f>VLOOKUP($A55,'Data shares'!$C:$FA,125)</f>
        <v>0.33</v>
      </c>
      <c r="G55" s="143">
        <f>VLOOKUP($A55,'Data shares'!$C:$FA,127)*100</f>
        <v>142.41999999999999</v>
      </c>
      <c r="H55" s="103">
        <f>VLOOKUP($A55,'OI(Volume)'!$A$7:$O$427,8)</f>
        <v>1308200</v>
      </c>
      <c r="I55" s="103">
        <f>VLOOKUP($A55,'OI(Volume)'!$A$7:$O$427,9)</f>
        <v>236000</v>
      </c>
      <c r="J55" s="103">
        <f>VLOOKUP($A55,'OI(Volume)'!$A$7:$O$427,11)</f>
        <v>814000</v>
      </c>
      <c r="K55" s="103">
        <f>VLOOKUP($A55,'OI(Volume)'!$A$7:$O$427,12)</f>
        <v>14200</v>
      </c>
      <c r="L55" s="103">
        <f>VLOOKUP($A55,'OI(Value)'!$A$7:$O$306,8,0)</f>
        <v>574</v>
      </c>
      <c r="M55" s="103">
        <f>VLOOKUP($A55,'OI(Value)'!$A$7:$O$306,9,0)</f>
        <v>104</v>
      </c>
      <c r="N55" s="103">
        <f>VLOOKUP($A55,'OI(Value)'!$A$7:$O$306,11,0)</f>
        <v>357</v>
      </c>
      <c r="O55" s="103">
        <f>VLOOKUP($A55,'OI(Value)'!$A$7:$O$306,12,0)</f>
        <v>6</v>
      </c>
      <c r="P55" s="179">
        <f>VLOOKUP(A55,'OI(Value)'!A55:O256,8,0)</f>
        <v>574</v>
      </c>
      <c r="Q55" s="179">
        <f>VLOOKUP(A55,'OI(Value)'!A55:O256,9,0)</f>
        <v>104</v>
      </c>
      <c r="R55" s="179">
        <f>VLOOKUP(A55,'OI(Value)'!A55:O256,11,0)</f>
        <v>357</v>
      </c>
      <c r="S55" s="179">
        <f>VLOOKUP(A55,'OI(Value)'!A55:O256,11,0)</f>
        <v>357</v>
      </c>
    </row>
    <row r="56" spans="1:19" x14ac:dyDescent="0.25">
      <c r="A56" s="105" t="str">
        <f>'Data shares'!C51</f>
        <v>CYIENT</v>
      </c>
      <c r="B56" s="143">
        <f>VLOOKUP($A56,'Data shares'!$C:$FA,118)</f>
        <v>0.64</v>
      </c>
      <c r="C56" s="143">
        <f>VLOOKUP($A56,'Data shares'!$C:$FA,119)</f>
        <v>0.68</v>
      </c>
      <c r="D56" s="143">
        <f>VLOOKUP($A56,'Data shares'!$C:$FA,121)*100</f>
        <v>-5.88</v>
      </c>
      <c r="E56" s="143">
        <f>VLOOKUP($A56,'Data shares'!$C:$FA,124)</f>
        <v>0.19</v>
      </c>
      <c r="F56" s="143">
        <f>VLOOKUP($A56,'Data shares'!$C:$FA,125)</f>
        <v>0.75</v>
      </c>
      <c r="G56" s="143">
        <f>VLOOKUP($A56,'Data shares'!$C:$FA,127)*100</f>
        <v>-74.67</v>
      </c>
      <c r="H56" s="103">
        <f>VLOOKUP($A56,'OI(Volume)'!$A$7:$O$427,8)</f>
        <v>1563150</v>
      </c>
      <c r="I56" s="103">
        <f>VLOOKUP($A56,'OI(Volume)'!$A$7:$O$427,9)</f>
        <v>87550</v>
      </c>
      <c r="J56" s="103">
        <f>VLOOKUP($A56,'OI(Volume)'!$A$7:$O$427,11)</f>
        <v>1001725</v>
      </c>
      <c r="K56" s="103">
        <f>VLOOKUP($A56,'OI(Volume)'!$A$7:$O$427,12)</f>
        <v>-5525</v>
      </c>
      <c r="L56" s="103">
        <f>VLOOKUP($A56,'OI(Value)'!$A$7:$O$306,8,0)</f>
        <v>179</v>
      </c>
      <c r="M56" s="103">
        <f>VLOOKUP($A56,'OI(Value)'!$A$7:$O$306,9,0)</f>
        <v>10</v>
      </c>
      <c r="N56" s="103">
        <f>VLOOKUP($A56,'OI(Value)'!$A$7:$O$306,11,0)</f>
        <v>115</v>
      </c>
      <c r="O56" s="103">
        <f>VLOOKUP($A56,'OI(Value)'!$A$7:$O$306,12,0)</f>
        <v>-1</v>
      </c>
      <c r="P56" s="179">
        <f>VLOOKUP(A56,'OI(Value)'!A56:O257,8,0)</f>
        <v>179</v>
      </c>
      <c r="Q56" s="179">
        <f>VLOOKUP(A56,'OI(Value)'!A56:O257,9,0)</f>
        <v>10</v>
      </c>
      <c r="R56" s="179">
        <f>VLOOKUP(A56,'OI(Value)'!A56:O257,11,0)</f>
        <v>115</v>
      </c>
      <c r="S56" s="179">
        <f>VLOOKUP(A56,'OI(Value)'!A56:O257,11,0)</f>
        <v>115</v>
      </c>
    </row>
    <row r="57" spans="1:19" x14ac:dyDescent="0.25">
      <c r="A57" s="105" t="str">
        <f>'Data shares'!C52</f>
        <v>DABUR</v>
      </c>
      <c r="B57" s="143">
        <f>VLOOKUP($A57,'Data shares'!$C:$FA,118)</f>
        <v>0.56000000000000005</v>
      </c>
      <c r="C57" s="143">
        <f>VLOOKUP($A57,'Data shares'!$C:$FA,119)</f>
        <v>0.54</v>
      </c>
      <c r="D57" s="143">
        <f>VLOOKUP($A57,'Data shares'!$C:$FA,121)*100</f>
        <v>3.6999999999999997</v>
      </c>
      <c r="E57" s="143">
        <f>VLOOKUP($A57,'Data shares'!$C:$FA,124)</f>
        <v>0.36</v>
      </c>
      <c r="F57" s="143">
        <f>VLOOKUP($A57,'Data shares'!$C:$FA,125)</f>
        <v>0.36</v>
      </c>
      <c r="G57" s="143">
        <f>VLOOKUP($A57,'Data shares'!$C:$FA,127)*100</f>
        <v>0</v>
      </c>
      <c r="H57" s="103">
        <f>VLOOKUP($A57,'OI(Volume)'!$A$7:$O$427,8)</f>
        <v>15478750</v>
      </c>
      <c r="I57" s="103">
        <f>VLOOKUP($A57,'OI(Volume)'!$A$7:$O$427,9)</f>
        <v>-1250</v>
      </c>
      <c r="J57" s="103">
        <f>VLOOKUP($A57,'OI(Volume)'!$A$7:$O$427,11)</f>
        <v>8703750</v>
      </c>
      <c r="K57" s="103">
        <f>VLOOKUP($A57,'OI(Volume)'!$A$7:$O$427,12)</f>
        <v>337500</v>
      </c>
      <c r="L57" s="103">
        <f>VLOOKUP($A57,'OI(Value)'!$A$7:$O$306,8,0)</f>
        <v>764</v>
      </c>
      <c r="M57" s="103">
        <f>VLOOKUP($A57,'OI(Value)'!$A$7:$O$306,9,0)</f>
        <v>0</v>
      </c>
      <c r="N57" s="103">
        <f>VLOOKUP($A57,'OI(Value)'!$A$7:$O$306,11,0)</f>
        <v>430</v>
      </c>
      <c r="O57" s="103">
        <f>VLOOKUP($A57,'OI(Value)'!$A$7:$O$306,12,0)</f>
        <v>17</v>
      </c>
      <c r="P57" s="179">
        <f>VLOOKUP(A57,'OI(Value)'!A57:O258,8,0)</f>
        <v>764</v>
      </c>
      <c r="Q57" s="179">
        <f>VLOOKUP(A57,'OI(Value)'!A57:O258,9,0)</f>
        <v>0</v>
      </c>
      <c r="R57" s="179">
        <f>VLOOKUP(A57,'OI(Value)'!A57:O258,11,0)</f>
        <v>430</v>
      </c>
      <c r="S57" s="179">
        <f>VLOOKUP(A57,'OI(Value)'!A57:O258,11,0)</f>
        <v>430</v>
      </c>
    </row>
    <row r="58" spans="1:19" x14ac:dyDescent="0.25">
      <c r="A58" s="105" t="str">
        <f>'Data shares'!C53</f>
        <v>DALBHARAT</v>
      </c>
      <c r="B58" s="143">
        <f>VLOOKUP($A58,'Data shares'!$C:$FA,118)</f>
        <v>0.66</v>
      </c>
      <c r="C58" s="143">
        <f>VLOOKUP($A58,'Data shares'!$C:$FA,119)</f>
        <v>0.76</v>
      </c>
      <c r="D58" s="143">
        <f>VLOOKUP($A58,'Data shares'!$C:$FA,121)*100</f>
        <v>-13.16</v>
      </c>
      <c r="E58" s="143">
        <f>VLOOKUP($A58,'Data shares'!$C:$FA,124)</f>
        <v>0.84</v>
      </c>
      <c r="F58" s="143">
        <f>VLOOKUP($A58,'Data shares'!$C:$FA,125)</f>
        <v>0.4</v>
      </c>
      <c r="G58" s="143">
        <f>VLOOKUP($A58,'Data shares'!$C:$FA,127)*100</f>
        <v>110.00000000000001</v>
      </c>
      <c r="H58" s="103">
        <f>VLOOKUP($A58,'OI(Volume)'!$A$7:$O$427,8)</f>
        <v>1474850</v>
      </c>
      <c r="I58" s="103">
        <f>VLOOKUP($A58,'OI(Volume)'!$A$7:$O$427,9)</f>
        <v>148525</v>
      </c>
      <c r="J58" s="103">
        <f>VLOOKUP($A58,'OI(Volume)'!$A$7:$O$427,11)</f>
        <v>979875</v>
      </c>
      <c r="K58" s="103">
        <f>VLOOKUP($A58,'OI(Volume)'!$A$7:$O$427,12)</f>
        <v>-24050</v>
      </c>
      <c r="L58" s="103">
        <f>VLOOKUP($A58,'OI(Value)'!$A$7:$O$306,8,0)</f>
        <v>299</v>
      </c>
      <c r="M58" s="103">
        <f>VLOOKUP($A58,'OI(Value)'!$A$7:$O$306,9,0)</f>
        <v>30</v>
      </c>
      <c r="N58" s="103">
        <f>VLOOKUP($A58,'OI(Value)'!$A$7:$O$306,11,0)</f>
        <v>199</v>
      </c>
      <c r="O58" s="103">
        <f>VLOOKUP($A58,'OI(Value)'!$A$7:$O$306,12,0)</f>
        <v>-5</v>
      </c>
      <c r="P58" s="179">
        <f>VLOOKUP(A58,'OI(Value)'!A58:O259,8,0)</f>
        <v>299</v>
      </c>
      <c r="Q58" s="179">
        <f>VLOOKUP(A58,'OI(Value)'!A58:O259,9,0)</f>
        <v>30</v>
      </c>
      <c r="R58" s="179">
        <f>VLOOKUP(A58,'OI(Value)'!A58:O259,11,0)</f>
        <v>199</v>
      </c>
      <c r="S58" s="179">
        <f>VLOOKUP(A58,'OI(Value)'!A58:O259,11,0)</f>
        <v>199</v>
      </c>
    </row>
    <row r="59" spans="1:19" x14ac:dyDescent="0.25">
      <c r="A59" s="105" t="str">
        <f>'Data shares'!C54</f>
        <v>DELHIVERY</v>
      </c>
      <c r="B59" s="143">
        <f>VLOOKUP($A59,'Data shares'!$C:$FA,118)</f>
        <v>0.67</v>
      </c>
      <c r="C59" s="143">
        <f>VLOOKUP($A59,'Data shares'!$C:$FA,119)</f>
        <v>0.65</v>
      </c>
      <c r="D59" s="143">
        <f>VLOOKUP($A59,'Data shares'!$C:$FA,121)*100</f>
        <v>3.08</v>
      </c>
      <c r="E59" s="143">
        <f>VLOOKUP($A59,'Data shares'!$C:$FA,124)</f>
        <v>0.7</v>
      </c>
      <c r="F59" s="143">
        <f>VLOOKUP($A59,'Data shares'!$C:$FA,125)</f>
        <v>0.5</v>
      </c>
      <c r="G59" s="143">
        <f>VLOOKUP($A59,'Data shares'!$C:$FA,127)*100</f>
        <v>40</v>
      </c>
      <c r="H59" s="103">
        <f>VLOOKUP($A59,'OI(Volume)'!$A$7:$O$427,8)</f>
        <v>13491650</v>
      </c>
      <c r="I59" s="103">
        <f>VLOOKUP($A59,'OI(Volume)'!$A$7:$O$427,9)</f>
        <v>-313325</v>
      </c>
      <c r="J59" s="103">
        <f>VLOOKUP($A59,'OI(Volume)'!$A$7:$O$427,11)</f>
        <v>9026250</v>
      </c>
      <c r="K59" s="103">
        <f>VLOOKUP($A59,'OI(Volume)'!$A$7:$O$427,12)</f>
        <v>60175</v>
      </c>
      <c r="L59" s="103">
        <f>VLOOKUP($A59,'OI(Value)'!$A$7:$O$306,8,0)</f>
        <v>543</v>
      </c>
      <c r="M59" s="103">
        <f>VLOOKUP($A59,'OI(Value)'!$A$7:$O$306,9,0)</f>
        <v>-13</v>
      </c>
      <c r="N59" s="103">
        <f>VLOOKUP($A59,'OI(Value)'!$A$7:$O$306,11,0)</f>
        <v>363</v>
      </c>
      <c r="O59" s="103">
        <f>VLOOKUP($A59,'OI(Value)'!$A$7:$O$306,12,0)</f>
        <v>2</v>
      </c>
      <c r="P59" s="179">
        <f>VLOOKUP(A59,'OI(Value)'!A59:O260,8,0)</f>
        <v>543</v>
      </c>
      <c r="Q59" s="179">
        <f>VLOOKUP(A59,'OI(Value)'!A59:O260,9,0)</f>
        <v>-13</v>
      </c>
      <c r="R59" s="179">
        <f>VLOOKUP(A59,'OI(Value)'!A59:O260,11,0)</f>
        <v>363</v>
      </c>
      <c r="S59" s="179">
        <f>VLOOKUP(A59,'OI(Value)'!A59:O260,11,0)</f>
        <v>363</v>
      </c>
    </row>
    <row r="60" spans="1:19" x14ac:dyDescent="0.25">
      <c r="A60" s="105" t="str">
        <f>'Data shares'!C55</f>
        <v>DIVISLAB</v>
      </c>
      <c r="B60" s="143">
        <f>VLOOKUP($A60,'Data shares'!$C:$FA,118)</f>
        <v>0.71</v>
      </c>
      <c r="C60" s="143">
        <f>VLOOKUP($A60,'Data shares'!$C:$FA,119)</f>
        <v>0.7</v>
      </c>
      <c r="D60" s="143">
        <f>VLOOKUP($A60,'Data shares'!$C:$FA,121)*100</f>
        <v>1.43</v>
      </c>
      <c r="E60" s="143">
        <f>VLOOKUP($A60,'Data shares'!$C:$FA,124)</f>
        <v>0.31</v>
      </c>
      <c r="F60" s="143">
        <f>VLOOKUP($A60,'Data shares'!$C:$FA,125)</f>
        <v>0.45</v>
      </c>
      <c r="G60" s="143">
        <f>VLOOKUP($A60,'Data shares'!$C:$FA,127)*100</f>
        <v>-31.11</v>
      </c>
      <c r="H60" s="103">
        <f>VLOOKUP($A60,'OI(Volume)'!$A$7:$O$427,8)</f>
        <v>976400</v>
      </c>
      <c r="I60" s="103">
        <f>VLOOKUP($A60,'OI(Volume)'!$A$7:$O$427,9)</f>
        <v>22000</v>
      </c>
      <c r="J60" s="103">
        <f>VLOOKUP($A60,'OI(Volume)'!$A$7:$O$427,11)</f>
        <v>690100</v>
      </c>
      <c r="K60" s="103">
        <f>VLOOKUP($A60,'OI(Volume)'!$A$7:$O$427,12)</f>
        <v>18000</v>
      </c>
      <c r="L60" s="103">
        <f>VLOOKUP($A60,'OI(Value)'!$A$7:$O$306,8,0)</f>
        <v>624</v>
      </c>
      <c r="M60" s="103">
        <f>VLOOKUP($A60,'OI(Value)'!$A$7:$O$306,9,0)</f>
        <v>14</v>
      </c>
      <c r="N60" s="103">
        <f>VLOOKUP($A60,'OI(Value)'!$A$7:$O$306,11,0)</f>
        <v>441</v>
      </c>
      <c r="O60" s="103">
        <f>VLOOKUP($A60,'OI(Value)'!$A$7:$O$306,12,0)</f>
        <v>12</v>
      </c>
      <c r="P60" s="179">
        <f>VLOOKUP(A60,'OI(Value)'!A60:O261,8,0)</f>
        <v>624</v>
      </c>
      <c r="Q60" s="179">
        <f>VLOOKUP(A60,'OI(Value)'!A60:O261,9,0)</f>
        <v>14</v>
      </c>
      <c r="R60" s="179">
        <f>VLOOKUP(A60,'OI(Value)'!A60:O261,11,0)</f>
        <v>441</v>
      </c>
      <c r="S60" s="179">
        <f>VLOOKUP(A60,'OI(Value)'!A60:O261,11,0)</f>
        <v>441</v>
      </c>
    </row>
    <row r="61" spans="1:19" x14ac:dyDescent="0.25">
      <c r="A61" s="105" t="str">
        <f>'Data shares'!C56</f>
        <v>DIXON</v>
      </c>
      <c r="B61" s="143">
        <f>VLOOKUP($A61,'Data shares'!$C:$FA,118)</f>
        <v>0.53</v>
      </c>
      <c r="C61" s="143">
        <f>VLOOKUP($A61,'Data shares'!$C:$FA,119)</f>
        <v>0.52</v>
      </c>
      <c r="D61" s="143">
        <f>VLOOKUP($A61,'Data shares'!$C:$FA,121)*100</f>
        <v>1.92</v>
      </c>
      <c r="E61" s="143">
        <f>VLOOKUP($A61,'Data shares'!$C:$FA,124)</f>
        <v>0.79</v>
      </c>
      <c r="F61" s="143">
        <f>VLOOKUP($A61,'Data shares'!$C:$FA,125)</f>
        <v>1.0900000000000001</v>
      </c>
      <c r="G61" s="143">
        <f>VLOOKUP($A61,'Data shares'!$C:$FA,127)*100</f>
        <v>-27.52</v>
      </c>
      <c r="H61" s="103">
        <f>VLOOKUP($A61,'OI(Volume)'!$A$7:$O$427,8)</f>
        <v>3585050</v>
      </c>
      <c r="I61" s="103">
        <f>VLOOKUP($A61,'OI(Volume)'!$A$7:$O$427,9)</f>
        <v>-28000</v>
      </c>
      <c r="J61" s="103">
        <f>VLOOKUP($A61,'OI(Volume)'!$A$7:$O$427,11)</f>
        <v>1899650</v>
      </c>
      <c r="K61" s="103">
        <f>VLOOKUP($A61,'OI(Volume)'!$A$7:$O$427,12)</f>
        <v>19300</v>
      </c>
      <c r="L61" s="103">
        <f>VLOOKUP($A61,'OI(Value)'!$A$7:$O$306,8,0)</f>
        <v>4777</v>
      </c>
      <c r="M61" s="103">
        <f>VLOOKUP($A61,'OI(Value)'!$A$7:$O$306,9,0)</f>
        <v>-37</v>
      </c>
      <c r="N61" s="103">
        <f>VLOOKUP($A61,'OI(Value)'!$A$7:$O$306,11,0)</f>
        <v>2531</v>
      </c>
      <c r="O61" s="103">
        <f>VLOOKUP($A61,'OI(Value)'!$A$7:$O$306,12,0)</f>
        <v>26</v>
      </c>
      <c r="P61" s="179">
        <f>VLOOKUP(A61,'OI(Value)'!A61:O262,8,0)</f>
        <v>4777</v>
      </c>
      <c r="Q61" s="179">
        <f>VLOOKUP(A61,'OI(Value)'!A61:O262,9,0)</f>
        <v>-37</v>
      </c>
      <c r="R61" s="179">
        <f>VLOOKUP(A61,'OI(Value)'!A61:O262,11,0)</f>
        <v>2531</v>
      </c>
      <c r="S61" s="179">
        <f>VLOOKUP(A61,'OI(Value)'!A61:O262,11,0)</f>
        <v>2531</v>
      </c>
    </row>
    <row r="62" spans="1:19" x14ac:dyDescent="0.25">
      <c r="A62" s="105" t="str">
        <f>'Data shares'!C57</f>
        <v>DLF</v>
      </c>
      <c r="B62" s="143">
        <f>VLOOKUP($A62,'Data shares'!$C:$FA,118)</f>
        <v>0.66</v>
      </c>
      <c r="C62" s="143">
        <f>VLOOKUP($A62,'Data shares'!$C:$FA,119)</f>
        <v>0.62</v>
      </c>
      <c r="D62" s="143">
        <f>VLOOKUP($A62,'Data shares'!$C:$FA,121)*100</f>
        <v>6.45</v>
      </c>
      <c r="E62" s="143">
        <f>VLOOKUP($A62,'Data shares'!$C:$FA,124)</f>
        <v>0.73</v>
      </c>
      <c r="F62" s="143">
        <f>VLOOKUP($A62,'Data shares'!$C:$FA,125)</f>
        <v>0.39</v>
      </c>
      <c r="G62" s="143">
        <f>VLOOKUP($A62,'Data shares'!$C:$FA,127)*100</f>
        <v>87.18</v>
      </c>
      <c r="H62" s="103">
        <f>VLOOKUP($A62,'OI(Volume)'!$A$7:$O$427,8)</f>
        <v>22919325</v>
      </c>
      <c r="I62" s="103">
        <f>VLOOKUP($A62,'OI(Volume)'!$A$7:$O$427,9)</f>
        <v>15675</v>
      </c>
      <c r="J62" s="103">
        <f>VLOOKUP($A62,'OI(Volume)'!$A$7:$O$427,11)</f>
        <v>15128025</v>
      </c>
      <c r="K62" s="103">
        <f>VLOOKUP($A62,'OI(Volume)'!$A$7:$O$427,12)</f>
        <v>890175</v>
      </c>
      <c r="L62" s="103">
        <f>VLOOKUP($A62,'OI(Value)'!$A$7:$O$306,8,0)</f>
        <v>1559</v>
      </c>
      <c r="M62" s="103">
        <f>VLOOKUP($A62,'OI(Value)'!$A$7:$O$306,9,0)</f>
        <v>1</v>
      </c>
      <c r="N62" s="103">
        <f>VLOOKUP($A62,'OI(Value)'!$A$7:$O$306,11,0)</f>
        <v>1029</v>
      </c>
      <c r="O62" s="103">
        <f>VLOOKUP($A62,'OI(Value)'!$A$7:$O$306,12,0)</f>
        <v>61</v>
      </c>
      <c r="P62" s="179">
        <f>VLOOKUP(A62,'OI(Value)'!A62:O263,8,0)</f>
        <v>1559</v>
      </c>
      <c r="Q62" s="179">
        <f>VLOOKUP(A62,'OI(Value)'!A62:O263,9,0)</f>
        <v>1</v>
      </c>
      <c r="R62" s="179">
        <f>VLOOKUP(A62,'OI(Value)'!A62:O263,11,0)</f>
        <v>1029</v>
      </c>
      <c r="S62" s="179">
        <f>VLOOKUP(A62,'OI(Value)'!A62:O263,11,0)</f>
        <v>1029</v>
      </c>
    </row>
    <row r="63" spans="1:19" x14ac:dyDescent="0.25">
      <c r="A63" s="105" t="str">
        <f>'Data shares'!C58</f>
        <v>DMART</v>
      </c>
      <c r="B63" s="143">
        <f>VLOOKUP($A63,'Data shares'!$C:$FA,118)</f>
        <v>0.44</v>
      </c>
      <c r="C63" s="143">
        <f>VLOOKUP($A63,'Data shares'!$C:$FA,119)</f>
        <v>0.48</v>
      </c>
      <c r="D63" s="143">
        <f>VLOOKUP($A63,'Data shares'!$C:$FA,121)*100</f>
        <v>-8.33</v>
      </c>
      <c r="E63" s="143">
        <f>VLOOKUP($A63,'Data shares'!$C:$FA,124)</f>
        <v>0.4</v>
      </c>
      <c r="F63" s="143">
        <f>VLOOKUP($A63,'Data shares'!$C:$FA,125)</f>
        <v>0.4</v>
      </c>
      <c r="G63" s="143">
        <f>VLOOKUP($A63,'Data shares'!$C:$FA,127)*100</f>
        <v>0</v>
      </c>
      <c r="H63" s="103">
        <f>VLOOKUP($A63,'OI(Volume)'!$A$7:$O$427,8)</f>
        <v>2772300</v>
      </c>
      <c r="I63" s="103">
        <f>VLOOKUP($A63,'OI(Volume)'!$A$7:$O$427,9)</f>
        <v>339900</v>
      </c>
      <c r="J63" s="103">
        <f>VLOOKUP($A63,'OI(Volume)'!$A$7:$O$427,11)</f>
        <v>1231800</v>
      </c>
      <c r="K63" s="103">
        <f>VLOOKUP($A63,'OI(Volume)'!$A$7:$O$427,12)</f>
        <v>73950</v>
      </c>
      <c r="L63" s="103">
        <f>VLOOKUP($A63,'OI(Value)'!$A$7:$O$306,8,0)</f>
        <v>1045</v>
      </c>
      <c r="M63" s="103">
        <f>VLOOKUP($A63,'OI(Value)'!$A$7:$O$306,9,0)</f>
        <v>128</v>
      </c>
      <c r="N63" s="103">
        <f>VLOOKUP($A63,'OI(Value)'!$A$7:$O$306,11,0)</f>
        <v>464</v>
      </c>
      <c r="O63" s="103">
        <f>VLOOKUP($A63,'OI(Value)'!$A$7:$O$306,12,0)</f>
        <v>28</v>
      </c>
      <c r="P63" s="179">
        <f>VLOOKUP(A63,'OI(Value)'!A63:O264,8,0)</f>
        <v>1045</v>
      </c>
      <c r="Q63" s="179">
        <f>VLOOKUP(A63,'OI(Value)'!A63:O264,9,0)</f>
        <v>128</v>
      </c>
      <c r="R63" s="179">
        <f>VLOOKUP(A63,'OI(Value)'!A63:O264,11,0)</f>
        <v>464</v>
      </c>
      <c r="S63" s="179">
        <f>VLOOKUP(A63,'OI(Value)'!A63:O264,11,0)</f>
        <v>464</v>
      </c>
    </row>
    <row r="64" spans="1:19" x14ac:dyDescent="0.25">
      <c r="A64" s="105" t="str">
        <f>'Data shares'!C59</f>
        <v>DRREDDY</v>
      </c>
      <c r="B64" s="143">
        <f>VLOOKUP($A64,'Data shares'!$C:$FA,118)</f>
        <v>0.5</v>
      </c>
      <c r="C64" s="143">
        <f>VLOOKUP($A64,'Data shares'!$C:$FA,119)</f>
        <v>0.49</v>
      </c>
      <c r="D64" s="143">
        <f>VLOOKUP($A64,'Data shares'!$C:$FA,121)*100</f>
        <v>2.04</v>
      </c>
      <c r="E64" s="143">
        <f>VLOOKUP($A64,'Data shares'!$C:$FA,124)</f>
        <v>0.53</v>
      </c>
      <c r="F64" s="143">
        <f>VLOOKUP($A64,'Data shares'!$C:$FA,125)</f>
        <v>0.53</v>
      </c>
      <c r="G64" s="143">
        <f>VLOOKUP($A64,'Data shares'!$C:$FA,127)*100</f>
        <v>0</v>
      </c>
      <c r="H64" s="103">
        <f>VLOOKUP($A64,'OI(Volume)'!$A$7:$O$427,8)</f>
        <v>6676875</v>
      </c>
      <c r="I64" s="103">
        <f>VLOOKUP($A64,'OI(Volume)'!$A$7:$O$427,9)</f>
        <v>-115625</v>
      </c>
      <c r="J64" s="103">
        <f>VLOOKUP($A64,'OI(Volume)'!$A$7:$O$427,11)</f>
        <v>3365625</v>
      </c>
      <c r="K64" s="103">
        <f>VLOOKUP($A64,'OI(Volume)'!$A$7:$O$427,12)</f>
        <v>43125</v>
      </c>
      <c r="L64" s="103">
        <f>VLOOKUP($A64,'OI(Value)'!$A$7:$O$306,8,0)</f>
        <v>854</v>
      </c>
      <c r="M64" s="103">
        <f>VLOOKUP($A64,'OI(Value)'!$A$7:$O$306,9,0)</f>
        <v>-15</v>
      </c>
      <c r="N64" s="103">
        <f>VLOOKUP($A64,'OI(Value)'!$A$7:$O$306,11,0)</f>
        <v>431</v>
      </c>
      <c r="O64" s="103">
        <f>VLOOKUP($A64,'OI(Value)'!$A$7:$O$306,12,0)</f>
        <v>6</v>
      </c>
      <c r="P64" s="179">
        <f>VLOOKUP(A64,'OI(Value)'!A64:O265,8,0)</f>
        <v>854</v>
      </c>
      <c r="Q64" s="179">
        <f>VLOOKUP(A64,'OI(Value)'!A64:O265,9,0)</f>
        <v>-15</v>
      </c>
      <c r="R64" s="179">
        <f>VLOOKUP(A64,'OI(Value)'!A64:O265,11,0)</f>
        <v>431</v>
      </c>
      <c r="S64" s="179">
        <f>VLOOKUP(A64,'OI(Value)'!A64:O265,11,0)</f>
        <v>431</v>
      </c>
    </row>
    <row r="65" spans="1:19" x14ac:dyDescent="0.25">
      <c r="A65" s="105" t="str">
        <f>'Data shares'!C60</f>
        <v>EICHERMOT</v>
      </c>
      <c r="B65" s="143">
        <f>VLOOKUP($A65,'Data shares'!$C:$FA,118)</f>
        <v>0.72</v>
      </c>
      <c r="C65" s="143">
        <f>VLOOKUP($A65,'Data shares'!$C:$FA,119)</f>
        <v>0.74</v>
      </c>
      <c r="D65" s="143">
        <f>VLOOKUP($A65,'Data shares'!$C:$FA,121)*100</f>
        <v>-2.7</v>
      </c>
      <c r="E65" s="143">
        <f>VLOOKUP($A65,'Data shares'!$C:$FA,124)</f>
        <v>0.78</v>
      </c>
      <c r="F65" s="143">
        <f>VLOOKUP($A65,'Data shares'!$C:$FA,125)</f>
        <v>0.53</v>
      </c>
      <c r="G65" s="143">
        <f>VLOOKUP($A65,'Data shares'!$C:$FA,127)*100</f>
        <v>47.17</v>
      </c>
      <c r="H65" s="103">
        <f>VLOOKUP($A65,'OI(Volume)'!$A$7:$O$427,8)</f>
        <v>2687400</v>
      </c>
      <c r="I65" s="103">
        <f>VLOOKUP($A65,'OI(Volume)'!$A$7:$O$427,9)</f>
        <v>-60350</v>
      </c>
      <c r="J65" s="103">
        <f>VLOOKUP($A65,'OI(Volume)'!$A$7:$O$427,11)</f>
        <v>1935500</v>
      </c>
      <c r="K65" s="103">
        <f>VLOOKUP($A65,'OI(Volume)'!$A$7:$O$427,12)</f>
        <v>-105075</v>
      </c>
      <c r="L65" s="103">
        <f>VLOOKUP($A65,'OI(Value)'!$A$7:$O$306,8,0)</f>
        <v>1912</v>
      </c>
      <c r="M65" s="103">
        <f>VLOOKUP($A65,'OI(Value)'!$A$7:$O$306,9,0)</f>
        <v>-43</v>
      </c>
      <c r="N65" s="103">
        <f>VLOOKUP($A65,'OI(Value)'!$A$7:$O$306,11,0)</f>
        <v>1377</v>
      </c>
      <c r="O65" s="103">
        <f>VLOOKUP($A65,'OI(Value)'!$A$7:$O$306,12,0)</f>
        <v>-75</v>
      </c>
      <c r="P65" s="179">
        <f>VLOOKUP(A65,'OI(Value)'!A65:O266,8,0)</f>
        <v>1912</v>
      </c>
      <c r="Q65" s="179">
        <f>VLOOKUP(A65,'OI(Value)'!A65:O266,9,0)</f>
        <v>-43</v>
      </c>
      <c r="R65" s="179">
        <f>VLOOKUP(A65,'OI(Value)'!A65:O266,11,0)</f>
        <v>1377</v>
      </c>
      <c r="S65" s="179">
        <f>VLOOKUP(A65,'OI(Value)'!A65:O266,11,0)</f>
        <v>1377</v>
      </c>
    </row>
    <row r="66" spans="1:19" x14ac:dyDescent="0.25">
      <c r="A66" s="105" t="str">
        <f>'Data shares'!C61</f>
        <v>ETERNAL</v>
      </c>
      <c r="B66" s="143">
        <f>VLOOKUP($A66,'Data shares'!$C:$FA,118)</f>
        <v>0.53</v>
      </c>
      <c r="C66" s="143">
        <f>VLOOKUP($A66,'Data shares'!$C:$FA,119)</f>
        <v>0.53</v>
      </c>
      <c r="D66" s="143">
        <f>VLOOKUP($A66,'Data shares'!$C:$FA,121)*100</f>
        <v>0</v>
      </c>
      <c r="E66" s="143">
        <f>VLOOKUP($A66,'Data shares'!$C:$FA,124)</f>
        <v>0.55000000000000004</v>
      </c>
      <c r="F66" s="143">
        <f>VLOOKUP($A66,'Data shares'!$C:$FA,125)</f>
        <v>0.6</v>
      </c>
      <c r="G66" s="143">
        <f>VLOOKUP($A66,'Data shares'!$C:$FA,127)*100</f>
        <v>-8.33</v>
      </c>
      <c r="H66" s="103">
        <f>VLOOKUP($A66,'OI(Volume)'!$A$7:$O$427,8)</f>
        <v>95598350</v>
      </c>
      <c r="I66" s="103">
        <f>VLOOKUP($A66,'OI(Volume)'!$A$7:$O$427,9)</f>
        <v>-1450150</v>
      </c>
      <c r="J66" s="103">
        <f>VLOOKUP($A66,'OI(Volume)'!$A$7:$O$427,11)</f>
        <v>50864375</v>
      </c>
      <c r="K66" s="103">
        <f>VLOOKUP($A66,'OI(Volume)'!$A$7:$O$427,12)</f>
        <v>-645050</v>
      </c>
      <c r="L66" s="103">
        <f>VLOOKUP($A66,'OI(Value)'!$A$7:$O$306,8,0)</f>
        <v>2729</v>
      </c>
      <c r="M66" s="103">
        <f>VLOOKUP($A66,'OI(Value)'!$A$7:$O$306,9,0)</f>
        <v>-41</v>
      </c>
      <c r="N66" s="103">
        <f>VLOOKUP($A66,'OI(Value)'!$A$7:$O$306,11,0)</f>
        <v>1452</v>
      </c>
      <c r="O66" s="103">
        <f>VLOOKUP($A66,'OI(Value)'!$A$7:$O$306,12,0)</f>
        <v>-18</v>
      </c>
      <c r="P66" s="179">
        <f>VLOOKUP(A66,'OI(Value)'!A66:O267,8,0)</f>
        <v>2729</v>
      </c>
      <c r="Q66" s="179">
        <f>VLOOKUP(A66,'OI(Value)'!A66:O267,9,0)</f>
        <v>-41</v>
      </c>
      <c r="R66" s="179">
        <f>VLOOKUP(A66,'OI(Value)'!A66:O267,11,0)</f>
        <v>1452</v>
      </c>
      <c r="S66" s="179">
        <f>VLOOKUP(A66,'OI(Value)'!A66:O267,11,0)</f>
        <v>1452</v>
      </c>
    </row>
    <row r="67" spans="1:19" x14ac:dyDescent="0.25">
      <c r="A67" s="105" t="str">
        <f>'Data shares'!C62</f>
        <v>EXIDEIND</v>
      </c>
      <c r="B67" s="143">
        <f>VLOOKUP($A67,'Data shares'!$C:$FA,118)</f>
        <v>0.66</v>
      </c>
      <c r="C67" s="143">
        <f>VLOOKUP($A67,'Data shares'!$C:$FA,119)</f>
        <v>0.71</v>
      </c>
      <c r="D67" s="143">
        <f>VLOOKUP($A67,'Data shares'!$C:$FA,121)*100</f>
        <v>-7.04</v>
      </c>
      <c r="E67" s="143">
        <f>VLOOKUP($A67,'Data shares'!$C:$FA,124)</f>
        <v>0.47</v>
      </c>
      <c r="F67" s="143">
        <f>VLOOKUP($A67,'Data shares'!$C:$FA,125)</f>
        <v>0.41</v>
      </c>
      <c r="G67" s="143">
        <f>VLOOKUP($A67,'Data shares'!$C:$FA,127)*100</f>
        <v>14.63</v>
      </c>
      <c r="H67" s="103">
        <f>VLOOKUP($A67,'OI(Volume)'!$A$7:$O$427,8)</f>
        <v>12778200</v>
      </c>
      <c r="I67" s="103">
        <f>VLOOKUP($A67,'OI(Volume)'!$A$7:$O$427,9)</f>
        <v>1486800</v>
      </c>
      <c r="J67" s="103">
        <f>VLOOKUP($A67,'OI(Volume)'!$A$7:$O$427,11)</f>
        <v>8400600</v>
      </c>
      <c r="K67" s="103">
        <f>VLOOKUP($A67,'OI(Volume)'!$A$7:$O$427,12)</f>
        <v>437400</v>
      </c>
      <c r="L67" s="103">
        <f>VLOOKUP($A67,'OI(Value)'!$A$7:$O$306,8,0)</f>
        <v>459</v>
      </c>
      <c r="M67" s="103">
        <f>VLOOKUP($A67,'OI(Value)'!$A$7:$O$306,9,0)</f>
        <v>53</v>
      </c>
      <c r="N67" s="103">
        <f>VLOOKUP($A67,'OI(Value)'!$A$7:$O$306,11,0)</f>
        <v>302</v>
      </c>
      <c r="O67" s="103">
        <f>VLOOKUP($A67,'OI(Value)'!$A$7:$O$306,12,0)</f>
        <v>16</v>
      </c>
      <c r="P67" s="179">
        <f>VLOOKUP(A67,'OI(Value)'!A67:O268,8,0)</f>
        <v>459</v>
      </c>
      <c r="Q67" s="179">
        <f>VLOOKUP(A67,'OI(Value)'!A67:O268,9,0)</f>
        <v>53</v>
      </c>
      <c r="R67" s="179">
        <f>VLOOKUP(A67,'OI(Value)'!A67:O268,11,0)</f>
        <v>302</v>
      </c>
      <c r="S67" s="179">
        <f>VLOOKUP(A67,'OI(Value)'!A67:O268,11,0)</f>
        <v>302</v>
      </c>
    </row>
    <row r="68" spans="1:19" x14ac:dyDescent="0.25">
      <c r="A68" s="105" t="str">
        <f>'Data shares'!C63</f>
        <v>FEDERALBNK</v>
      </c>
      <c r="B68" s="143">
        <f>VLOOKUP($A68,'Data shares'!$C:$FA,118)</f>
        <v>1.03</v>
      </c>
      <c r="C68" s="143">
        <f>VLOOKUP($A68,'Data shares'!$C:$FA,119)</f>
        <v>0.99</v>
      </c>
      <c r="D68" s="143">
        <f>VLOOKUP($A68,'Data shares'!$C:$FA,121)*100</f>
        <v>4.04</v>
      </c>
      <c r="E68" s="143">
        <f>VLOOKUP($A68,'Data shares'!$C:$FA,124)</f>
        <v>0.74</v>
      </c>
      <c r="F68" s="143">
        <f>VLOOKUP($A68,'Data shares'!$C:$FA,125)</f>
        <v>0.59</v>
      </c>
      <c r="G68" s="143">
        <f>VLOOKUP($A68,'Data shares'!$C:$FA,127)*100</f>
        <v>25.419999999999998</v>
      </c>
      <c r="H68" s="103">
        <f>VLOOKUP($A68,'OI(Volume)'!$A$7:$O$427,8)</f>
        <v>43350000</v>
      </c>
      <c r="I68" s="103">
        <f>VLOOKUP($A68,'OI(Volume)'!$A$7:$O$427,9)</f>
        <v>-860000</v>
      </c>
      <c r="J68" s="103">
        <f>VLOOKUP($A68,'OI(Volume)'!$A$7:$O$427,11)</f>
        <v>44465000</v>
      </c>
      <c r="K68" s="103">
        <f>VLOOKUP($A68,'OI(Volume)'!$A$7:$O$427,12)</f>
        <v>910000</v>
      </c>
      <c r="L68" s="103">
        <f>VLOOKUP($A68,'OI(Value)'!$A$7:$O$306,8,0)</f>
        <v>1151</v>
      </c>
      <c r="M68" s="103">
        <f>VLOOKUP($A68,'OI(Value)'!$A$7:$O$306,9,0)</f>
        <v>-23</v>
      </c>
      <c r="N68" s="103">
        <f>VLOOKUP($A68,'OI(Value)'!$A$7:$O$306,11,0)</f>
        <v>1181</v>
      </c>
      <c r="O68" s="103">
        <f>VLOOKUP($A68,'OI(Value)'!$A$7:$O$306,12,0)</f>
        <v>24</v>
      </c>
      <c r="P68" s="179">
        <f>VLOOKUP(A68,'OI(Value)'!A68:O269,8,0)</f>
        <v>1151</v>
      </c>
      <c r="Q68" s="179">
        <f>VLOOKUP(A68,'OI(Value)'!A68:O269,9,0)</f>
        <v>-23</v>
      </c>
      <c r="R68" s="179">
        <f>VLOOKUP(A68,'OI(Value)'!A68:O269,11,0)</f>
        <v>1181</v>
      </c>
      <c r="S68" s="179">
        <f>VLOOKUP(A68,'OI(Value)'!A68:O269,11,0)</f>
        <v>1181</v>
      </c>
    </row>
    <row r="69" spans="1:19" x14ac:dyDescent="0.25">
      <c r="A69" s="105" t="str">
        <f>'Data shares'!C64</f>
        <v>FINNIFTY</v>
      </c>
      <c r="B69" s="143">
        <f>VLOOKUP($A69,'Data shares'!$C:$FA,118)</f>
        <v>0.63</v>
      </c>
      <c r="C69" s="143">
        <f>VLOOKUP($A69,'Data shares'!$C:$FA,119)</f>
        <v>0.56999999999999995</v>
      </c>
      <c r="D69" s="143">
        <f>VLOOKUP($A69,'Data shares'!$C:$FA,121)*100</f>
        <v>10.530000000000001</v>
      </c>
      <c r="E69" s="143">
        <f>VLOOKUP($A69,'Data shares'!$C:$FA,124)</f>
        <v>0.86</v>
      </c>
      <c r="F69" s="143">
        <f>VLOOKUP($A69,'Data shares'!$C:$FA,125)</f>
        <v>0.66</v>
      </c>
      <c r="G69" s="143">
        <f>VLOOKUP($A69,'Data shares'!$C:$FA,127)*100</f>
        <v>30.3</v>
      </c>
      <c r="H69" s="103">
        <f>VLOOKUP($A69,'OI(Volume)'!$A$7:$O$427,8)</f>
        <v>961080</v>
      </c>
      <c r="I69" s="103">
        <f>VLOOKUP($A69,'OI(Volume)'!$A$7:$O$427,9)</f>
        <v>14100</v>
      </c>
      <c r="J69" s="103">
        <f>VLOOKUP($A69,'OI(Volume)'!$A$7:$O$427,11)</f>
        <v>609965</v>
      </c>
      <c r="K69" s="103">
        <f>VLOOKUP($A69,'OI(Volume)'!$A$7:$O$427,12)</f>
        <v>69325</v>
      </c>
      <c r="L69" s="103">
        <f>VLOOKUP($A69,'OI(Value)'!$A$7:$O$306,8,0)</f>
        <v>2630</v>
      </c>
      <c r="M69" s="103">
        <f>VLOOKUP($A69,'OI(Value)'!$A$7:$O$306,9,0)</f>
        <v>39</v>
      </c>
      <c r="N69" s="103">
        <f>VLOOKUP($A69,'OI(Value)'!$A$7:$O$306,11,0)</f>
        <v>1669</v>
      </c>
      <c r="O69" s="103">
        <f>VLOOKUP($A69,'OI(Value)'!$A$7:$O$306,12,0)</f>
        <v>190</v>
      </c>
      <c r="P69" s="179">
        <f>VLOOKUP(A69,'OI(Value)'!A69:O270,8,0)</f>
        <v>2630</v>
      </c>
      <c r="Q69" s="179">
        <f>VLOOKUP(A69,'OI(Value)'!A69:O270,9,0)</f>
        <v>39</v>
      </c>
      <c r="R69" s="179">
        <f>VLOOKUP(A69,'OI(Value)'!A69:O270,11,0)</f>
        <v>1669</v>
      </c>
      <c r="S69" s="179">
        <f>VLOOKUP(A69,'OI(Value)'!A69:O270,11,0)</f>
        <v>1669</v>
      </c>
    </row>
    <row r="70" spans="1:19" x14ac:dyDescent="0.25">
      <c r="A70" s="105" t="str">
        <f>'Data shares'!C65</f>
        <v>FORTIS</v>
      </c>
      <c r="B70" s="143">
        <f>VLOOKUP($A70,'Data shares'!$C:$FA,118)</f>
        <v>0.45</v>
      </c>
      <c r="C70" s="143">
        <f>VLOOKUP($A70,'Data shares'!$C:$FA,119)</f>
        <v>0.44</v>
      </c>
      <c r="D70" s="143">
        <f>VLOOKUP($A70,'Data shares'!$C:$FA,121)*100</f>
        <v>2.27</v>
      </c>
      <c r="E70" s="143">
        <f>VLOOKUP($A70,'Data shares'!$C:$FA,124)</f>
        <v>0.56000000000000005</v>
      </c>
      <c r="F70" s="143">
        <f>VLOOKUP($A70,'Data shares'!$C:$FA,125)</f>
        <v>0.4</v>
      </c>
      <c r="G70" s="143">
        <f>VLOOKUP($A70,'Data shares'!$C:$FA,127)*100</f>
        <v>40</v>
      </c>
      <c r="H70" s="103">
        <f>VLOOKUP($A70,'OI(Volume)'!$A$7:$O$427,8)</f>
        <v>6441025</v>
      </c>
      <c r="I70" s="103">
        <f>VLOOKUP($A70,'OI(Volume)'!$A$7:$O$427,9)</f>
        <v>-213900</v>
      </c>
      <c r="J70" s="103">
        <f>VLOOKUP($A70,'OI(Volume)'!$A$7:$O$427,11)</f>
        <v>2898500</v>
      </c>
      <c r="K70" s="103">
        <f>VLOOKUP($A70,'OI(Volume)'!$A$7:$O$427,12)</f>
        <v>-62775</v>
      </c>
      <c r="L70" s="103">
        <f>VLOOKUP($A70,'OI(Value)'!$A$7:$O$306,8,0)</f>
        <v>558</v>
      </c>
      <c r="M70" s="103">
        <f>VLOOKUP($A70,'OI(Value)'!$A$7:$O$306,9,0)</f>
        <v>-19</v>
      </c>
      <c r="N70" s="103">
        <f>VLOOKUP($A70,'OI(Value)'!$A$7:$O$306,11,0)</f>
        <v>251</v>
      </c>
      <c r="O70" s="103">
        <f>VLOOKUP($A70,'OI(Value)'!$A$7:$O$306,12,0)</f>
        <v>-5</v>
      </c>
      <c r="P70" s="179">
        <f>VLOOKUP(A70,'OI(Value)'!A70:O271,8,0)</f>
        <v>558</v>
      </c>
      <c r="Q70" s="179">
        <f>VLOOKUP(A70,'OI(Value)'!A70:O271,9,0)</f>
        <v>-19</v>
      </c>
      <c r="R70" s="179">
        <f>VLOOKUP(A70,'OI(Value)'!A70:O271,11,0)</f>
        <v>251</v>
      </c>
      <c r="S70" s="179">
        <f>VLOOKUP(A70,'OI(Value)'!A70:O271,11,0)</f>
        <v>251</v>
      </c>
    </row>
    <row r="71" spans="1:19" x14ac:dyDescent="0.25">
      <c r="A71" s="105" t="str">
        <f>'Data shares'!C66</f>
        <v>GAIL</v>
      </c>
      <c r="B71" s="143">
        <f>VLOOKUP($A71,'Data shares'!$C:$FA,118)</f>
        <v>0.65</v>
      </c>
      <c r="C71" s="143">
        <f>VLOOKUP($A71,'Data shares'!$C:$FA,119)</f>
        <v>0.66</v>
      </c>
      <c r="D71" s="143">
        <f>VLOOKUP($A71,'Data shares'!$C:$FA,121)*100</f>
        <v>-1.52</v>
      </c>
      <c r="E71" s="143">
        <f>VLOOKUP($A71,'Data shares'!$C:$FA,124)</f>
        <v>0.4</v>
      </c>
      <c r="F71" s="143">
        <f>VLOOKUP($A71,'Data shares'!$C:$FA,125)</f>
        <v>0.39</v>
      </c>
      <c r="G71" s="143">
        <f>VLOOKUP($A71,'Data shares'!$C:$FA,127)*100</f>
        <v>2.56</v>
      </c>
      <c r="H71" s="103">
        <f>VLOOKUP($A71,'OI(Volume)'!$A$7:$O$427,8)</f>
        <v>68688900</v>
      </c>
      <c r="I71" s="103">
        <f>VLOOKUP($A71,'OI(Volume)'!$A$7:$O$427,9)</f>
        <v>299250</v>
      </c>
      <c r="J71" s="103">
        <f>VLOOKUP($A71,'OI(Volume)'!$A$7:$O$427,11)</f>
        <v>44941050</v>
      </c>
      <c r="K71" s="103">
        <f>VLOOKUP($A71,'OI(Volume)'!$A$7:$O$427,12)</f>
        <v>-472500</v>
      </c>
      <c r="L71" s="103">
        <f>VLOOKUP($A71,'OI(Value)'!$A$7:$O$306,8,0)</f>
        <v>1155</v>
      </c>
      <c r="M71" s="103">
        <f>VLOOKUP($A71,'OI(Value)'!$A$7:$O$306,9,0)</f>
        <v>5</v>
      </c>
      <c r="N71" s="103">
        <f>VLOOKUP($A71,'OI(Value)'!$A$7:$O$306,11,0)</f>
        <v>755</v>
      </c>
      <c r="O71" s="103">
        <f>VLOOKUP($A71,'OI(Value)'!$A$7:$O$306,12,0)</f>
        <v>-8</v>
      </c>
      <c r="P71" s="179">
        <f>VLOOKUP(A71,'OI(Value)'!A71:O272,8,0)</f>
        <v>1155</v>
      </c>
      <c r="Q71" s="179">
        <f>VLOOKUP(A71,'OI(Value)'!A71:O272,9,0)</f>
        <v>5</v>
      </c>
      <c r="R71" s="179">
        <f>VLOOKUP(A71,'OI(Value)'!A71:O272,11,0)</f>
        <v>755</v>
      </c>
      <c r="S71" s="179">
        <f>VLOOKUP(A71,'OI(Value)'!A71:O272,11,0)</f>
        <v>755</v>
      </c>
    </row>
    <row r="72" spans="1:19" x14ac:dyDescent="0.25">
      <c r="A72" s="105" t="str">
        <f>'Data shares'!C67</f>
        <v>GLENMARK</v>
      </c>
      <c r="B72" s="143">
        <f>VLOOKUP($A72,'Data shares'!$C:$FA,118)</f>
        <v>0.73</v>
      </c>
      <c r="C72" s="143">
        <f>VLOOKUP($A72,'Data shares'!$C:$FA,119)</f>
        <v>0.72</v>
      </c>
      <c r="D72" s="143">
        <f>VLOOKUP($A72,'Data shares'!$C:$FA,121)*100</f>
        <v>1.39</v>
      </c>
      <c r="E72" s="143">
        <f>VLOOKUP($A72,'Data shares'!$C:$FA,124)</f>
        <v>0.56999999999999995</v>
      </c>
      <c r="F72" s="143">
        <f>VLOOKUP($A72,'Data shares'!$C:$FA,125)</f>
        <v>0.48</v>
      </c>
      <c r="G72" s="143">
        <f>VLOOKUP($A72,'Data shares'!$C:$FA,127)*100</f>
        <v>18.75</v>
      </c>
      <c r="H72" s="103">
        <f>VLOOKUP($A72,'OI(Volume)'!$A$7:$O$427,8)</f>
        <v>4071375</v>
      </c>
      <c r="I72" s="103">
        <f>VLOOKUP($A72,'OI(Volume)'!$A$7:$O$427,9)</f>
        <v>-121875</v>
      </c>
      <c r="J72" s="103">
        <f>VLOOKUP($A72,'OI(Volume)'!$A$7:$O$427,11)</f>
        <v>2982750</v>
      </c>
      <c r="K72" s="103">
        <f>VLOOKUP($A72,'OI(Volume)'!$A$7:$O$427,12)</f>
        <v>-22875</v>
      </c>
      <c r="L72" s="103">
        <f>VLOOKUP($A72,'OI(Value)'!$A$7:$O$306,8,0)</f>
        <v>798</v>
      </c>
      <c r="M72" s="103">
        <f>VLOOKUP($A72,'OI(Value)'!$A$7:$O$306,9,0)</f>
        <v>-24</v>
      </c>
      <c r="N72" s="103">
        <f>VLOOKUP($A72,'OI(Value)'!$A$7:$O$306,11,0)</f>
        <v>584</v>
      </c>
      <c r="O72" s="103">
        <f>VLOOKUP($A72,'OI(Value)'!$A$7:$O$306,12,0)</f>
        <v>-4</v>
      </c>
      <c r="P72" s="179">
        <f>VLOOKUP(A72,'OI(Value)'!A72:O273,8,0)</f>
        <v>798</v>
      </c>
      <c r="Q72" s="179">
        <f>VLOOKUP(A72,'OI(Value)'!A72:O273,9,0)</f>
        <v>-24</v>
      </c>
      <c r="R72" s="179">
        <f>VLOOKUP(A72,'OI(Value)'!A72:O273,11,0)</f>
        <v>584</v>
      </c>
      <c r="S72" s="179">
        <f>VLOOKUP(A72,'OI(Value)'!A72:O273,11,0)</f>
        <v>584</v>
      </c>
    </row>
    <row r="73" spans="1:19" x14ac:dyDescent="0.25">
      <c r="A73" s="105" t="str">
        <f>'Data shares'!C68</f>
        <v>GMRAIRPORT</v>
      </c>
      <c r="B73" s="143">
        <f>VLOOKUP($A73,'Data shares'!$C:$FA,118)</f>
        <v>0.5</v>
      </c>
      <c r="C73" s="143">
        <f>VLOOKUP($A73,'Data shares'!$C:$FA,119)</f>
        <v>0.54</v>
      </c>
      <c r="D73" s="143">
        <f>VLOOKUP($A73,'Data shares'!$C:$FA,121)*100</f>
        <v>-7.41</v>
      </c>
      <c r="E73" s="143">
        <f>VLOOKUP($A73,'Data shares'!$C:$FA,124)</f>
        <v>0.42</v>
      </c>
      <c r="F73" s="143">
        <f>VLOOKUP($A73,'Data shares'!$C:$FA,125)</f>
        <v>0.46</v>
      </c>
      <c r="G73" s="143">
        <f>VLOOKUP($A73,'Data shares'!$C:$FA,127)*100</f>
        <v>-8.6999999999999993</v>
      </c>
      <c r="H73" s="103">
        <f>VLOOKUP($A73,'OI(Volume)'!$A$7:$O$427,8)</f>
        <v>157635000</v>
      </c>
      <c r="I73" s="103">
        <f>VLOOKUP($A73,'OI(Volume)'!$A$7:$O$427,9)</f>
        <v>7581825</v>
      </c>
      <c r="J73" s="103">
        <f>VLOOKUP($A73,'OI(Volume)'!$A$7:$O$427,11)</f>
        <v>79333650</v>
      </c>
      <c r="K73" s="103">
        <f>VLOOKUP($A73,'OI(Volume)'!$A$7:$O$427,12)</f>
        <v>-2385450</v>
      </c>
      <c r="L73" s="103">
        <f>VLOOKUP($A73,'OI(Value)'!$A$7:$O$306,8,0)</f>
        <v>1587</v>
      </c>
      <c r="M73" s="103">
        <f>VLOOKUP($A73,'OI(Value)'!$A$7:$O$306,9,0)</f>
        <v>76</v>
      </c>
      <c r="N73" s="103">
        <f>VLOOKUP($A73,'OI(Value)'!$A$7:$O$306,11,0)</f>
        <v>799</v>
      </c>
      <c r="O73" s="103">
        <f>VLOOKUP($A73,'OI(Value)'!$A$7:$O$306,12,0)</f>
        <v>-24</v>
      </c>
      <c r="P73" s="179">
        <f>VLOOKUP(A73,'OI(Value)'!A73:O274,8,0)</f>
        <v>1587</v>
      </c>
      <c r="Q73" s="179">
        <f>VLOOKUP(A73,'OI(Value)'!A73:O274,9,0)</f>
        <v>76</v>
      </c>
      <c r="R73" s="179">
        <f>VLOOKUP(A73,'OI(Value)'!A73:O274,11,0)</f>
        <v>799</v>
      </c>
      <c r="S73" s="179">
        <f>VLOOKUP(A73,'OI(Value)'!A73:O274,11,0)</f>
        <v>799</v>
      </c>
    </row>
    <row r="74" spans="1:19" x14ac:dyDescent="0.25">
      <c r="A74" s="105" t="str">
        <f>'Data shares'!C69</f>
        <v>GODREJCP</v>
      </c>
      <c r="B74" s="143">
        <f>VLOOKUP($A74,'Data shares'!$C:$FA,118)</f>
        <v>0.7</v>
      </c>
      <c r="C74" s="143">
        <f>VLOOKUP($A74,'Data shares'!$C:$FA,119)</f>
        <v>0.64</v>
      </c>
      <c r="D74" s="143">
        <f>VLOOKUP($A74,'Data shares'!$C:$FA,121)*100</f>
        <v>9.370000000000001</v>
      </c>
      <c r="E74" s="143">
        <f>VLOOKUP($A74,'Data shares'!$C:$FA,124)</f>
        <v>0.56000000000000005</v>
      </c>
      <c r="F74" s="143">
        <f>VLOOKUP($A74,'Data shares'!$C:$FA,125)</f>
        <v>0.49</v>
      </c>
      <c r="G74" s="143">
        <f>VLOOKUP($A74,'Data shares'!$C:$FA,127)*100</f>
        <v>14.29</v>
      </c>
      <c r="H74" s="103">
        <f>VLOOKUP($A74,'OI(Volume)'!$A$7:$O$427,8)</f>
        <v>2827500</v>
      </c>
      <c r="I74" s="103">
        <f>VLOOKUP($A74,'OI(Volume)'!$A$7:$O$427,9)</f>
        <v>-166000</v>
      </c>
      <c r="J74" s="103">
        <f>VLOOKUP($A74,'OI(Volume)'!$A$7:$O$427,11)</f>
        <v>1980000</v>
      </c>
      <c r="K74" s="103">
        <f>VLOOKUP($A74,'OI(Volume)'!$A$7:$O$427,12)</f>
        <v>49500</v>
      </c>
      <c r="L74" s="103">
        <f>VLOOKUP($A74,'OI(Value)'!$A$7:$O$306,8,0)</f>
        <v>336</v>
      </c>
      <c r="M74" s="103">
        <f>VLOOKUP($A74,'OI(Value)'!$A$7:$O$306,9,0)</f>
        <v>-20</v>
      </c>
      <c r="N74" s="103">
        <f>VLOOKUP($A74,'OI(Value)'!$A$7:$O$306,11,0)</f>
        <v>235</v>
      </c>
      <c r="O74" s="103">
        <f>VLOOKUP($A74,'OI(Value)'!$A$7:$O$306,12,0)</f>
        <v>6</v>
      </c>
      <c r="P74" s="179">
        <f>VLOOKUP(A74,'OI(Value)'!A74:O275,8,0)</f>
        <v>336</v>
      </c>
      <c r="Q74" s="179">
        <f>VLOOKUP(A74,'OI(Value)'!A74:O275,9,0)</f>
        <v>-20</v>
      </c>
      <c r="R74" s="179">
        <f>VLOOKUP(A74,'OI(Value)'!A74:O275,11,0)</f>
        <v>235</v>
      </c>
      <c r="S74" s="179">
        <f>VLOOKUP(A74,'OI(Value)'!A74:O275,11,0)</f>
        <v>235</v>
      </c>
    </row>
    <row r="75" spans="1:19" x14ac:dyDescent="0.25">
      <c r="A75" s="105" t="str">
        <f>'Data shares'!C70</f>
        <v>GODREJPROP</v>
      </c>
      <c r="B75" s="143">
        <f>VLOOKUP($A75,'Data shares'!$C:$FA,118)</f>
        <v>0.57999999999999996</v>
      </c>
      <c r="C75" s="143">
        <f>VLOOKUP($A75,'Data shares'!$C:$FA,119)</f>
        <v>0.6</v>
      </c>
      <c r="D75" s="143">
        <f>VLOOKUP($A75,'Data shares'!$C:$FA,121)*100</f>
        <v>-3.3300000000000005</v>
      </c>
      <c r="E75" s="143">
        <f>VLOOKUP($A75,'Data shares'!$C:$FA,124)</f>
        <v>0.31</v>
      </c>
      <c r="F75" s="143">
        <f>VLOOKUP($A75,'Data shares'!$C:$FA,125)</f>
        <v>0.61</v>
      </c>
      <c r="G75" s="143">
        <f>VLOOKUP($A75,'Data shares'!$C:$FA,127)*100</f>
        <v>-49.18</v>
      </c>
      <c r="H75" s="103">
        <f>VLOOKUP($A75,'OI(Volume)'!$A$7:$O$427,8)</f>
        <v>3452900</v>
      </c>
      <c r="I75" s="103">
        <f>VLOOKUP($A75,'OI(Volume)'!$A$7:$O$427,9)</f>
        <v>70950</v>
      </c>
      <c r="J75" s="103">
        <f>VLOOKUP($A75,'OI(Volume)'!$A$7:$O$427,11)</f>
        <v>2004475</v>
      </c>
      <c r="K75" s="103">
        <f>VLOOKUP($A75,'OI(Volume)'!$A$7:$O$427,12)</f>
        <v>-18150</v>
      </c>
      <c r="L75" s="103">
        <f>VLOOKUP($A75,'OI(Value)'!$A$7:$O$306,8,0)</f>
        <v>692</v>
      </c>
      <c r="M75" s="103">
        <f>VLOOKUP($A75,'OI(Value)'!$A$7:$O$306,9,0)</f>
        <v>14</v>
      </c>
      <c r="N75" s="103">
        <f>VLOOKUP($A75,'OI(Value)'!$A$7:$O$306,11,0)</f>
        <v>402</v>
      </c>
      <c r="O75" s="103">
        <f>VLOOKUP($A75,'OI(Value)'!$A$7:$O$306,12,0)</f>
        <v>-4</v>
      </c>
      <c r="P75" s="179">
        <f>VLOOKUP(A75,'OI(Value)'!A75:O276,8,0)</f>
        <v>692</v>
      </c>
      <c r="Q75" s="179">
        <f>VLOOKUP(A75,'OI(Value)'!A75:O276,9,0)</f>
        <v>14</v>
      </c>
      <c r="R75" s="179">
        <f>VLOOKUP(A75,'OI(Value)'!A75:O276,11,0)</f>
        <v>402</v>
      </c>
      <c r="S75" s="179">
        <f>VLOOKUP(A75,'OI(Value)'!A75:O276,11,0)</f>
        <v>402</v>
      </c>
    </row>
    <row r="76" spans="1:19" x14ac:dyDescent="0.25">
      <c r="A76" s="105" t="str">
        <f>'Data shares'!C71</f>
        <v>GRASIM</v>
      </c>
      <c r="B76" s="143">
        <f>VLOOKUP($A76,'Data shares'!$C:$FA,118)</f>
        <v>1.0900000000000001</v>
      </c>
      <c r="C76" s="143">
        <f>VLOOKUP($A76,'Data shares'!$C:$FA,119)</f>
        <v>1.0900000000000001</v>
      </c>
      <c r="D76" s="143">
        <f>VLOOKUP($A76,'Data shares'!$C:$FA,121)*100</f>
        <v>0</v>
      </c>
      <c r="E76" s="143">
        <f>VLOOKUP($A76,'Data shares'!$C:$FA,124)</f>
        <v>0.53</v>
      </c>
      <c r="F76" s="143">
        <f>VLOOKUP($A76,'Data shares'!$C:$FA,125)</f>
        <v>0.53</v>
      </c>
      <c r="G76" s="143">
        <f>VLOOKUP($A76,'Data shares'!$C:$FA,127)*100</f>
        <v>0</v>
      </c>
      <c r="H76" s="103">
        <f>VLOOKUP($A76,'OI(Volume)'!$A$7:$O$427,8)</f>
        <v>2182000</v>
      </c>
      <c r="I76" s="103">
        <f>VLOOKUP($A76,'OI(Volume)'!$A$7:$O$427,9)</f>
        <v>-9750</v>
      </c>
      <c r="J76" s="103">
        <f>VLOOKUP($A76,'OI(Volume)'!$A$7:$O$427,11)</f>
        <v>2383750</v>
      </c>
      <c r="K76" s="103">
        <f>VLOOKUP($A76,'OI(Volume)'!$A$7:$O$427,12)</f>
        <v>-9500</v>
      </c>
      <c r="L76" s="103">
        <f>VLOOKUP($A76,'OI(Value)'!$A$7:$O$306,8,0)</f>
        <v>614</v>
      </c>
      <c r="M76" s="103">
        <f>VLOOKUP($A76,'OI(Value)'!$A$7:$O$306,9,0)</f>
        <v>-3</v>
      </c>
      <c r="N76" s="103">
        <f>VLOOKUP($A76,'OI(Value)'!$A$7:$O$306,11,0)</f>
        <v>670</v>
      </c>
      <c r="O76" s="103">
        <f>VLOOKUP($A76,'OI(Value)'!$A$7:$O$306,12,0)</f>
        <v>-3</v>
      </c>
      <c r="P76" s="179">
        <f>VLOOKUP(A76,'OI(Value)'!A76:O277,8,0)</f>
        <v>614</v>
      </c>
      <c r="Q76" s="179">
        <f>VLOOKUP(A76,'OI(Value)'!A76:O277,9,0)</f>
        <v>-3</v>
      </c>
      <c r="R76" s="179">
        <f>VLOOKUP(A76,'OI(Value)'!A76:O277,11,0)</f>
        <v>670</v>
      </c>
      <c r="S76" s="179">
        <f>VLOOKUP(A76,'OI(Value)'!A76:O277,11,0)</f>
        <v>670</v>
      </c>
    </row>
    <row r="77" spans="1:19" x14ac:dyDescent="0.25">
      <c r="A77" s="105" t="str">
        <f>'Data shares'!C72</f>
        <v>HAL</v>
      </c>
      <c r="B77" s="143">
        <f>VLOOKUP($A77,'Data shares'!$C:$FA,118)</f>
        <v>0.52</v>
      </c>
      <c r="C77" s="143">
        <f>VLOOKUP($A77,'Data shares'!$C:$FA,119)</f>
        <v>0.49</v>
      </c>
      <c r="D77" s="143">
        <f>VLOOKUP($A77,'Data shares'!$C:$FA,121)*100</f>
        <v>6.12</v>
      </c>
      <c r="E77" s="143">
        <f>VLOOKUP($A77,'Data shares'!$C:$FA,124)</f>
        <v>0.46</v>
      </c>
      <c r="F77" s="143">
        <f>VLOOKUP($A77,'Data shares'!$C:$FA,125)</f>
        <v>0.44</v>
      </c>
      <c r="G77" s="143">
        <f>VLOOKUP($A77,'Data shares'!$C:$FA,127)*100</f>
        <v>4.55</v>
      </c>
      <c r="H77" s="103">
        <f>VLOOKUP($A77,'OI(Volume)'!$A$7:$O$427,8)</f>
        <v>8830050</v>
      </c>
      <c r="I77" s="103">
        <f>VLOOKUP($A77,'OI(Volume)'!$A$7:$O$427,9)</f>
        <v>-310500</v>
      </c>
      <c r="J77" s="103">
        <f>VLOOKUP($A77,'OI(Volume)'!$A$7:$O$427,11)</f>
        <v>4604250</v>
      </c>
      <c r="K77" s="103">
        <f>VLOOKUP($A77,'OI(Volume)'!$A$7:$O$427,12)</f>
        <v>92250</v>
      </c>
      <c r="L77" s="103">
        <f>VLOOKUP($A77,'OI(Value)'!$A$7:$O$306,8,0)</f>
        <v>3764</v>
      </c>
      <c r="M77" s="103">
        <f>VLOOKUP($A77,'OI(Value)'!$A$7:$O$306,9,0)</f>
        <v>-132</v>
      </c>
      <c r="N77" s="103">
        <f>VLOOKUP($A77,'OI(Value)'!$A$7:$O$306,11,0)</f>
        <v>1963</v>
      </c>
      <c r="O77" s="103">
        <f>VLOOKUP($A77,'OI(Value)'!$A$7:$O$306,12,0)</f>
        <v>39</v>
      </c>
      <c r="P77" s="179">
        <f>VLOOKUP(A77,'OI(Value)'!A77:O278,8,0)</f>
        <v>3764</v>
      </c>
      <c r="Q77" s="179">
        <f>VLOOKUP(A77,'OI(Value)'!A77:O278,9,0)</f>
        <v>-132</v>
      </c>
      <c r="R77" s="179">
        <f>VLOOKUP(A77,'OI(Value)'!A77:O278,11,0)</f>
        <v>1963</v>
      </c>
      <c r="S77" s="179">
        <f>VLOOKUP(A77,'OI(Value)'!A77:O278,11,0)</f>
        <v>1963</v>
      </c>
    </row>
    <row r="78" spans="1:19" x14ac:dyDescent="0.25">
      <c r="A78" s="105" t="str">
        <f>'Data shares'!C73</f>
        <v>HAVELLS</v>
      </c>
      <c r="B78" s="143">
        <f>VLOOKUP($A78,'Data shares'!$C:$FA,118)</f>
        <v>0.82</v>
      </c>
      <c r="C78" s="143">
        <f>VLOOKUP($A78,'Data shares'!$C:$FA,119)</f>
        <v>0.76</v>
      </c>
      <c r="D78" s="143">
        <f>VLOOKUP($A78,'Data shares'!$C:$FA,121)*100</f>
        <v>7.89</v>
      </c>
      <c r="E78" s="143">
        <f>VLOOKUP($A78,'Data shares'!$C:$FA,124)</f>
        <v>0.49</v>
      </c>
      <c r="F78" s="143">
        <f>VLOOKUP($A78,'Data shares'!$C:$FA,125)</f>
        <v>0.74</v>
      </c>
      <c r="G78" s="143">
        <f>VLOOKUP($A78,'Data shares'!$C:$FA,127)*100</f>
        <v>-33.78</v>
      </c>
      <c r="H78" s="103">
        <f>VLOOKUP($A78,'OI(Volume)'!$A$7:$O$427,8)</f>
        <v>2604000</v>
      </c>
      <c r="I78" s="103">
        <f>VLOOKUP($A78,'OI(Volume)'!$A$7:$O$427,9)</f>
        <v>-78000</v>
      </c>
      <c r="J78" s="103">
        <f>VLOOKUP($A78,'OI(Volume)'!$A$7:$O$427,11)</f>
        <v>2132000</v>
      </c>
      <c r="K78" s="103">
        <f>VLOOKUP($A78,'OI(Volume)'!$A$7:$O$427,12)</f>
        <v>90500</v>
      </c>
      <c r="L78" s="103">
        <f>VLOOKUP($A78,'OI(Value)'!$A$7:$O$306,8,0)</f>
        <v>366</v>
      </c>
      <c r="M78" s="103">
        <f>VLOOKUP($A78,'OI(Value)'!$A$7:$O$306,9,0)</f>
        <v>-11</v>
      </c>
      <c r="N78" s="103">
        <f>VLOOKUP($A78,'OI(Value)'!$A$7:$O$306,11,0)</f>
        <v>299</v>
      </c>
      <c r="O78" s="103">
        <f>VLOOKUP($A78,'OI(Value)'!$A$7:$O$306,12,0)</f>
        <v>13</v>
      </c>
      <c r="P78" s="179">
        <f>VLOOKUP(A78,'OI(Value)'!A78:O279,8,0)</f>
        <v>366</v>
      </c>
      <c r="Q78" s="179">
        <f>VLOOKUP(A78,'OI(Value)'!A78:O279,9,0)</f>
        <v>-11</v>
      </c>
      <c r="R78" s="179">
        <f>VLOOKUP(A78,'OI(Value)'!A78:O279,11,0)</f>
        <v>299</v>
      </c>
      <c r="S78" s="179">
        <f>VLOOKUP(A78,'OI(Value)'!A78:O279,11,0)</f>
        <v>299</v>
      </c>
    </row>
    <row r="79" spans="1:19" x14ac:dyDescent="0.25">
      <c r="A79" s="105" t="str">
        <f>'Data shares'!C74</f>
        <v>HCLTECH</v>
      </c>
      <c r="B79" s="143">
        <f>VLOOKUP($A79,'Data shares'!$C:$FA,118)</f>
        <v>0.59</v>
      </c>
      <c r="C79" s="143">
        <f>VLOOKUP($A79,'Data shares'!$C:$FA,119)</f>
        <v>0.56999999999999995</v>
      </c>
      <c r="D79" s="143">
        <f>VLOOKUP($A79,'Data shares'!$C:$FA,121)*100</f>
        <v>3.51</v>
      </c>
      <c r="E79" s="143">
        <f>VLOOKUP($A79,'Data shares'!$C:$FA,124)</f>
        <v>0.3</v>
      </c>
      <c r="F79" s="143">
        <f>VLOOKUP($A79,'Data shares'!$C:$FA,125)</f>
        <v>0.5</v>
      </c>
      <c r="G79" s="143">
        <f>VLOOKUP($A79,'Data shares'!$C:$FA,127)*100</f>
        <v>-40</v>
      </c>
      <c r="H79" s="103">
        <f>VLOOKUP($A79,'OI(Volume)'!$A$7:$O$427,8)</f>
        <v>7481250</v>
      </c>
      <c r="I79" s="103">
        <f>VLOOKUP($A79,'OI(Volume)'!$A$7:$O$427,9)</f>
        <v>108500</v>
      </c>
      <c r="J79" s="103">
        <f>VLOOKUP($A79,'OI(Volume)'!$A$7:$O$427,11)</f>
        <v>4389350</v>
      </c>
      <c r="K79" s="103">
        <f>VLOOKUP($A79,'OI(Volume)'!$A$7:$O$427,12)</f>
        <v>176050</v>
      </c>
      <c r="L79" s="103">
        <f>VLOOKUP($A79,'OI(Value)'!$A$7:$O$306,8,0)</f>
        <v>1247</v>
      </c>
      <c r="M79" s="103">
        <f>VLOOKUP($A79,'OI(Value)'!$A$7:$O$306,9,0)</f>
        <v>18</v>
      </c>
      <c r="N79" s="103">
        <f>VLOOKUP($A79,'OI(Value)'!$A$7:$O$306,11,0)</f>
        <v>731</v>
      </c>
      <c r="O79" s="103">
        <f>VLOOKUP($A79,'OI(Value)'!$A$7:$O$306,12,0)</f>
        <v>29</v>
      </c>
      <c r="P79" s="179">
        <f>VLOOKUP(A79,'OI(Value)'!A79:O280,8,0)</f>
        <v>1247</v>
      </c>
      <c r="Q79" s="179">
        <f>VLOOKUP(A79,'OI(Value)'!A79:O280,9,0)</f>
        <v>18</v>
      </c>
      <c r="R79" s="179">
        <f>VLOOKUP(A79,'OI(Value)'!A79:O280,11,0)</f>
        <v>731</v>
      </c>
      <c r="S79" s="179">
        <f>VLOOKUP(A79,'OI(Value)'!A79:O280,11,0)</f>
        <v>731</v>
      </c>
    </row>
    <row r="80" spans="1:19" x14ac:dyDescent="0.25">
      <c r="A80" s="105" t="str">
        <f>'Data shares'!C75</f>
        <v>HDFCAMC</v>
      </c>
      <c r="B80" s="143">
        <f>VLOOKUP($A80,'Data shares'!$C:$FA,118)</f>
        <v>0.95</v>
      </c>
      <c r="C80" s="143">
        <f>VLOOKUP($A80,'Data shares'!$C:$FA,119)</f>
        <v>0.78</v>
      </c>
      <c r="D80" s="143">
        <f>VLOOKUP($A80,'Data shares'!$C:$FA,121)*100</f>
        <v>21.790000000000003</v>
      </c>
      <c r="E80" s="143">
        <f>VLOOKUP($A80,'Data shares'!$C:$FA,124)</f>
        <v>0.45</v>
      </c>
      <c r="F80" s="143">
        <f>VLOOKUP($A80,'Data shares'!$C:$FA,125)</f>
        <v>0.98</v>
      </c>
      <c r="G80" s="143">
        <f>VLOOKUP($A80,'Data shares'!$C:$FA,127)*100</f>
        <v>-54.08</v>
      </c>
      <c r="H80" s="103">
        <f>VLOOKUP($A80,'OI(Volume)'!$A$7:$O$427,8)</f>
        <v>3745800</v>
      </c>
      <c r="I80" s="103">
        <f>VLOOKUP($A80,'OI(Volume)'!$A$7:$O$427,9)</f>
        <v>1510200</v>
      </c>
      <c r="J80" s="103">
        <f>VLOOKUP($A80,'OI(Volume)'!$A$7:$O$427,11)</f>
        <v>3572100</v>
      </c>
      <c r="K80" s="103">
        <f>VLOOKUP($A80,'OI(Volume)'!$A$7:$O$427,12)</f>
        <v>1826700</v>
      </c>
      <c r="L80" s="103">
        <f>VLOOKUP($A80,'OI(Value)'!$A$7:$O$306,8,0)</f>
        <v>1024</v>
      </c>
      <c r="M80" s="103">
        <f>VLOOKUP($A80,'OI(Value)'!$A$7:$O$306,9,0)</f>
        <v>413</v>
      </c>
      <c r="N80" s="103">
        <f>VLOOKUP($A80,'OI(Value)'!$A$7:$O$306,11,0)</f>
        <v>976</v>
      </c>
      <c r="O80" s="103">
        <f>VLOOKUP($A80,'OI(Value)'!$A$7:$O$306,12,0)</f>
        <v>499</v>
      </c>
      <c r="P80" s="179">
        <f>VLOOKUP(A80,'OI(Value)'!A80:O281,8,0)</f>
        <v>1024</v>
      </c>
      <c r="Q80" s="179">
        <f>VLOOKUP(A80,'OI(Value)'!A80:O281,9,0)</f>
        <v>413</v>
      </c>
      <c r="R80" s="179">
        <f>VLOOKUP(A80,'OI(Value)'!A80:O281,11,0)</f>
        <v>976</v>
      </c>
      <c r="S80" s="179">
        <f>VLOOKUP(A80,'OI(Value)'!A80:O281,11,0)</f>
        <v>976</v>
      </c>
    </row>
    <row r="81" spans="1:19" x14ac:dyDescent="0.25">
      <c r="A81" s="105" t="str">
        <f>'Data shares'!C76</f>
        <v>HDFCBANK</v>
      </c>
      <c r="B81" s="143">
        <f>VLOOKUP($A81,'Data shares'!$C:$FA,118)</f>
        <v>0.62</v>
      </c>
      <c r="C81" s="143">
        <f>VLOOKUP($A81,'Data shares'!$C:$FA,119)</f>
        <v>0.64</v>
      </c>
      <c r="D81" s="143">
        <f>VLOOKUP($A81,'Data shares'!$C:$FA,121)*100</f>
        <v>-3.1300000000000003</v>
      </c>
      <c r="E81" s="143">
        <f>VLOOKUP($A81,'Data shares'!$C:$FA,124)</f>
        <v>0.6</v>
      </c>
      <c r="F81" s="143">
        <f>VLOOKUP($A81,'Data shares'!$C:$FA,125)</f>
        <v>0.62</v>
      </c>
      <c r="G81" s="143">
        <f>VLOOKUP($A81,'Data shares'!$C:$FA,127)*100</f>
        <v>-3.2300000000000004</v>
      </c>
      <c r="H81" s="103">
        <f>VLOOKUP($A81,'OI(Volume)'!$A$7:$O$427,8)</f>
        <v>45953050</v>
      </c>
      <c r="I81" s="103">
        <f>VLOOKUP($A81,'OI(Volume)'!$A$7:$O$427,9)</f>
        <v>2554750</v>
      </c>
      <c r="J81" s="103">
        <f>VLOOKUP($A81,'OI(Volume)'!$A$7:$O$427,11)</f>
        <v>28318400</v>
      </c>
      <c r="K81" s="103">
        <f>VLOOKUP($A81,'OI(Volume)'!$A$7:$O$427,12)</f>
        <v>523600</v>
      </c>
      <c r="L81" s="103">
        <f>VLOOKUP($A81,'OI(Value)'!$A$7:$O$306,8,0)</f>
        <v>4513</v>
      </c>
      <c r="M81" s="103">
        <f>VLOOKUP($A81,'OI(Value)'!$A$7:$O$306,9,0)</f>
        <v>251</v>
      </c>
      <c r="N81" s="103">
        <f>VLOOKUP($A81,'OI(Value)'!$A$7:$O$306,11,0)</f>
        <v>2781</v>
      </c>
      <c r="O81" s="103">
        <f>VLOOKUP($A81,'OI(Value)'!$A$7:$O$306,12,0)</f>
        <v>51</v>
      </c>
      <c r="P81" s="179">
        <f>VLOOKUP(A81,'OI(Value)'!A81:O282,8,0)</f>
        <v>4513</v>
      </c>
      <c r="Q81" s="179">
        <f>VLOOKUP(A81,'OI(Value)'!A81:O282,9,0)</f>
        <v>251</v>
      </c>
      <c r="R81" s="179">
        <f>VLOOKUP(A81,'OI(Value)'!A81:O282,11,0)</f>
        <v>2781</v>
      </c>
      <c r="S81" s="179">
        <f>VLOOKUP(A81,'OI(Value)'!A81:O282,11,0)</f>
        <v>2781</v>
      </c>
    </row>
    <row r="82" spans="1:19" x14ac:dyDescent="0.25">
      <c r="A82" s="105" t="str">
        <f>'Data shares'!C77</f>
        <v>HDFCLIFE</v>
      </c>
      <c r="B82" s="143">
        <f>VLOOKUP($A82,'Data shares'!$C:$FA,118)</f>
        <v>0.46</v>
      </c>
      <c r="C82" s="143">
        <f>VLOOKUP($A82,'Data shares'!$C:$FA,119)</f>
        <v>0.43</v>
      </c>
      <c r="D82" s="143">
        <f>VLOOKUP($A82,'Data shares'!$C:$FA,121)*100</f>
        <v>6.98</v>
      </c>
      <c r="E82" s="143">
        <f>VLOOKUP($A82,'Data shares'!$C:$FA,124)</f>
        <v>0.34</v>
      </c>
      <c r="F82" s="143">
        <f>VLOOKUP($A82,'Data shares'!$C:$FA,125)</f>
        <v>0.32</v>
      </c>
      <c r="G82" s="143">
        <f>VLOOKUP($A82,'Data shares'!$C:$FA,127)*100</f>
        <v>6.25</v>
      </c>
      <c r="H82" s="103">
        <f>VLOOKUP($A82,'OI(Volume)'!$A$7:$O$427,8)</f>
        <v>18704400</v>
      </c>
      <c r="I82" s="103">
        <f>VLOOKUP($A82,'OI(Volume)'!$A$7:$O$427,9)</f>
        <v>-1037300</v>
      </c>
      <c r="J82" s="103">
        <f>VLOOKUP($A82,'OI(Volume)'!$A$7:$O$427,11)</f>
        <v>8532700</v>
      </c>
      <c r="K82" s="103">
        <f>VLOOKUP($A82,'OI(Volume)'!$A$7:$O$427,12)</f>
        <v>-5500</v>
      </c>
      <c r="L82" s="103">
        <f>VLOOKUP($A82,'OI(Value)'!$A$7:$O$306,8,0)</f>
        <v>1419</v>
      </c>
      <c r="M82" s="103">
        <f>VLOOKUP($A82,'OI(Value)'!$A$7:$O$306,9,0)</f>
        <v>-79</v>
      </c>
      <c r="N82" s="103">
        <f>VLOOKUP($A82,'OI(Value)'!$A$7:$O$306,11,0)</f>
        <v>647</v>
      </c>
      <c r="O82" s="103">
        <f>VLOOKUP($A82,'OI(Value)'!$A$7:$O$306,12,0)</f>
        <v>0</v>
      </c>
      <c r="P82" s="179">
        <f>VLOOKUP(A82,'OI(Value)'!A82:O283,8,0)</f>
        <v>1419</v>
      </c>
      <c r="Q82" s="179">
        <f>VLOOKUP(A82,'OI(Value)'!A82:O283,9,0)</f>
        <v>-79</v>
      </c>
      <c r="R82" s="179">
        <f>VLOOKUP(A82,'OI(Value)'!A82:O283,11,0)</f>
        <v>647</v>
      </c>
      <c r="S82" s="179">
        <f>VLOOKUP(A82,'OI(Value)'!A82:O283,11,0)</f>
        <v>647</v>
      </c>
    </row>
    <row r="83" spans="1:19" x14ac:dyDescent="0.25">
      <c r="A83" s="105" t="str">
        <f>'Data shares'!C78</f>
        <v>HEROMOTOCO</v>
      </c>
      <c r="B83" s="143">
        <f>VLOOKUP($A83,'Data shares'!$C:$FA,118)</f>
        <v>0.43</v>
      </c>
      <c r="C83" s="143">
        <f>VLOOKUP($A83,'Data shares'!$C:$FA,119)</f>
        <v>0.55000000000000004</v>
      </c>
      <c r="D83" s="143">
        <f>VLOOKUP($A83,'Data shares'!$C:$FA,121)*100</f>
        <v>-21.82</v>
      </c>
      <c r="E83" s="143">
        <f>VLOOKUP($A83,'Data shares'!$C:$FA,124)</f>
        <v>0.67</v>
      </c>
      <c r="F83" s="143">
        <f>VLOOKUP($A83,'Data shares'!$C:$FA,125)</f>
        <v>0.79</v>
      </c>
      <c r="G83" s="143">
        <f>VLOOKUP($A83,'Data shares'!$C:$FA,127)*100</f>
        <v>-15.190000000000001</v>
      </c>
      <c r="H83" s="103">
        <f>VLOOKUP($A83,'OI(Volume)'!$A$7:$O$427,8)</f>
        <v>5154300</v>
      </c>
      <c r="I83" s="103">
        <f>VLOOKUP($A83,'OI(Volume)'!$A$7:$O$427,9)</f>
        <v>1476450</v>
      </c>
      <c r="J83" s="103">
        <f>VLOOKUP($A83,'OI(Volume)'!$A$7:$O$427,11)</f>
        <v>2218800</v>
      </c>
      <c r="K83" s="103">
        <f>VLOOKUP($A83,'OI(Volume)'!$A$7:$O$427,12)</f>
        <v>208650</v>
      </c>
      <c r="L83" s="103">
        <f>VLOOKUP($A83,'OI(Value)'!$A$7:$O$306,8,0)</f>
        <v>2963</v>
      </c>
      <c r="M83" s="103">
        <f>VLOOKUP($A83,'OI(Value)'!$A$7:$O$306,9,0)</f>
        <v>849</v>
      </c>
      <c r="N83" s="103">
        <f>VLOOKUP($A83,'OI(Value)'!$A$7:$O$306,11,0)</f>
        <v>1276</v>
      </c>
      <c r="O83" s="103">
        <f>VLOOKUP($A83,'OI(Value)'!$A$7:$O$306,12,0)</f>
        <v>120</v>
      </c>
      <c r="P83" s="179">
        <f>VLOOKUP(A83,'OI(Value)'!A83:O284,8,0)</f>
        <v>2963</v>
      </c>
      <c r="Q83" s="179">
        <f>VLOOKUP(A83,'OI(Value)'!A83:O284,9,0)</f>
        <v>849</v>
      </c>
      <c r="R83" s="179">
        <f>VLOOKUP(A83,'OI(Value)'!A83:O284,11,0)</f>
        <v>1276</v>
      </c>
      <c r="S83" s="179">
        <f>VLOOKUP(A83,'OI(Value)'!A83:O284,11,0)</f>
        <v>1276</v>
      </c>
    </row>
    <row r="84" spans="1:19" x14ac:dyDescent="0.25">
      <c r="A84" s="105" t="str">
        <f>'Data shares'!C79</f>
        <v>HFCL</v>
      </c>
      <c r="B84" s="143">
        <f>VLOOKUP($A84,'Data shares'!$C:$FA,118)</f>
        <v>0.43</v>
      </c>
      <c r="C84" s="143">
        <f>VLOOKUP($A84,'Data shares'!$C:$FA,119)</f>
        <v>0.41</v>
      </c>
      <c r="D84" s="143">
        <f>VLOOKUP($A84,'Data shares'!$C:$FA,121)*100</f>
        <v>4.88</v>
      </c>
      <c r="E84" s="143">
        <f>VLOOKUP($A84,'Data shares'!$C:$FA,124)</f>
        <v>0.39</v>
      </c>
      <c r="F84" s="143">
        <f>VLOOKUP($A84,'Data shares'!$C:$FA,125)</f>
        <v>0.64</v>
      </c>
      <c r="G84" s="143">
        <f>VLOOKUP($A84,'Data shares'!$C:$FA,127)*100</f>
        <v>-39.06</v>
      </c>
      <c r="H84" s="103">
        <f>VLOOKUP($A84,'OI(Volume)'!$A$7:$O$427,8)</f>
        <v>74523300</v>
      </c>
      <c r="I84" s="103">
        <f>VLOOKUP($A84,'OI(Volume)'!$A$7:$O$427,9)</f>
        <v>-2025300</v>
      </c>
      <c r="J84" s="103">
        <f>VLOOKUP($A84,'OI(Volume)'!$A$7:$O$427,11)</f>
        <v>31927500</v>
      </c>
      <c r="K84" s="103">
        <f>VLOOKUP($A84,'OI(Volume)'!$A$7:$O$427,12)</f>
        <v>167700</v>
      </c>
      <c r="L84" s="103">
        <f>VLOOKUP($A84,'OI(Value)'!$A$7:$O$306,8,0)</f>
        <v>483</v>
      </c>
      <c r="M84" s="103">
        <f>VLOOKUP($A84,'OI(Value)'!$A$7:$O$306,9,0)</f>
        <v>-13</v>
      </c>
      <c r="N84" s="103">
        <f>VLOOKUP($A84,'OI(Value)'!$A$7:$O$306,11,0)</f>
        <v>207</v>
      </c>
      <c r="O84" s="103">
        <f>VLOOKUP($A84,'OI(Value)'!$A$7:$O$306,12,0)</f>
        <v>1</v>
      </c>
      <c r="P84" s="179">
        <f>VLOOKUP(A84,'OI(Value)'!A84:O285,8,0)</f>
        <v>483</v>
      </c>
      <c r="Q84" s="179">
        <f>VLOOKUP(A84,'OI(Value)'!A84:O285,9,0)</f>
        <v>-13</v>
      </c>
      <c r="R84" s="179">
        <f>VLOOKUP(A84,'OI(Value)'!A84:O285,11,0)</f>
        <v>207</v>
      </c>
      <c r="S84" s="179">
        <f>VLOOKUP(A84,'OI(Value)'!A84:O285,11,0)</f>
        <v>207</v>
      </c>
    </row>
    <row r="85" spans="1:19" x14ac:dyDescent="0.25">
      <c r="A85" s="105" t="str">
        <f>'Data shares'!C80</f>
        <v>HINDALCO</v>
      </c>
      <c r="B85" s="143">
        <f>VLOOKUP($A85,'Data shares'!$C:$FA,118)</f>
        <v>0.77</v>
      </c>
      <c r="C85" s="143">
        <f>VLOOKUP($A85,'Data shares'!$C:$FA,119)</f>
        <v>0.74</v>
      </c>
      <c r="D85" s="143">
        <f>VLOOKUP($A85,'Data shares'!$C:$FA,121)*100</f>
        <v>4.05</v>
      </c>
      <c r="E85" s="143">
        <f>VLOOKUP($A85,'Data shares'!$C:$FA,124)</f>
        <v>0.54</v>
      </c>
      <c r="F85" s="143">
        <f>VLOOKUP($A85,'Data shares'!$C:$FA,125)</f>
        <v>0.44</v>
      </c>
      <c r="G85" s="143">
        <f>VLOOKUP($A85,'Data shares'!$C:$FA,127)*100</f>
        <v>22.73</v>
      </c>
      <c r="H85" s="103">
        <f>VLOOKUP($A85,'OI(Volume)'!$A$7:$O$427,8)</f>
        <v>15368500</v>
      </c>
      <c r="I85" s="103">
        <f>VLOOKUP($A85,'OI(Volume)'!$A$7:$O$427,9)</f>
        <v>-221200</v>
      </c>
      <c r="J85" s="103">
        <f>VLOOKUP($A85,'OI(Volume)'!$A$7:$O$427,11)</f>
        <v>11883200</v>
      </c>
      <c r="K85" s="103">
        <f>VLOOKUP($A85,'OI(Volume)'!$A$7:$O$427,12)</f>
        <v>410900</v>
      </c>
      <c r="L85" s="103">
        <f>VLOOKUP($A85,'OI(Value)'!$A$7:$O$306,8,0)</f>
        <v>1319</v>
      </c>
      <c r="M85" s="103">
        <f>VLOOKUP($A85,'OI(Value)'!$A$7:$O$306,9,0)</f>
        <v>-19</v>
      </c>
      <c r="N85" s="103">
        <f>VLOOKUP($A85,'OI(Value)'!$A$7:$O$306,11,0)</f>
        <v>1020</v>
      </c>
      <c r="O85" s="103">
        <f>VLOOKUP($A85,'OI(Value)'!$A$7:$O$306,12,0)</f>
        <v>35</v>
      </c>
      <c r="P85" s="179">
        <f>VLOOKUP(A85,'OI(Value)'!A85:O286,8,0)</f>
        <v>1319</v>
      </c>
      <c r="Q85" s="179">
        <f>VLOOKUP(A85,'OI(Value)'!A85:O286,9,0)</f>
        <v>-19</v>
      </c>
      <c r="R85" s="179">
        <f>VLOOKUP(A85,'OI(Value)'!A85:O286,11,0)</f>
        <v>1020</v>
      </c>
      <c r="S85" s="179">
        <f>VLOOKUP(A85,'OI(Value)'!A85:O286,11,0)</f>
        <v>1020</v>
      </c>
    </row>
    <row r="86" spans="1:19" x14ac:dyDescent="0.25">
      <c r="A86" s="105" t="str">
        <f>'Data shares'!C81</f>
        <v>HINDPETRO</v>
      </c>
      <c r="B86" s="143">
        <f>VLOOKUP($A86,'Data shares'!$C:$FA,118)</f>
        <v>0.59</v>
      </c>
      <c r="C86" s="143">
        <f>VLOOKUP($A86,'Data shares'!$C:$FA,119)</f>
        <v>0.57999999999999996</v>
      </c>
      <c r="D86" s="143">
        <f>VLOOKUP($A86,'Data shares'!$C:$FA,121)*100</f>
        <v>1.72</v>
      </c>
      <c r="E86" s="143">
        <f>VLOOKUP($A86,'Data shares'!$C:$FA,124)</f>
        <v>0.52</v>
      </c>
      <c r="F86" s="143">
        <f>VLOOKUP($A86,'Data shares'!$C:$FA,125)</f>
        <v>0.38</v>
      </c>
      <c r="G86" s="143">
        <f>VLOOKUP($A86,'Data shares'!$C:$FA,127)*100</f>
        <v>36.840000000000003</v>
      </c>
      <c r="H86" s="103">
        <f>VLOOKUP($A86,'OI(Volume)'!$A$7:$O$427,8)</f>
        <v>14993100</v>
      </c>
      <c r="I86" s="103">
        <f>VLOOKUP($A86,'OI(Volume)'!$A$7:$O$427,9)</f>
        <v>-196425</v>
      </c>
      <c r="J86" s="103">
        <f>VLOOKUP($A86,'OI(Volume)'!$A$7:$O$427,11)</f>
        <v>8903925</v>
      </c>
      <c r="K86" s="103">
        <f>VLOOKUP($A86,'OI(Volume)'!$A$7:$O$427,12)</f>
        <v>166050</v>
      </c>
      <c r="L86" s="103">
        <f>VLOOKUP($A86,'OI(Value)'!$A$7:$O$306,8,0)</f>
        <v>697</v>
      </c>
      <c r="M86" s="103">
        <f>VLOOKUP($A86,'OI(Value)'!$A$7:$O$306,9,0)</f>
        <v>-9</v>
      </c>
      <c r="N86" s="103">
        <f>VLOOKUP($A86,'OI(Value)'!$A$7:$O$306,11,0)</f>
        <v>414</v>
      </c>
      <c r="O86" s="103">
        <f>VLOOKUP($A86,'OI(Value)'!$A$7:$O$306,12,0)</f>
        <v>8</v>
      </c>
      <c r="P86" s="179">
        <f>VLOOKUP(A86,'OI(Value)'!A86:O287,8,0)</f>
        <v>697</v>
      </c>
      <c r="Q86" s="179">
        <f>VLOOKUP(A86,'OI(Value)'!A86:O287,9,0)</f>
        <v>-9</v>
      </c>
      <c r="R86" s="179">
        <f>VLOOKUP(A86,'OI(Value)'!A86:O287,11,0)</f>
        <v>414</v>
      </c>
      <c r="S86" s="179">
        <f>VLOOKUP(A86,'OI(Value)'!A86:O287,11,0)</f>
        <v>414</v>
      </c>
    </row>
    <row r="87" spans="1:19" x14ac:dyDescent="0.25">
      <c r="A87" s="105" t="str">
        <f>'Data shares'!C82</f>
        <v>HINDUNILVR</v>
      </c>
      <c r="B87" s="143">
        <f>VLOOKUP($A87,'Data shares'!$C:$FA,118)</f>
        <v>0.51</v>
      </c>
      <c r="C87" s="143">
        <f>VLOOKUP($A87,'Data shares'!$C:$FA,119)</f>
        <v>0.52</v>
      </c>
      <c r="D87" s="143">
        <f>VLOOKUP($A87,'Data shares'!$C:$FA,121)*100</f>
        <v>-1.92</v>
      </c>
      <c r="E87" s="143">
        <f>VLOOKUP($A87,'Data shares'!$C:$FA,124)</f>
        <v>0.37</v>
      </c>
      <c r="F87" s="143">
        <f>VLOOKUP($A87,'Data shares'!$C:$FA,125)</f>
        <v>0.32</v>
      </c>
      <c r="G87" s="143">
        <f>VLOOKUP($A87,'Data shares'!$C:$FA,127)*100</f>
        <v>15.620000000000001</v>
      </c>
      <c r="H87" s="103">
        <f>VLOOKUP($A87,'OI(Volume)'!$A$7:$O$427,8)</f>
        <v>6781500</v>
      </c>
      <c r="I87" s="103">
        <f>VLOOKUP($A87,'OI(Volume)'!$A$7:$O$427,9)</f>
        <v>162000</v>
      </c>
      <c r="J87" s="103">
        <f>VLOOKUP($A87,'OI(Volume)'!$A$7:$O$427,11)</f>
        <v>3465600</v>
      </c>
      <c r="K87" s="103">
        <f>VLOOKUP($A87,'OI(Volume)'!$A$7:$O$427,12)</f>
        <v>42600</v>
      </c>
      <c r="L87" s="103">
        <f>VLOOKUP($A87,'OI(Value)'!$A$7:$O$306,8,0)</f>
        <v>1536</v>
      </c>
      <c r="M87" s="103">
        <f>VLOOKUP($A87,'OI(Value)'!$A$7:$O$306,9,0)</f>
        <v>37</v>
      </c>
      <c r="N87" s="103">
        <f>VLOOKUP($A87,'OI(Value)'!$A$7:$O$306,11,0)</f>
        <v>785</v>
      </c>
      <c r="O87" s="103">
        <f>VLOOKUP($A87,'OI(Value)'!$A$7:$O$306,12,0)</f>
        <v>10</v>
      </c>
      <c r="P87" s="179">
        <f>VLOOKUP(A87,'OI(Value)'!A87:O288,8,0)</f>
        <v>1536</v>
      </c>
      <c r="Q87" s="179">
        <f>VLOOKUP(A87,'OI(Value)'!A87:O288,9,0)</f>
        <v>37</v>
      </c>
      <c r="R87" s="179">
        <f>VLOOKUP(A87,'OI(Value)'!A87:O288,11,0)</f>
        <v>785</v>
      </c>
      <c r="S87" s="179">
        <f>VLOOKUP(A87,'OI(Value)'!A87:O288,11,0)</f>
        <v>785</v>
      </c>
    </row>
    <row r="88" spans="1:19" x14ac:dyDescent="0.25">
      <c r="A88" s="105" t="str">
        <f>'Data shares'!C83</f>
        <v>HINDZINC</v>
      </c>
      <c r="B88" s="143">
        <f>VLOOKUP($A88,'Data shares'!$C:$FA,118)</f>
        <v>0.72</v>
      </c>
      <c r="C88" s="143">
        <f>VLOOKUP($A88,'Data shares'!$C:$FA,119)</f>
        <v>0.66</v>
      </c>
      <c r="D88" s="143">
        <f>VLOOKUP($A88,'Data shares'!$C:$FA,121)*100</f>
        <v>9.09</v>
      </c>
      <c r="E88" s="143">
        <f>VLOOKUP($A88,'Data shares'!$C:$FA,124)</f>
        <v>0.46</v>
      </c>
      <c r="F88" s="143">
        <f>VLOOKUP($A88,'Data shares'!$C:$FA,125)</f>
        <v>0.41</v>
      </c>
      <c r="G88" s="143">
        <f>VLOOKUP($A88,'Data shares'!$C:$FA,127)*100</f>
        <v>12.2</v>
      </c>
      <c r="H88" s="103">
        <f>VLOOKUP($A88,'OI(Volume)'!$A$7:$O$427,8)</f>
        <v>51061675</v>
      </c>
      <c r="I88" s="103">
        <f>VLOOKUP($A88,'OI(Volume)'!$A$7:$O$427,9)</f>
        <v>-869750</v>
      </c>
      <c r="J88" s="103">
        <f>VLOOKUP($A88,'OI(Volume)'!$A$7:$O$427,11)</f>
        <v>36775725</v>
      </c>
      <c r="K88" s="103">
        <f>VLOOKUP($A88,'OI(Volume)'!$A$7:$O$427,12)</f>
        <v>2268700</v>
      </c>
      <c r="L88" s="103">
        <f>VLOOKUP($A88,'OI(Value)'!$A$7:$O$306,8,0)</f>
        <v>3025</v>
      </c>
      <c r="M88" s="103">
        <f>VLOOKUP($A88,'OI(Value)'!$A$7:$O$306,9,0)</f>
        <v>-52</v>
      </c>
      <c r="N88" s="103">
        <f>VLOOKUP($A88,'OI(Value)'!$A$7:$O$306,11,0)</f>
        <v>2178</v>
      </c>
      <c r="O88" s="103">
        <f>VLOOKUP($A88,'OI(Value)'!$A$7:$O$306,12,0)</f>
        <v>134</v>
      </c>
      <c r="P88" s="179">
        <f>VLOOKUP(A88,'OI(Value)'!A88:O289,8,0)</f>
        <v>3025</v>
      </c>
      <c r="Q88" s="179">
        <f>VLOOKUP(A88,'OI(Value)'!A88:O289,9,0)</f>
        <v>-52</v>
      </c>
      <c r="R88" s="179">
        <f>VLOOKUP(A88,'OI(Value)'!A88:O289,11,0)</f>
        <v>2178</v>
      </c>
      <c r="S88" s="179">
        <f>VLOOKUP(A88,'OI(Value)'!A88:O289,11,0)</f>
        <v>2178</v>
      </c>
    </row>
    <row r="89" spans="1:19" x14ac:dyDescent="0.25">
      <c r="A89" s="105" t="str">
        <f>'Data shares'!C84</f>
        <v>HUDCO</v>
      </c>
      <c r="B89" s="143">
        <f>VLOOKUP($A89,'Data shares'!$C:$FA,118)</f>
        <v>0.44</v>
      </c>
      <c r="C89" s="143">
        <f>VLOOKUP($A89,'Data shares'!$C:$FA,119)</f>
        <v>0.44</v>
      </c>
      <c r="D89" s="143">
        <f>VLOOKUP($A89,'Data shares'!$C:$FA,121)*100</f>
        <v>0</v>
      </c>
      <c r="E89" s="143">
        <f>VLOOKUP($A89,'Data shares'!$C:$FA,124)</f>
        <v>0.33</v>
      </c>
      <c r="F89" s="143">
        <f>VLOOKUP($A89,'Data shares'!$C:$FA,125)</f>
        <v>0.48</v>
      </c>
      <c r="G89" s="143">
        <f>VLOOKUP($A89,'Data shares'!$C:$FA,127)*100</f>
        <v>-31.25</v>
      </c>
      <c r="H89" s="103">
        <f>VLOOKUP($A89,'OI(Volume)'!$A$7:$O$427,8)</f>
        <v>42379800</v>
      </c>
      <c r="I89" s="103">
        <f>VLOOKUP($A89,'OI(Volume)'!$A$7:$O$427,9)</f>
        <v>732600</v>
      </c>
      <c r="J89" s="103">
        <f>VLOOKUP($A89,'OI(Volume)'!$A$7:$O$427,11)</f>
        <v>18786750</v>
      </c>
      <c r="K89" s="103">
        <f>VLOOKUP($A89,'OI(Volume)'!$A$7:$O$427,12)</f>
        <v>541125</v>
      </c>
      <c r="L89" s="103">
        <f>VLOOKUP($A89,'OI(Value)'!$A$7:$O$306,8,0)</f>
        <v>877</v>
      </c>
      <c r="M89" s="103">
        <f>VLOOKUP($A89,'OI(Value)'!$A$7:$O$306,9,0)</f>
        <v>15</v>
      </c>
      <c r="N89" s="103">
        <f>VLOOKUP($A89,'OI(Value)'!$A$7:$O$306,11,0)</f>
        <v>389</v>
      </c>
      <c r="O89" s="103">
        <f>VLOOKUP($A89,'OI(Value)'!$A$7:$O$306,12,0)</f>
        <v>11</v>
      </c>
      <c r="P89" s="179">
        <f>VLOOKUP(A89,'OI(Value)'!A89:O290,8,0)</f>
        <v>877</v>
      </c>
      <c r="Q89" s="179">
        <f>VLOOKUP(A89,'OI(Value)'!A89:O290,9,0)</f>
        <v>15</v>
      </c>
      <c r="R89" s="179">
        <f>VLOOKUP(A89,'OI(Value)'!A89:O290,11,0)</f>
        <v>389</v>
      </c>
      <c r="S89" s="179">
        <f>VLOOKUP(A89,'OI(Value)'!A89:O290,11,0)</f>
        <v>389</v>
      </c>
    </row>
    <row r="90" spans="1:19" x14ac:dyDescent="0.25">
      <c r="A90" s="105" t="str">
        <f>'Data shares'!C85</f>
        <v>ICICIBANK</v>
      </c>
      <c r="B90" s="143">
        <f>VLOOKUP($A90,'Data shares'!$C:$FA,118)</f>
        <v>0.61</v>
      </c>
      <c r="C90" s="143">
        <f>VLOOKUP($A90,'Data shares'!$C:$FA,119)</f>
        <v>0.6</v>
      </c>
      <c r="D90" s="143">
        <f>VLOOKUP($A90,'Data shares'!$C:$FA,121)*100</f>
        <v>1.67</v>
      </c>
      <c r="E90" s="143">
        <f>VLOOKUP($A90,'Data shares'!$C:$FA,124)</f>
        <v>0.62</v>
      </c>
      <c r="F90" s="143">
        <f>VLOOKUP($A90,'Data shares'!$C:$FA,125)</f>
        <v>0.76</v>
      </c>
      <c r="G90" s="143">
        <f>VLOOKUP($A90,'Data shares'!$C:$FA,127)*100</f>
        <v>-18.420000000000002</v>
      </c>
      <c r="H90" s="103">
        <f>VLOOKUP($A90,'OI(Volume)'!$A$7:$O$427,8)</f>
        <v>40168800</v>
      </c>
      <c r="I90" s="103">
        <f>VLOOKUP($A90,'OI(Volume)'!$A$7:$O$427,9)</f>
        <v>-1621900</v>
      </c>
      <c r="J90" s="103">
        <f>VLOOKUP($A90,'OI(Volume)'!$A$7:$O$427,11)</f>
        <v>24539900</v>
      </c>
      <c r="K90" s="103">
        <f>VLOOKUP($A90,'OI(Volume)'!$A$7:$O$427,12)</f>
        <v>-403200</v>
      </c>
      <c r="L90" s="103">
        <f>VLOOKUP($A90,'OI(Value)'!$A$7:$O$306,8,0)</f>
        <v>5461</v>
      </c>
      <c r="M90" s="103">
        <f>VLOOKUP($A90,'OI(Value)'!$A$7:$O$306,9,0)</f>
        <v>-220</v>
      </c>
      <c r="N90" s="103">
        <f>VLOOKUP($A90,'OI(Value)'!$A$7:$O$306,11,0)</f>
        <v>3336</v>
      </c>
      <c r="O90" s="103">
        <f>VLOOKUP($A90,'OI(Value)'!$A$7:$O$306,12,0)</f>
        <v>-55</v>
      </c>
      <c r="P90" s="179">
        <f>VLOOKUP(A90,'OI(Value)'!A90:O291,8,0)</f>
        <v>5461</v>
      </c>
      <c r="Q90" s="179">
        <f>VLOOKUP(A90,'OI(Value)'!A90:O291,9,0)</f>
        <v>-220</v>
      </c>
      <c r="R90" s="179">
        <f>VLOOKUP(A90,'OI(Value)'!A90:O291,11,0)</f>
        <v>3336</v>
      </c>
      <c r="S90" s="179">
        <f>VLOOKUP(A90,'OI(Value)'!A90:O291,11,0)</f>
        <v>3336</v>
      </c>
    </row>
    <row r="91" spans="1:19" x14ac:dyDescent="0.25">
      <c r="A91" s="105" t="str">
        <f>'Data shares'!C86</f>
        <v>ICICIGI</v>
      </c>
      <c r="B91" s="143">
        <f>VLOOKUP($A91,'Data shares'!$C:$FA,118)</f>
        <v>0.54</v>
      </c>
      <c r="C91" s="143">
        <f>VLOOKUP($A91,'Data shares'!$C:$FA,119)</f>
        <v>0.52</v>
      </c>
      <c r="D91" s="143">
        <f>VLOOKUP($A91,'Data shares'!$C:$FA,121)*100</f>
        <v>3.85</v>
      </c>
      <c r="E91" s="143">
        <f>VLOOKUP($A91,'Data shares'!$C:$FA,124)</f>
        <v>0.7</v>
      </c>
      <c r="F91" s="143">
        <f>VLOOKUP($A91,'Data shares'!$C:$FA,125)</f>
        <v>0.32</v>
      </c>
      <c r="G91" s="143">
        <f>VLOOKUP($A91,'Data shares'!$C:$FA,127)*100</f>
        <v>118.75</v>
      </c>
      <c r="H91" s="103">
        <f>VLOOKUP($A91,'OI(Volume)'!$A$7:$O$427,8)</f>
        <v>1981525</v>
      </c>
      <c r="I91" s="103">
        <f>VLOOKUP($A91,'OI(Volume)'!$A$7:$O$427,9)</f>
        <v>-12025</v>
      </c>
      <c r="J91" s="103">
        <f>VLOOKUP($A91,'OI(Volume)'!$A$7:$O$427,11)</f>
        <v>1071850</v>
      </c>
      <c r="K91" s="103">
        <f>VLOOKUP($A91,'OI(Volume)'!$A$7:$O$427,12)</f>
        <v>30550</v>
      </c>
      <c r="L91" s="103">
        <f>VLOOKUP($A91,'OI(Value)'!$A$7:$O$306,8,0)</f>
        <v>387</v>
      </c>
      <c r="M91" s="103">
        <f>VLOOKUP($A91,'OI(Value)'!$A$7:$O$306,9,0)</f>
        <v>-2</v>
      </c>
      <c r="N91" s="103">
        <f>VLOOKUP($A91,'OI(Value)'!$A$7:$O$306,11,0)</f>
        <v>210</v>
      </c>
      <c r="O91" s="103">
        <f>VLOOKUP($A91,'OI(Value)'!$A$7:$O$306,12,0)</f>
        <v>6</v>
      </c>
      <c r="P91" s="179">
        <f>VLOOKUP(A91,'OI(Value)'!A91:O292,8,0)</f>
        <v>387</v>
      </c>
      <c r="Q91" s="179">
        <f>VLOOKUP(A91,'OI(Value)'!A91:O292,9,0)</f>
        <v>-2</v>
      </c>
      <c r="R91" s="179">
        <f>VLOOKUP(A91,'OI(Value)'!A91:O292,11,0)</f>
        <v>210</v>
      </c>
      <c r="S91" s="179">
        <f>VLOOKUP(A91,'OI(Value)'!A91:O292,11,0)</f>
        <v>210</v>
      </c>
    </row>
    <row r="92" spans="1:19" x14ac:dyDescent="0.25">
      <c r="A92" s="105" t="str">
        <f>'Data shares'!C87</f>
        <v>ICICIPRULI</v>
      </c>
      <c r="B92" s="143">
        <f>VLOOKUP($A92,'Data shares'!$C:$FA,118)</f>
        <v>0.49</v>
      </c>
      <c r="C92" s="143">
        <f>VLOOKUP($A92,'Data shares'!$C:$FA,119)</f>
        <v>0.46</v>
      </c>
      <c r="D92" s="143">
        <f>VLOOKUP($A92,'Data shares'!$C:$FA,121)*100</f>
        <v>6.52</v>
      </c>
      <c r="E92" s="143">
        <f>VLOOKUP($A92,'Data shares'!$C:$FA,124)</f>
        <v>0.38</v>
      </c>
      <c r="F92" s="143">
        <f>VLOOKUP($A92,'Data shares'!$C:$FA,125)</f>
        <v>0.39</v>
      </c>
      <c r="G92" s="143">
        <f>VLOOKUP($A92,'Data shares'!$C:$FA,127)*100</f>
        <v>-2.56</v>
      </c>
      <c r="H92" s="103">
        <f>VLOOKUP($A92,'OI(Volume)'!$A$7:$O$427,8)</f>
        <v>4714725</v>
      </c>
      <c r="I92" s="103">
        <f>VLOOKUP($A92,'OI(Volume)'!$A$7:$O$427,9)</f>
        <v>25900</v>
      </c>
      <c r="J92" s="103">
        <f>VLOOKUP($A92,'OI(Volume)'!$A$7:$O$427,11)</f>
        <v>2326375</v>
      </c>
      <c r="K92" s="103">
        <f>VLOOKUP($A92,'OI(Volume)'!$A$7:$O$427,12)</f>
        <v>188700</v>
      </c>
      <c r="L92" s="103">
        <f>VLOOKUP($A92,'OI(Value)'!$A$7:$O$306,8,0)</f>
        <v>305</v>
      </c>
      <c r="M92" s="103">
        <f>VLOOKUP($A92,'OI(Value)'!$A$7:$O$306,9,0)</f>
        <v>2</v>
      </c>
      <c r="N92" s="103">
        <f>VLOOKUP($A92,'OI(Value)'!$A$7:$O$306,11,0)</f>
        <v>151</v>
      </c>
      <c r="O92" s="103">
        <f>VLOOKUP($A92,'OI(Value)'!$A$7:$O$306,12,0)</f>
        <v>12</v>
      </c>
      <c r="P92" s="179">
        <f>VLOOKUP(A92,'OI(Value)'!A92:O293,8,0)</f>
        <v>305</v>
      </c>
      <c r="Q92" s="179">
        <f>VLOOKUP(A92,'OI(Value)'!A92:O293,9,0)</f>
        <v>2</v>
      </c>
      <c r="R92" s="179">
        <f>VLOOKUP(A92,'OI(Value)'!A92:O293,11,0)</f>
        <v>151</v>
      </c>
      <c r="S92" s="179">
        <f>VLOOKUP(A92,'OI(Value)'!A92:O293,11,0)</f>
        <v>151</v>
      </c>
    </row>
    <row r="93" spans="1:19" x14ac:dyDescent="0.25">
      <c r="A93" s="105" t="str">
        <f>'Data shares'!C88</f>
        <v>IDEA</v>
      </c>
      <c r="B93" s="143">
        <f>VLOOKUP($A93,'Data shares'!$C:$FA,118)</f>
        <v>0.53</v>
      </c>
      <c r="C93" s="143">
        <f>VLOOKUP($A93,'Data shares'!$C:$FA,119)</f>
        <v>0.56999999999999995</v>
      </c>
      <c r="D93" s="143">
        <f>VLOOKUP($A93,'Data shares'!$C:$FA,121)*100</f>
        <v>-7.02</v>
      </c>
      <c r="E93" s="143">
        <f>VLOOKUP($A93,'Data shares'!$C:$FA,124)</f>
        <v>0.28000000000000003</v>
      </c>
      <c r="F93" s="143">
        <f>VLOOKUP($A93,'Data shares'!$C:$FA,125)</f>
        <v>0.26</v>
      </c>
      <c r="G93" s="143">
        <f>VLOOKUP($A93,'Data shares'!$C:$FA,127)*100</f>
        <v>7.6899999999999995</v>
      </c>
      <c r="H93" s="103">
        <f>VLOOKUP($A93,'OI(Volume)'!$A$7:$O$427,8)</f>
        <v>2411423550</v>
      </c>
      <c r="I93" s="103">
        <f>VLOOKUP($A93,'OI(Volume)'!$A$7:$O$427,9)</f>
        <v>68616000</v>
      </c>
      <c r="J93" s="103">
        <f>VLOOKUP($A93,'OI(Volume)'!$A$7:$O$427,11)</f>
        <v>1283548050</v>
      </c>
      <c r="K93" s="103">
        <f>VLOOKUP($A93,'OI(Volume)'!$A$7:$O$427,12)</f>
        <v>-63183900</v>
      </c>
      <c r="L93" s="103">
        <f>VLOOKUP($A93,'OI(Value)'!$A$7:$O$306,8,0)</f>
        <v>2737</v>
      </c>
      <c r="M93" s="103">
        <f>VLOOKUP($A93,'OI(Value)'!$A$7:$O$306,9,0)</f>
        <v>78</v>
      </c>
      <c r="N93" s="103">
        <f>VLOOKUP($A93,'OI(Value)'!$A$7:$O$306,11,0)</f>
        <v>1457</v>
      </c>
      <c r="O93" s="103">
        <f>VLOOKUP($A93,'OI(Value)'!$A$7:$O$306,12,0)</f>
        <v>-72</v>
      </c>
      <c r="P93" s="179">
        <f>VLOOKUP(A93,'OI(Value)'!A93:O294,8,0)</f>
        <v>2737</v>
      </c>
      <c r="Q93" s="179">
        <f>VLOOKUP(A93,'OI(Value)'!A93:O294,9,0)</f>
        <v>78</v>
      </c>
      <c r="R93" s="179">
        <f>VLOOKUP(A93,'OI(Value)'!A93:O294,11,0)</f>
        <v>1457</v>
      </c>
      <c r="S93" s="179">
        <f>VLOOKUP(A93,'OI(Value)'!A93:O294,11,0)</f>
        <v>1457</v>
      </c>
    </row>
    <row r="94" spans="1:19" x14ac:dyDescent="0.25">
      <c r="A94" s="105" t="str">
        <f>'Data shares'!C89</f>
        <v>IDFCFIRSTB</v>
      </c>
      <c r="B94" s="143">
        <f>VLOOKUP($A94,'Data shares'!$C:$FA,118)</f>
        <v>0.74</v>
      </c>
      <c r="C94" s="143">
        <f>VLOOKUP($A94,'Data shares'!$C:$FA,119)</f>
        <v>0.72</v>
      </c>
      <c r="D94" s="143">
        <f>VLOOKUP($A94,'Data shares'!$C:$FA,121)*100</f>
        <v>2.78</v>
      </c>
      <c r="E94" s="143">
        <f>VLOOKUP($A94,'Data shares'!$C:$FA,124)</f>
        <v>0.52</v>
      </c>
      <c r="F94" s="143">
        <f>VLOOKUP($A94,'Data shares'!$C:$FA,125)</f>
        <v>0.49</v>
      </c>
      <c r="G94" s="143">
        <f>VLOOKUP($A94,'Data shares'!$C:$FA,127)*100</f>
        <v>6.12</v>
      </c>
      <c r="H94" s="103">
        <f>VLOOKUP($A94,'OI(Volume)'!$A$7:$O$427,8)</f>
        <v>131018650</v>
      </c>
      <c r="I94" s="103">
        <f>VLOOKUP($A94,'OI(Volume)'!$A$7:$O$427,9)</f>
        <v>-1595300</v>
      </c>
      <c r="J94" s="103">
        <f>VLOOKUP($A94,'OI(Volume)'!$A$7:$O$427,11)</f>
        <v>97452425</v>
      </c>
      <c r="K94" s="103">
        <f>VLOOKUP($A94,'OI(Volume)'!$A$7:$O$427,12)</f>
        <v>1743700</v>
      </c>
      <c r="L94" s="103">
        <f>VLOOKUP($A94,'OI(Value)'!$A$7:$O$306,8,0)</f>
        <v>1099</v>
      </c>
      <c r="M94" s="103">
        <f>VLOOKUP($A94,'OI(Value)'!$A$7:$O$306,9,0)</f>
        <v>-13</v>
      </c>
      <c r="N94" s="103">
        <f>VLOOKUP($A94,'OI(Value)'!$A$7:$O$306,11,0)</f>
        <v>817</v>
      </c>
      <c r="O94" s="103">
        <f>VLOOKUP($A94,'OI(Value)'!$A$7:$O$306,12,0)</f>
        <v>15</v>
      </c>
      <c r="P94" s="179">
        <f>VLOOKUP(A94,'OI(Value)'!A94:O295,8,0)</f>
        <v>1099</v>
      </c>
      <c r="Q94" s="179">
        <f>VLOOKUP(A94,'OI(Value)'!A94:O295,9,0)</f>
        <v>-13</v>
      </c>
      <c r="R94" s="179">
        <f>VLOOKUP(A94,'OI(Value)'!A94:O295,11,0)</f>
        <v>817</v>
      </c>
      <c r="S94" s="179">
        <f>VLOOKUP(A94,'OI(Value)'!A94:O295,11,0)</f>
        <v>817</v>
      </c>
    </row>
    <row r="95" spans="1:19" x14ac:dyDescent="0.25">
      <c r="A95" s="105" t="str">
        <f>'Data shares'!C90</f>
        <v>IEX</v>
      </c>
      <c r="B95" s="143">
        <f>VLOOKUP($A95,'Data shares'!$C:$FA,118)</f>
        <v>0.73</v>
      </c>
      <c r="C95" s="143">
        <f>VLOOKUP($A95,'Data shares'!$C:$FA,119)</f>
        <v>0.73</v>
      </c>
      <c r="D95" s="143">
        <f>VLOOKUP($A95,'Data shares'!$C:$FA,121)*100</f>
        <v>0</v>
      </c>
      <c r="E95" s="143">
        <f>VLOOKUP($A95,'Data shares'!$C:$FA,124)</f>
        <v>0.43</v>
      </c>
      <c r="F95" s="143">
        <f>VLOOKUP($A95,'Data shares'!$C:$FA,125)</f>
        <v>0.31</v>
      </c>
      <c r="G95" s="143">
        <f>VLOOKUP($A95,'Data shares'!$C:$FA,127)*100</f>
        <v>38.71</v>
      </c>
      <c r="H95" s="103">
        <f>VLOOKUP($A95,'OI(Volume)'!$A$7:$O$427,8)</f>
        <v>46323750</v>
      </c>
      <c r="I95" s="103">
        <f>VLOOKUP($A95,'OI(Volume)'!$A$7:$O$427,9)</f>
        <v>-423750</v>
      </c>
      <c r="J95" s="103">
        <f>VLOOKUP($A95,'OI(Volume)'!$A$7:$O$427,11)</f>
        <v>33832500</v>
      </c>
      <c r="K95" s="103">
        <f>VLOOKUP($A95,'OI(Volume)'!$A$7:$O$427,12)</f>
        <v>-86250</v>
      </c>
      <c r="L95" s="103">
        <f>VLOOKUP($A95,'OI(Value)'!$A$7:$O$306,8,0)</f>
        <v>649</v>
      </c>
      <c r="M95" s="103">
        <f>VLOOKUP($A95,'OI(Value)'!$A$7:$O$306,9,0)</f>
        <v>-6</v>
      </c>
      <c r="N95" s="103">
        <f>VLOOKUP($A95,'OI(Value)'!$A$7:$O$306,11,0)</f>
        <v>474</v>
      </c>
      <c r="O95" s="103">
        <f>VLOOKUP($A95,'OI(Value)'!$A$7:$O$306,12,0)</f>
        <v>-1</v>
      </c>
      <c r="P95" s="179">
        <f>VLOOKUP(A95,'OI(Value)'!A95:O296,8,0)</f>
        <v>649</v>
      </c>
      <c r="Q95" s="179">
        <f>VLOOKUP(A95,'OI(Value)'!A95:O296,9,0)</f>
        <v>-6</v>
      </c>
      <c r="R95" s="179">
        <f>VLOOKUP(A95,'OI(Value)'!A95:O296,11,0)</f>
        <v>474</v>
      </c>
      <c r="S95" s="179">
        <f>VLOOKUP(A95,'OI(Value)'!A95:O296,11,0)</f>
        <v>474</v>
      </c>
    </row>
    <row r="96" spans="1:19" x14ac:dyDescent="0.25">
      <c r="A96" s="105" t="str">
        <f>'Data shares'!C91</f>
        <v>IIFL</v>
      </c>
      <c r="B96" s="143">
        <f>VLOOKUP($A96,'Data shares'!$C:$FA,118)</f>
        <v>0.61</v>
      </c>
      <c r="C96" s="143">
        <f>VLOOKUP($A96,'Data shares'!$C:$FA,119)</f>
        <v>0.6</v>
      </c>
      <c r="D96" s="143">
        <f>VLOOKUP($A96,'Data shares'!$C:$FA,121)*100</f>
        <v>1.67</v>
      </c>
      <c r="E96" s="143">
        <f>VLOOKUP($A96,'Data shares'!$C:$FA,124)</f>
        <v>0.33</v>
      </c>
      <c r="F96" s="143">
        <f>VLOOKUP($A96,'Data shares'!$C:$FA,125)</f>
        <v>0.22</v>
      </c>
      <c r="G96" s="143">
        <f>VLOOKUP($A96,'Data shares'!$C:$FA,127)*100</f>
        <v>50</v>
      </c>
      <c r="H96" s="103">
        <f>VLOOKUP($A96,'OI(Volume)'!$A$7:$O$427,8)</f>
        <v>7410150</v>
      </c>
      <c r="I96" s="103">
        <f>VLOOKUP($A96,'OI(Volume)'!$A$7:$O$427,9)</f>
        <v>-189750</v>
      </c>
      <c r="J96" s="103">
        <f>VLOOKUP($A96,'OI(Volume)'!$A$7:$O$427,11)</f>
        <v>4514400</v>
      </c>
      <c r="K96" s="103">
        <f>VLOOKUP($A96,'OI(Volume)'!$A$7:$O$427,12)</f>
        <v>-67650</v>
      </c>
      <c r="L96" s="103">
        <f>VLOOKUP($A96,'OI(Value)'!$A$7:$O$306,8,0)</f>
        <v>416</v>
      </c>
      <c r="M96" s="103">
        <f>VLOOKUP($A96,'OI(Value)'!$A$7:$O$306,9,0)</f>
        <v>-11</v>
      </c>
      <c r="N96" s="103">
        <f>VLOOKUP($A96,'OI(Value)'!$A$7:$O$306,11,0)</f>
        <v>254</v>
      </c>
      <c r="O96" s="103">
        <f>VLOOKUP($A96,'OI(Value)'!$A$7:$O$306,12,0)</f>
        <v>-4</v>
      </c>
      <c r="P96" s="179">
        <f>VLOOKUP(A96,'OI(Value)'!A96:O297,8,0)</f>
        <v>416</v>
      </c>
      <c r="Q96" s="179">
        <f>VLOOKUP(A96,'OI(Value)'!A96:O297,9,0)</f>
        <v>-11</v>
      </c>
      <c r="R96" s="179">
        <f>VLOOKUP(A96,'OI(Value)'!A96:O297,11,0)</f>
        <v>254</v>
      </c>
      <c r="S96" s="179">
        <f>VLOOKUP(A96,'OI(Value)'!A96:O297,11,0)</f>
        <v>254</v>
      </c>
    </row>
    <row r="97" spans="1:19" x14ac:dyDescent="0.25">
      <c r="A97" s="105" t="str">
        <f>'Data shares'!C92</f>
        <v>INDHOTEL</v>
      </c>
      <c r="B97" s="143">
        <f>VLOOKUP($A97,'Data shares'!$C:$FA,118)</f>
        <v>0.65</v>
      </c>
      <c r="C97" s="143">
        <f>VLOOKUP($A97,'Data shares'!$C:$FA,119)</f>
        <v>0.6</v>
      </c>
      <c r="D97" s="143">
        <f>VLOOKUP($A97,'Data shares'!$C:$FA,121)*100</f>
        <v>8.33</v>
      </c>
      <c r="E97" s="143">
        <f>VLOOKUP($A97,'Data shares'!$C:$FA,124)</f>
        <v>0.48</v>
      </c>
      <c r="F97" s="143">
        <f>VLOOKUP($A97,'Data shares'!$C:$FA,125)</f>
        <v>0.41</v>
      </c>
      <c r="G97" s="143">
        <f>VLOOKUP($A97,'Data shares'!$C:$FA,127)*100</f>
        <v>17.07</v>
      </c>
      <c r="H97" s="103">
        <f>VLOOKUP($A97,'OI(Volume)'!$A$7:$O$427,8)</f>
        <v>10660000</v>
      </c>
      <c r="I97" s="103">
        <f>VLOOKUP($A97,'OI(Volume)'!$A$7:$O$427,9)</f>
        <v>-338000</v>
      </c>
      <c r="J97" s="103">
        <f>VLOOKUP($A97,'OI(Volume)'!$A$7:$O$427,11)</f>
        <v>6902000</v>
      </c>
      <c r="K97" s="103">
        <f>VLOOKUP($A97,'OI(Volume)'!$A$7:$O$427,12)</f>
        <v>337000</v>
      </c>
      <c r="L97" s="103">
        <f>VLOOKUP($A97,'OI(Value)'!$A$7:$O$306,8,0)</f>
        <v>772</v>
      </c>
      <c r="M97" s="103">
        <f>VLOOKUP($A97,'OI(Value)'!$A$7:$O$306,9,0)</f>
        <v>-24</v>
      </c>
      <c r="N97" s="103">
        <f>VLOOKUP($A97,'OI(Value)'!$A$7:$O$306,11,0)</f>
        <v>500</v>
      </c>
      <c r="O97" s="103">
        <f>VLOOKUP($A97,'OI(Value)'!$A$7:$O$306,12,0)</f>
        <v>24</v>
      </c>
      <c r="P97" s="179">
        <f>VLOOKUP(A97,'OI(Value)'!A97:O298,8,0)</f>
        <v>772</v>
      </c>
      <c r="Q97" s="179">
        <f>VLOOKUP(A97,'OI(Value)'!A97:O298,9,0)</f>
        <v>-24</v>
      </c>
      <c r="R97" s="179">
        <f>VLOOKUP(A97,'OI(Value)'!A97:O298,11,0)</f>
        <v>500</v>
      </c>
      <c r="S97" s="179">
        <f>VLOOKUP(A97,'OI(Value)'!A97:O298,11,0)</f>
        <v>500</v>
      </c>
    </row>
    <row r="98" spans="1:19" x14ac:dyDescent="0.25">
      <c r="A98" s="105" t="str">
        <f>'Data shares'!C93</f>
        <v>INDIANB</v>
      </c>
      <c r="B98" s="143">
        <f>VLOOKUP($A98,'Data shares'!$C:$FA,118)</f>
        <v>0.41</v>
      </c>
      <c r="C98" s="143">
        <f>VLOOKUP($A98,'Data shares'!$C:$FA,119)</f>
        <v>0.41</v>
      </c>
      <c r="D98" s="143">
        <f>VLOOKUP($A98,'Data shares'!$C:$FA,121)*100</f>
        <v>0</v>
      </c>
      <c r="E98" s="143">
        <f>VLOOKUP($A98,'Data shares'!$C:$FA,124)</f>
        <v>0.26</v>
      </c>
      <c r="F98" s="143">
        <f>VLOOKUP($A98,'Data shares'!$C:$FA,125)</f>
        <v>0.36</v>
      </c>
      <c r="G98" s="143">
        <f>VLOOKUP($A98,'Data shares'!$C:$FA,127)*100</f>
        <v>-27.779999999999998</v>
      </c>
      <c r="H98" s="103">
        <f>VLOOKUP($A98,'OI(Volume)'!$A$7:$O$427,8)</f>
        <v>12290000</v>
      </c>
      <c r="I98" s="103">
        <f>VLOOKUP($A98,'OI(Volume)'!$A$7:$O$427,9)</f>
        <v>-252000</v>
      </c>
      <c r="J98" s="103">
        <f>VLOOKUP($A98,'OI(Volume)'!$A$7:$O$427,11)</f>
        <v>5071000</v>
      </c>
      <c r="K98" s="103">
        <f>VLOOKUP($A98,'OI(Volume)'!$A$7:$O$427,12)</f>
        <v>-10000</v>
      </c>
      <c r="L98" s="103">
        <f>VLOOKUP($A98,'OI(Value)'!$A$7:$O$306,8,0)</f>
        <v>957</v>
      </c>
      <c r="M98" s="103">
        <f>VLOOKUP($A98,'OI(Value)'!$A$7:$O$306,9,0)</f>
        <v>-20</v>
      </c>
      <c r="N98" s="103">
        <f>VLOOKUP($A98,'OI(Value)'!$A$7:$O$306,11,0)</f>
        <v>395</v>
      </c>
      <c r="O98" s="103">
        <f>VLOOKUP($A98,'OI(Value)'!$A$7:$O$306,12,0)</f>
        <v>-1</v>
      </c>
      <c r="P98" s="179">
        <f>VLOOKUP(A98,'OI(Value)'!A98:O299,8,0)</f>
        <v>957</v>
      </c>
      <c r="Q98" s="179">
        <f>VLOOKUP(A98,'OI(Value)'!A98:O299,9,0)</f>
        <v>-20</v>
      </c>
      <c r="R98" s="179">
        <f>VLOOKUP(A98,'OI(Value)'!A98:O299,11,0)</f>
        <v>395</v>
      </c>
      <c r="S98" s="179">
        <f>VLOOKUP(A98,'OI(Value)'!A98:O299,11,0)</f>
        <v>395</v>
      </c>
    </row>
    <row r="99" spans="1:19" x14ac:dyDescent="0.25">
      <c r="A99" s="105" t="str">
        <f>'Data shares'!C94</f>
        <v>INDIAVIX</v>
      </c>
      <c r="B99" s="143">
        <f>VLOOKUP($A99,'Data shares'!$C:$FA,118)</f>
        <v>0</v>
      </c>
      <c r="C99" s="143">
        <f>VLOOKUP($A99,'Data shares'!$C:$FA,119)</f>
        <v>0</v>
      </c>
      <c r="D99" s="143">
        <f>VLOOKUP($A99,'Data shares'!$C:$FA,121)*100</f>
        <v>0</v>
      </c>
      <c r="E99" s="143">
        <f>VLOOKUP($A99,'Data shares'!$C:$FA,124)</f>
        <v>0</v>
      </c>
      <c r="F99" s="143">
        <f>VLOOKUP($A99,'Data shares'!$C:$FA,125)</f>
        <v>0</v>
      </c>
      <c r="G99" s="143">
        <f>VLOOKUP($A99,'Data shares'!$C:$FA,127)*100</f>
        <v>0</v>
      </c>
      <c r="H99" s="103">
        <f>VLOOKUP($A99,'OI(Volume)'!$A$7:$O$427,8)</f>
        <v>0</v>
      </c>
      <c r="I99" s="103">
        <f>VLOOKUP($A99,'OI(Volume)'!$A$7:$O$427,9)</f>
        <v>0</v>
      </c>
      <c r="J99" s="103">
        <f>VLOOKUP($A99,'OI(Volume)'!$A$7:$O$427,11)</f>
        <v>0</v>
      </c>
      <c r="K99" s="103">
        <f>VLOOKUP($A99,'OI(Volume)'!$A$7:$O$427,12)</f>
        <v>0</v>
      </c>
      <c r="L99" s="103">
        <f>VLOOKUP($A99,'OI(Value)'!$A$7:$O$306,8,0)</f>
        <v>0</v>
      </c>
      <c r="M99" s="103">
        <f>VLOOKUP($A99,'OI(Value)'!$A$7:$O$306,9,0)</f>
        <v>0</v>
      </c>
      <c r="N99" s="103">
        <f>VLOOKUP($A99,'OI(Value)'!$A$7:$O$306,11,0)</f>
        <v>0</v>
      </c>
      <c r="O99" s="103">
        <f>VLOOKUP($A99,'OI(Value)'!$A$7:$O$306,12,0)</f>
        <v>0</v>
      </c>
      <c r="P99" s="179">
        <f>VLOOKUP(A99,'OI(Value)'!A99:O300,8,0)</f>
        <v>0</v>
      </c>
      <c r="Q99" s="179">
        <f>VLOOKUP(A99,'OI(Value)'!A99:O300,9,0)</f>
        <v>0</v>
      </c>
      <c r="R99" s="179">
        <f>VLOOKUP(A99,'OI(Value)'!A99:O300,11,0)</f>
        <v>0</v>
      </c>
      <c r="S99" s="179">
        <f>VLOOKUP(A99,'OI(Value)'!A99:O300,11,0)</f>
        <v>0</v>
      </c>
    </row>
    <row r="100" spans="1:19" x14ac:dyDescent="0.25">
      <c r="A100" s="105" t="str">
        <f>'Data shares'!C95</f>
        <v>INDIGO</v>
      </c>
      <c r="B100" s="143">
        <f>VLOOKUP($A100,'Data shares'!$C:$FA,118)</f>
        <v>0.56000000000000005</v>
      </c>
      <c r="C100" s="143">
        <f>VLOOKUP($A100,'Data shares'!$C:$FA,119)</f>
        <v>0.48</v>
      </c>
      <c r="D100" s="143">
        <f>VLOOKUP($A100,'Data shares'!$C:$FA,121)*100</f>
        <v>16.669999999999998</v>
      </c>
      <c r="E100" s="143">
        <f>VLOOKUP($A100,'Data shares'!$C:$FA,124)</f>
        <v>0.48</v>
      </c>
      <c r="F100" s="143">
        <f>VLOOKUP($A100,'Data shares'!$C:$FA,125)</f>
        <v>0.51</v>
      </c>
      <c r="G100" s="143">
        <f>VLOOKUP($A100,'Data shares'!$C:$FA,127)*100</f>
        <v>-5.88</v>
      </c>
      <c r="H100" s="103">
        <f>VLOOKUP($A100,'OI(Volume)'!$A$7:$O$427,8)</f>
        <v>15821400</v>
      </c>
      <c r="I100" s="103">
        <f>VLOOKUP($A100,'OI(Volume)'!$A$7:$O$427,9)</f>
        <v>-1300950</v>
      </c>
      <c r="J100" s="103">
        <f>VLOOKUP($A100,'OI(Volume)'!$A$7:$O$427,11)</f>
        <v>8888850</v>
      </c>
      <c r="K100" s="103">
        <f>VLOOKUP($A100,'OI(Volume)'!$A$7:$O$427,12)</f>
        <v>645300</v>
      </c>
      <c r="L100" s="103">
        <f>VLOOKUP($A100,'OI(Value)'!$A$7:$O$306,8,0)</f>
        <v>8117</v>
      </c>
      <c r="M100" s="103">
        <f>VLOOKUP($A100,'OI(Value)'!$A$7:$O$306,9,0)</f>
        <v>-667</v>
      </c>
      <c r="N100" s="103">
        <f>VLOOKUP($A100,'OI(Value)'!$A$7:$O$306,11,0)</f>
        <v>4560</v>
      </c>
      <c r="O100" s="103">
        <f>VLOOKUP($A100,'OI(Value)'!$A$7:$O$306,12,0)</f>
        <v>331</v>
      </c>
      <c r="P100" s="179">
        <f>VLOOKUP(A100,'OI(Value)'!A100:O301,8,0)</f>
        <v>8117</v>
      </c>
      <c r="Q100" s="179">
        <f>VLOOKUP(A100,'OI(Value)'!A100:O301,9,0)</f>
        <v>-667</v>
      </c>
      <c r="R100" s="179">
        <f>VLOOKUP(A100,'OI(Value)'!A100:O301,11,0)</f>
        <v>4560</v>
      </c>
      <c r="S100" s="179">
        <f>VLOOKUP(A100,'OI(Value)'!A100:O301,11,0)</f>
        <v>4560</v>
      </c>
    </row>
    <row r="101" spans="1:19" x14ac:dyDescent="0.25">
      <c r="A101" s="105" t="str">
        <f>'Data shares'!C96</f>
        <v>INDUSINDBK</v>
      </c>
      <c r="B101" s="143">
        <f>VLOOKUP($A101,'Data shares'!$C:$FA,118)</f>
        <v>0.71</v>
      </c>
      <c r="C101" s="143">
        <f>VLOOKUP($A101,'Data shares'!$C:$FA,119)</f>
        <v>0.7</v>
      </c>
      <c r="D101" s="143">
        <f>VLOOKUP($A101,'Data shares'!$C:$FA,121)*100</f>
        <v>1.43</v>
      </c>
      <c r="E101" s="143">
        <f>VLOOKUP($A101,'Data shares'!$C:$FA,124)</f>
        <v>0.7</v>
      </c>
      <c r="F101" s="143">
        <f>VLOOKUP($A101,'Data shares'!$C:$FA,125)</f>
        <v>0.88</v>
      </c>
      <c r="G101" s="143">
        <f>VLOOKUP($A101,'Data shares'!$C:$FA,127)*100</f>
        <v>-20.45</v>
      </c>
      <c r="H101" s="103">
        <f>VLOOKUP($A101,'OI(Volume)'!$A$7:$O$427,8)</f>
        <v>13762700</v>
      </c>
      <c r="I101" s="103">
        <f>VLOOKUP($A101,'OI(Volume)'!$A$7:$O$427,9)</f>
        <v>-447300</v>
      </c>
      <c r="J101" s="103">
        <f>VLOOKUP($A101,'OI(Volume)'!$A$7:$O$427,11)</f>
        <v>9782500</v>
      </c>
      <c r="K101" s="103">
        <f>VLOOKUP($A101,'OI(Volume)'!$A$7:$O$427,12)</f>
        <v>-152600</v>
      </c>
      <c r="L101" s="103">
        <f>VLOOKUP($A101,'OI(Value)'!$A$7:$O$306,8,0)</f>
        <v>1150</v>
      </c>
      <c r="M101" s="103">
        <f>VLOOKUP($A101,'OI(Value)'!$A$7:$O$306,9,0)</f>
        <v>-37</v>
      </c>
      <c r="N101" s="103">
        <f>VLOOKUP($A101,'OI(Value)'!$A$7:$O$306,11,0)</f>
        <v>818</v>
      </c>
      <c r="O101" s="103">
        <f>VLOOKUP($A101,'OI(Value)'!$A$7:$O$306,12,0)</f>
        <v>-13</v>
      </c>
      <c r="P101" s="179">
        <f>VLOOKUP(A101,'OI(Value)'!A101:O302,8,0)</f>
        <v>1150</v>
      </c>
      <c r="Q101" s="179">
        <f>VLOOKUP(A101,'OI(Value)'!A101:O302,9,0)</f>
        <v>-37</v>
      </c>
      <c r="R101" s="179">
        <f>VLOOKUP(A101,'OI(Value)'!A101:O302,11,0)</f>
        <v>818</v>
      </c>
      <c r="S101" s="179">
        <f>VLOOKUP(A101,'OI(Value)'!A101:O302,11,0)</f>
        <v>818</v>
      </c>
    </row>
    <row r="102" spans="1:19" x14ac:dyDescent="0.25">
      <c r="A102" s="105" t="str">
        <f>'Data shares'!C97</f>
        <v>INDUSTOWER</v>
      </c>
      <c r="B102" s="143">
        <f>VLOOKUP($A102,'Data shares'!$C:$FA,118)</f>
        <v>0.6</v>
      </c>
      <c r="C102" s="143">
        <f>VLOOKUP($A102,'Data shares'!$C:$FA,119)</f>
        <v>0.59</v>
      </c>
      <c r="D102" s="143">
        <f>VLOOKUP($A102,'Data shares'!$C:$FA,121)*100</f>
        <v>1.69</v>
      </c>
      <c r="E102" s="143">
        <f>VLOOKUP($A102,'Data shares'!$C:$FA,124)</f>
        <v>0.35</v>
      </c>
      <c r="F102" s="143">
        <f>VLOOKUP($A102,'Data shares'!$C:$FA,125)</f>
        <v>0.25</v>
      </c>
      <c r="G102" s="143">
        <f>VLOOKUP($A102,'Data shares'!$C:$FA,127)*100</f>
        <v>40</v>
      </c>
      <c r="H102" s="103">
        <f>VLOOKUP($A102,'OI(Volume)'!$A$7:$O$427,8)</f>
        <v>25683600</v>
      </c>
      <c r="I102" s="103">
        <f>VLOOKUP($A102,'OI(Volume)'!$A$7:$O$427,9)</f>
        <v>-1205300</v>
      </c>
      <c r="J102" s="103">
        <f>VLOOKUP($A102,'OI(Volume)'!$A$7:$O$427,11)</f>
        <v>15432600</v>
      </c>
      <c r="K102" s="103">
        <f>VLOOKUP($A102,'OI(Volume)'!$A$7:$O$427,12)</f>
        <v>-360400</v>
      </c>
      <c r="L102" s="103">
        <f>VLOOKUP($A102,'OI(Value)'!$A$7:$O$306,8,0)</f>
        <v>1052</v>
      </c>
      <c r="M102" s="103">
        <f>VLOOKUP($A102,'OI(Value)'!$A$7:$O$306,9,0)</f>
        <v>-49</v>
      </c>
      <c r="N102" s="103">
        <f>VLOOKUP($A102,'OI(Value)'!$A$7:$O$306,11,0)</f>
        <v>632</v>
      </c>
      <c r="O102" s="103">
        <f>VLOOKUP($A102,'OI(Value)'!$A$7:$O$306,12,0)</f>
        <v>-15</v>
      </c>
      <c r="P102" s="179">
        <f>VLOOKUP(A102,'OI(Value)'!A102:O303,8,0)</f>
        <v>1052</v>
      </c>
      <c r="Q102" s="179">
        <f>VLOOKUP(A102,'OI(Value)'!A102:O303,9,0)</f>
        <v>-49</v>
      </c>
      <c r="R102" s="179">
        <f>VLOOKUP(A102,'OI(Value)'!A102:O303,11,0)</f>
        <v>632</v>
      </c>
      <c r="S102" s="179">
        <f>VLOOKUP(A102,'OI(Value)'!A102:O303,11,0)</f>
        <v>632</v>
      </c>
    </row>
    <row r="103" spans="1:19" x14ac:dyDescent="0.25">
      <c r="A103" s="105" t="str">
        <f>'Data shares'!C98</f>
        <v>INFY</v>
      </c>
      <c r="B103" s="143">
        <f>VLOOKUP($A103,'Data shares'!$C:$FA,118)</f>
        <v>0.76</v>
      </c>
      <c r="C103" s="143">
        <f>VLOOKUP($A103,'Data shares'!$C:$FA,119)</f>
        <v>0.65</v>
      </c>
      <c r="D103" s="143">
        <f>VLOOKUP($A103,'Data shares'!$C:$FA,121)*100</f>
        <v>16.919999999999998</v>
      </c>
      <c r="E103" s="143">
        <f>VLOOKUP($A103,'Data shares'!$C:$FA,124)</f>
        <v>0.56999999999999995</v>
      </c>
      <c r="F103" s="143">
        <f>VLOOKUP($A103,'Data shares'!$C:$FA,125)</f>
        <v>0.54</v>
      </c>
      <c r="G103" s="143">
        <f>VLOOKUP($A103,'Data shares'!$C:$FA,127)*100</f>
        <v>5.56</v>
      </c>
      <c r="H103" s="103">
        <f>VLOOKUP($A103,'OI(Volume)'!$A$7:$O$427,8)</f>
        <v>28107600</v>
      </c>
      <c r="I103" s="103">
        <f>VLOOKUP($A103,'OI(Volume)'!$A$7:$O$427,9)</f>
        <v>283600</v>
      </c>
      <c r="J103" s="103">
        <f>VLOOKUP($A103,'OI(Volume)'!$A$7:$O$427,11)</f>
        <v>21345600</v>
      </c>
      <c r="K103" s="103">
        <f>VLOOKUP($A103,'OI(Volume)'!$A$7:$O$427,12)</f>
        <v>3354000</v>
      </c>
      <c r="L103" s="103">
        <f>VLOOKUP($A103,'OI(Value)'!$A$7:$O$306,8,0)</f>
        <v>4576</v>
      </c>
      <c r="M103" s="103">
        <f>VLOOKUP($A103,'OI(Value)'!$A$7:$O$306,9,0)</f>
        <v>46</v>
      </c>
      <c r="N103" s="103">
        <f>VLOOKUP($A103,'OI(Value)'!$A$7:$O$306,11,0)</f>
        <v>3475</v>
      </c>
      <c r="O103" s="103">
        <f>VLOOKUP($A103,'OI(Value)'!$A$7:$O$306,12,0)</f>
        <v>546</v>
      </c>
      <c r="P103" s="179">
        <f>VLOOKUP(A103,'OI(Value)'!A103:O304,8,0)</f>
        <v>4576</v>
      </c>
      <c r="Q103" s="179">
        <f>VLOOKUP(A103,'OI(Value)'!A103:O304,9,0)</f>
        <v>46</v>
      </c>
      <c r="R103" s="179">
        <f>VLOOKUP(A103,'OI(Value)'!A103:O304,11,0)</f>
        <v>3475</v>
      </c>
      <c r="S103" s="179">
        <f>VLOOKUP(A103,'OI(Value)'!A103:O304,11,0)</f>
        <v>3475</v>
      </c>
    </row>
    <row r="104" spans="1:19" x14ac:dyDescent="0.25">
      <c r="A104" s="105" t="str">
        <f>'Data shares'!C99</f>
        <v>INOXWIND</v>
      </c>
      <c r="B104" s="143">
        <f>VLOOKUP($A104,'Data shares'!$C:$FA,118)</f>
        <v>0.49</v>
      </c>
      <c r="C104" s="143">
        <f>VLOOKUP($A104,'Data shares'!$C:$FA,119)</f>
        <v>0.49</v>
      </c>
      <c r="D104" s="143">
        <f>VLOOKUP($A104,'Data shares'!$C:$FA,121)*100</f>
        <v>0</v>
      </c>
      <c r="E104" s="143">
        <f>VLOOKUP($A104,'Data shares'!$C:$FA,124)</f>
        <v>0.69</v>
      </c>
      <c r="F104" s="143">
        <f>VLOOKUP($A104,'Data shares'!$C:$FA,125)</f>
        <v>0.6</v>
      </c>
      <c r="G104" s="143">
        <f>VLOOKUP($A104,'Data shares'!$C:$FA,127)*100</f>
        <v>15</v>
      </c>
      <c r="H104" s="103">
        <f>VLOOKUP($A104,'OI(Volume)'!$A$7:$O$427,8)</f>
        <v>46398003</v>
      </c>
      <c r="I104" s="103">
        <f>VLOOKUP($A104,'OI(Volume)'!$A$7:$O$427,9)</f>
        <v>-116639</v>
      </c>
      <c r="J104" s="103">
        <f>VLOOKUP($A104,'OI(Volume)'!$A$7:$O$427,11)</f>
        <v>22664121</v>
      </c>
      <c r="K104" s="103">
        <f>VLOOKUP($A104,'OI(Volume)'!$A$7:$O$427,12)</f>
        <v>-50109</v>
      </c>
      <c r="L104" s="103">
        <f>VLOOKUP($A104,'OI(Value)'!$A$7:$O$306,8,0)</f>
        <v>579</v>
      </c>
      <c r="M104" s="103">
        <f>VLOOKUP($A104,'OI(Value)'!$A$7:$O$306,9,0)</f>
        <v>-1</v>
      </c>
      <c r="N104" s="103">
        <f>VLOOKUP($A104,'OI(Value)'!$A$7:$O$306,11,0)</f>
        <v>283</v>
      </c>
      <c r="O104" s="103">
        <f>VLOOKUP($A104,'OI(Value)'!$A$7:$O$306,12,0)</f>
        <v>-1</v>
      </c>
      <c r="P104" s="179">
        <f>VLOOKUP(A104,'OI(Value)'!A104:O305,8,0)</f>
        <v>579</v>
      </c>
      <c r="Q104" s="179">
        <f>VLOOKUP(A104,'OI(Value)'!A104:O305,9,0)</f>
        <v>-1</v>
      </c>
      <c r="R104" s="179">
        <f>VLOOKUP(A104,'OI(Value)'!A104:O305,11,0)</f>
        <v>283</v>
      </c>
      <c r="S104" s="179">
        <f>VLOOKUP(A104,'OI(Value)'!A104:O305,11,0)</f>
        <v>283</v>
      </c>
    </row>
    <row r="105" spans="1:19" x14ac:dyDescent="0.25">
      <c r="A105" s="105" t="str">
        <f>'Data shares'!C100</f>
        <v>IOC</v>
      </c>
      <c r="B105" s="143">
        <f>VLOOKUP($A105,'Data shares'!$C:$FA,118)</f>
        <v>0.67</v>
      </c>
      <c r="C105" s="143">
        <f>VLOOKUP($A105,'Data shares'!$C:$FA,119)</f>
        <v>0.66</v>
      </c>
      <c r="D105" s="143">
        <f>VLOOKUP($A105,'Data shares'!$C:$FA,121)*100</f>
        <v>1.52</v>
      </c>
      <c r="E105" s="143">
        <f>VLOOKUP($A105,'Data shares'!$C:$FA,124)</f>
        <v>0.56999999999999995</v>
      </c>
      <c r="F105" s="143">
        <f>VLOOKUP($A105,'Data shares'!$C:$FA,125)</f>
        <v>0.57999999999999996</v>
      </c>
      <c r="G105" s="143">
        <f>VLOOKUP($A105,'Data shares'!$C:$FA,127)*100</f>
        <v>-1.72</v>
      </c>
      <c r="H105" s="103">
        <f>VLOOKUP($A105,'OI(Volume)'!$A$7:$O$427,8)</f>
        <v>61907625</v>
      </c>
      <c r="I105" s="103">
        <f>VLOOKUP($A105,'OI(Volume)'!$A$7:$O$427,9)</f>
        <v>-1287000</v>
      </c>
      <c r="J105" s="103">
        <f>VLOOKUP($A105,'OI(Volume)'!$A$7:$O$427,11)</f>
        <v>41574000</v>
      </c>
      <c r="K105" s="103">
        <f>VLOOKUP($A105,'OI(Volume)'!$A$7:$O$427,12)</f>
        <v>-214500</v>
      </c>
      <c r="L105" s="103">
        <f>VLOOKUP($A105,'OI(Value)'!$A$7:$O$306,8,0)</f>
        <v>1004</v>
      </c>
      <c r="M105" s="103">
        <f>VLOOKUP($A105,'OI(Value)'!$A$7:$O$306,9,0)</f>
        <v>-21</v>
      </c>
      <c r="N105" s="103">
        <f>VLOOKUP($A105,'OI(Value)'!$A$7:$O$306,11,0)</f>
        <v>674</v>
      </c>
      <c r="O105" s="103">
        <f>VLOOKUP($A105,'OI(Value)'!$A$7:$O$306,12,0)</f>
        <v>-3</v>
      </c>
      <c r="P105" s="179">
        <f>VLOOKUP(A105,'OI(Value)'!A105:O306,8,0)</f>
        <v>1004</v>
      </c>
      <c r="Q105" s="179">
        <f>VLOOKUP(A105,'OI(Value)'!A105:O306,9,0)</f>
        <v>-21</v>
      </c>
      <c r="R105" s="179">
        <f>VLOOKUP(A105,'OI(Value)'!A105:O306,11,0)</f>
        <v>674</v>
      </c>
      <c r="S105" s="179">
        <f>VLOOKUP(A105,'OI(Value)'!A105:O306,11,0)</f>
        <v>674</v>
      </c>
    </row>
    <row r="106" spans="1:19" x14ac:dyDescent="0.25">
      <c r="A106" s="105" t="str">
        <f>'Data shares'!C101</f>
        <v>IRCTC</v>
      </c>
      <c r="B106" s="143">
        <f>VLOOKUP($A106,'Data shares'!$C:$FA,118)</f>
        <v>0.68</v>
      </c>
      <c r="C106" s="143">
        <f>VLOOKUP($A106,'Data shares'!$C:$FA,119)</f>
        <v>0.7</v>
      </c>
      <c r="D106" s="143">
        <f>VLOOKUP($A106,'Data shares'!$C:$FA,121)*100</f>
        <v>-2.86</v>
      </c>
      <c r="E106" s="143">
        <f>VLOOKUP($A106,'Data shares'!$C:$FA,124)</f>
        <v>0.35</v>
      </c>
      <c r="F106" s="143">
        <f>VLOOKUP($A106,'Data shares'!$C:$FA,125)</f>
        <v>0.63</v>
      </c>
      <c r="G106" s="143">
        <f>VLOOKUP($A106,'Data shares'!$C:$FA,127)*100</f>
        <v>-44.440000000000005</v>
      </c>
      <c r="H106" s="103">
        <f>VLOOKUP($A106,'OI(Volume)'!$A$7:$O$427,8)</f>
        <v>10144750</v>
      </c>
      <c r="I106" s="103">
        <f>VLOOKUP($A106,'OI(Volume)'!$A$7:$O$427,9)</f>
        <v>-234500</v>
      </c>
      <c r="J106" s="103">
        <f>VLOOKUP($A106,'OI(Volume)'!$A$7:$O$427,11)</f>
        <v>6848625</v>
      </c>
      <c r="K106" s="103">
        <f>VLOOKUP($A106,'OI(Volume)'!$A$7:$O$427,12)</f>
        <v>-456750</v>
      </c>
      <c r="L106" s="103">
        <f>VLOOKUP($A106,'OI(Value)'!$A$7:$O$306,8,0)</f>
        <v>675</v>
      </c>
      <c r="M106" s="103">
        <f>VLOOKUP($A106,'OI(Value)'!$A$7:$O$306,9,0)</f>
        <v>-16</v>
      </c>
      <c r="N106" s="103">
        <f>VLOOKUP($A106,'OI(Value)'!$A$7:$O$306,11,0)</f>
        <v>456</v>
      </c>
      <c r="O106" s="103">
        <f>VLOOKUP($A106,'OI(Value)'!$A$7:$O$306,12,0)</f>
        <v>-30</v>
      </c>
      <c r="P106" s="179">
        <f>VLOOKUP(A106,'OI(Value)'!A106:O307,8,0)</f>
        <v>675</v>
      </c>
      <c r="Q106" s="179">
        <f>VLOOKUP(A106,'OI(Value)'!A106:O307,9,0)</f>
        <v>-16</v>
      </c>
      <c r="R106" s="179">
        <f>VLOOKUP(A106,'OI(Value)'!A106:O307,11,0)</f>
        <v>456</v>
      </c>
      <c r="S106" s="179">
        <f>VLOOKUP(A106,'OI(Value)'!A106:O307,11,0)</f>
        <v>456</v>
      </c>
    </row>
    <row r="107" spans="1:19" x14ac:dyDescent="0.25">
      <c r="A107" s="105" t="str">
        <f>'Data shares'!C102</f>
        <v>IREDA</v>
      </c>
      <c r="B107" s="143">
        <f>VLOOKUP($A107,'Data shares'!$C:$FA,118)</f>
        <v>0.51</v>
      </c>
      <c r="C107" s="143">
        <f>VLOOKUP($A107,'Data shares'!$C:$FA,119)</f>
        <v>0.5</v>
      </c>
      <c r="D107" s="143">
        <f>VLOOKUP($A107,'Data shares'!$C:$FA,121)*100</f>
        <v>2</v>
      </c>
      <c r="E107" s="143">
        <f>VLOOKUP($A107,'Data shares'!$C:$FA,124)</f>
        <v>0.4</v>
      </c>
      <c r="F107" s="143">
        <f>VLOOKUP($A107,'Data shares'!$C:$FA,125)</f>
        <v>0.32</v>
      </c>
      <c r="G107" s="143">
        <f>VLOOKUP($A107,'Data shares'!$C:$FA,127)*100</f>
        <v>25</v>
      </c>
      <c r="H107" s="103">
        <f>VLOOKUP($A107,'OI(Volume)'!$A$7:$O$427,8)</f>
        <v>39405900</v>
      </c>
      <c r="I107" s="103">
        <f>VLOOKUP($A107,'OI(Volume)'!$A$7:$O$427,9)</f>
        <v>883200</v>
      </c>
      <c r="J107" s="103">
        <f>VLOOKUP($A107,'OI(Volume)'!$A$7:$O$427,11)</f>
        <v>20020350</v>
      </c>
      <c r="K107" s="103">
        <f>VLOOKUP($A107,'OI(Volume)'!$A$7:$O$427,12)</f>
        <v>745200</v>
      </c>
      <c r="L107" s="103">
        <f>VLOOKUP($A107,'OI(Value)'!$A$7:$O$306,8,0)</f>
        <v>519</v>
      </c>
      <c r="M107" s="103">
        <f>VLOOKUP($A107,'OI(Value)'!$A$7:$O$306,9,0)</f>
        <v>12</v>
      </c>
      <c r="N107" s="103">
        <f>VLOOKUP($A107,'OI(Value)'!$A$7:$O$306,11,0)</f>
        <v>264</v>
      </c>
      <c r="O107" s="103">
        <f>VLOOKUP($A107,'OI(Value)'!$A$7:$O$306,12,0)</f>
        <v>10</v>
      </c>
      <c r="P107" s="179">
        <f>VLOOKUP(A107,'OI(Value)'!A107:O308,8,0)</f>
        <v>519</v>
      </c>
      <c r="Q107" s="179">
        <f>VLOOKUP(A107,'OI(Value)'!A107:O308,9,0)</f>
        <v>12</v>
      </c>
      <c r="R107" s="179">
        <f>VLOOKUP(A107,'OI(Value)'!A107:O308,11,0)</f>
        <v>264</v>
      </c>
      <c r="S107" s="179">
        <f>VLOOKUP(A107,'OI(Value)'!A107:O308,11,0)</f>
        <v>264</v>
      </c>
    </row>
    <row r="108" spans="1:19" x14ac:dyDescent="0.25">
      <c r="A108" s="105" t="str">
        <f>'Data shares'!C103</f>
        <v>IRFC</v>
      </c>
      <c r="B108" s="143">
        <f>VLOOKUP($A108,'Data shares'!$C:$FA,118)</f>
        <v>0.49</v>
      </c>
      <c r="C108" s="143">
        <f>VLOOKUP($A108,'Data shares'!$C:$FA,119)</f>
        <v>0.48</v>
      </c>
      <c r="D108" s="143">
        <f>VLOOKUP($A108,'Data shares'!$C:$FA,121)*100</f>
        <v>2.08</v>
      </c>
      <c r="E108" s="143">
        <f>VLOOKUP($A108,'Data shares'!$C:$FA,124)</f>
        <v>0.46</v>
      </c>
      <c r="F108" s="143">
        <f>VLOOKUP($A108,'Data shares'!$C:$FA,125)</f>
        <v>0.42</v>
      </c>
      <c r="G108" s="143">
        <f>VLOOKUP($A108,'Data shares'!$C:$FA,127)*100</f>
        <v>9.5200000000000014</v>
      </c>
      <c r="H108" s="103">
        <f>VLOOKUP($A108,'OI(Volume)'!$A$7:$O$427,8)</f>
        <v>43549750</v>
      </c>
      <c r="I108" s="103">
        <f>VLOOKUP($A108,'OI(Volume)'!$A$7:$O$427,9)</f>
        <v>-446250</v>
      </c>
      <c r="J108" s="103">
        <f>VLOOKUP($A108,'OI(Volume)'!$A$7:$O$427,11)</f>
        <v>21479500</v>
      </c>
      <c r="K108" s="103">
        <f>VLOOKUP($A108,'OI(Volume)'!$A$7:$O$427,12)</f>
        <v>514250</v>
      </c>
      <c r="L108" s="103">
        <f>VLOOKUP($A108,'OI(Value)'!$A$7:$O$306,8,0)</f>
        <v>484</v>
      </c>
      <c r="M108" s="103">
        <f>VLOOKUP($A108,'OI(Value)'!$A$7:$O$306,9,0)</f>
        <v>-5</v>
      </c>
      <c r="N108" s="103">
        <f>VLOOKUP($A108,'OI(Value)'!$A$7:$O$306,11,0)</f>
        <v>239</v>
      </c>
      <c r="O108" s="103">
        <f>VLOOKUP($A108,'OI(Value)'!$A$7:$O$306,12,0)</f>
        <v>6</v>
      </c>
      <c r="P108" s="179">
        <f>VLOOKUP(A108,'OI(Value)'!A108:O309,8,0)</f>
        <v>484</v>
      </c>
      <c r="Q108" s="179">
        <f>VLOOKUP(A108,'OI(Value)'!A108:O309,9,0)</f>
        <v>-5</v>
      </c>
      <c r="R108" s="179">
        <f>VLOOKUP(A108,'OI(Value)'!A108:O309,11,0)</f>
        <v>239</v>
      </c>
      <c r="S108" s="179">
        <f>VLOOKUP(A108,'OI(Value)'!A108:O309,11,0)</f>
        <v>239</v>
      </c>
    </row>
    <row r="109" spans="1:19" x14ac:dyDescent="0.25">
      <c r="A109" s="105" t="str">
        <f>'Data shares'!C104</f>
        <v>ITC</v>
      </c>
      <c r="B109" s="143">
        <f>VLOOKUP($A109,'Data shares'!$C:$FA,118)</f>
        <v>0.6</v>
      </c>
      <c r="C109" s="143">
        <f>VLOOKUP($A109,'Data shares'!$C:$FA,119)</f>
        <v>0.62</v>
      </c>
      <c r="D109" s="143">
        <f>VLOOKUP($A109,'Data shares'!$C:$FA,121)*100</f>
        <v>-3.2300000000000004</v>
      </c>
      <c r="E109" s="143">
        <f>VLOOKUP($A109,'Data shares'!$C:$FA,124)</f>
        <v>0.56000000000000005</v>
      </c>
      <c r="F109" s="143">
        <f>VLOOKUP($A109,'Data shares'!$C:$FA,125)</f>
        <v>0.48</v>
      </c>
      <c r="G109" s="143">
        <f>VLOOKUP($A109,'Data shares'!$C:$FA,127)*100</f>
        <v>16.669999999999998</v>
      </c>
      <c r="H109" s="103">
        <f>VLOOKUP($A109,'OI(Volume)'!$A$7:$O$427,8)</f>
        <v>63161600</v>
      </c>
      <c r="I109" s="103">
        <f>VLOOKUP($A109,'OI(Volume)'!$A$7:$O$427,9)</f>
        <v>-27200</v>
      </c>
      <c r="J109" s="103">
        <f>VLOOKUP($A109,'OI(Volume)'!$A$7:$O$427,11)</f>
        <v>37960000</v>
      </c>
      <c r="K109" s="103">
        <f>VLOOKUP($A109,'OI(Volume)'!$A$7:$O$427,12)</f>
        <v>-1113600</v>
      </c>
      <c r="L109" s="103">
        <f>VLOOKUP($A109,'OI(Value)'!$A$7:$O$306,8,0)</f>
        <v>2534</v>
      </c>
      <c r="M109" s="103">
        <f>VLOOKUP($A109,'OI(Value)'!$A$7:$O$306,9,0)</f>
        <v>-1</v>
      </c>
      <c r="N109" s="103">
        <f>VLOOKUP($A109,'OI(Value)'!$A$7:$O$306,11,0)</f>
        <v>1523</v>
      </c>
      <c r="O109" s="103">
        <f>VLOOKUP($A109,'OI(Value)'!$A$7:$O$306,12,0)</f>
        <v>-45</v>
      </c>
      <c r="P109" s="179">
        <f>VLOOKUP(A109,'OI(Value)'!A109:O310,8,0)</f>
        <v>2534</v>
      </c>
      <c r="Q109" s="179">
        <f>VLOOKUP(A109,'OI(Value)'!A109:O310,9,0)</f>
        <v>-1</v>
      </c>
      <c r="R109" s="179">
        <f>VLOOKUP(A109,'OI(Value)'!A109:O310,11,0)</f>
        <v>1523</v>
      </c>
      <c r="S109" s="179">
        <f>VLOOKUP(A109,'OI(Value)'!A109:O310,11,0)</f>
        <v>1523</v>
      </c>
    </row>
    <row r="110" spans="1:19" x14ac:dyDescent="0.25">
      <c r="A110" s="105" t="str">
        <f>'Data shares'!C105</f>
        <v>JINDALSTEL</v>
      </c>
      <c r="B110" s="143">
        <f>VLOOKUP($A110,'Data shares'!$C:$FA,118)</f>
        <v>0.62</v>
      </c>
      <c r="C110" s="143">
        <f>VLOOKUP($A110,'Data shares'!$C:$FA,119)</f>
        <v>0.6</v>
      </c>
      <c r="D110" s="143">
        <f>VLOOKUP($A110,'Data shares'!$C:$FA,121)*100</f>
        <v>3.3300000000000005</v>
      </c>
      <c r="E110" s="143">
        <f>VLOOKUP($A110,'Data shares'!$C:$FA,124)</f>
        <v>0.65</v>
      </c>
      <c r="F110" s="143">
        <f>VLOOKUP($A110,'Data shares'!$C:$FA,125)</f>
        <v>0.55000000000000004</v>
      </c>
      <c r="G110" s="143">
        <f>VLOOKUP($A110,'Data shares'!$C:$FA,127)*100</f>
        <v>18.18</v>
      </c>
      <c r="H110" s="103">
        <f>VLOOKUP($A110,'OI(Volume)'!$A$7:$O$427,8)</f>
        <v>6074375</v>
      </c>
      <c r="I110" s="103">
        <f>VLOOKUP($A110,'OI(Volume)'!$A$7:$O$427,9)</f>
        <v>175000</v>
      </c>
      <c r="J110" s="103">
        <f>VLOOKUP($A110,'OI(Volume)'!$A$7:$O$427,11)</f>
        <v>3761875</v>
      </c>
      <c r="K110" s="103">
        <f>VLOOKUP($A110,'OI(Volume)'!$A$7:$O$427,12)</f>
        <v>238750</v>
      </c>
      <c r="L110" s="103">
        <f>VLOOKUP($A110,'OI(Value)'!$A$7:$O$306,8,0)</f>
        <v>601</v>
      </c>
      <c r="M110" s="103">
        <f>VLOOKUP($A110,'OI(Value)'!$A$7:$O$306,9,0)</f>
        <v>17</v>
      </c>
      <c r="N110" s="103">
        <f>VLOOKUP($A110,'OI(Value)'!$A$7:$O$306,11,0)</f>
        <v>372</v>
      </c>
      <c r="O110" s="103">
        <f>VLOOKUP($A110,'OI(Value)'!$A$7:$O$306,12,0)</f>
        <v>24</v>
      </c>
      <c r="P110" s="179">
        <f>VLOOKUP(A110,'OI(Value)'!A110:O311,8,0)</f>
        <v>601</v>
      </c>
      <c r="Q110" s="179">
        <f>VLOOKUP(A110,'OI(Value)'!A110:O311,9,0)</f>
        <v>17</v>
      </c>
      <c r="R110" s="179">
        <f>VLOOKUP(A110,'OI(Value)'!A110:O311,11,0)</f>
        <v>372</v>
      </c>
      <c r="S110" s="179">
        <f>VLOOKUP(A110,'OI(Value)'!A110:O311,11,0)</f>
        <v>372</v>
      </c>
    </row>
    <row r="111" spans="1:19" x14ac:dyDescent="0.25">
      <c r="A111" s="105" t="str">
        <f>'Data shares'!C106</f>
        <v>JIOFIN</v>
      </c>
      <c r="B111" s="143">
        <f>VLOOKUP($A111,'Data shares'!$C:$FA,118)</f>
        <v>0.69</v>
      </c>
      <c r="C111" s="143">
        <f>VLOOKUP($A111,'Data shares'!$C:$FA,119)</f>
        <v>0.68</v>
      </c>
      <c r="D111" s="143">
        <f>VLOOKUP($A111,'Data shares'!$C:$FA,121)*100</f>
        <v>1.47</v>
      </c>
      <c r="E111" s="143">
        <f>VLOOKUP($A111,'Data shares'!$C:$FA,124)</f>
        <v>0.37</v>
      </c>
      <c r="F111" s="143">
        <f>VLOOKUP($A111,'Data shares'!$C:$FA,125)</f>
        <v>0.36</v>
      </c>
      <c r="G111" s="143">
        <f>VLOOKUP($A111,'Data shares'!$C:$FA,127)*100</f>
        <v>2.78</v>
      </c>
      <c r="H111" s="103">
        <f>VLOOKUP($A111,'OI(Volume)'!$A$7:$O$427,8)</f>
        <v>70006500</v>
      </c>
      <c r="I111" s="103">
        <f>VLOOKUP($A111,'OI(Volume)'!$A$7:$O$427,9)</f>
        <v>1374750</v>
      </c>
      <c r="J111" s="103">
        <f>VLOOKUP($A111,'OI(Volume)'!$A$7:$O$427,11)</f>
        <v>48381800</v>
      </c>
      <c r="K111" s="103">
        <f>VLOOKUP($A111,'OI(Volume)'!$A$7:$O$427,12)</f>
        <v>1706100</v>
      </c>
      <c r="L111" s="103">
        <f>VLOOKUP($A111,'OI(Value)'!$A$7:$O$306,8,0)</f>
        <v>2050</v>
      </c>
      <c r="M111" s="103">
        <f>VLOOKUP($A111,'OI(Value)'!$A$7:$O$306,9,0)</f>
        <v>40</v>
      </c>
      <c r="N111" s="103">
        <f>VLOOKUP($A111,'OI(Value)'!$A$7:$O$306,11,0)</f>
        <v>1417</v>
      </c>
      <c r="O111" s="103">
        <f>VLOOKUP($A111,'OI(Value)'!$A$7:$O$306,12,0)</f>
        <v>50</v>
      </c>
      <c r="P111" s="179">
        <f>VLOOKUP(A111,'OI(Value)'!A111:O312,8,0)</f>
        <v>2050</v>
      </c>
      <c r="Q111" s="179">
        <f>VLOOKUP(A111,'OI(Value)'!A111:O312,9,0)</f>
        <v>40</v>
      </c>
      <c r="R111" s="179">
        <f>VLOOKUP(A111,'OI(Value)'!A111:O312,11,0)</f>
        <v>1417</v>
      </c>
      <c r="S111" s="179">
        <f>VLOOKUP(A111,'OI(Value)'!A111:O312,11,0)</f>
        <v>1417</v>
      </c>
    </row>
    <row r="112" spans="1:19" x14ac:dyDescent="0.25">
      <c r="A112" s="105" t="str">
        <f>'Data shares'!C107</f>
        <v>JSWENERGY</v>
      </c>
      <c r="B112" s="143">
        <f>VLOOKUP($A112,'Data shares'!$C:$FA,118)</f>
        <v>0.65</v>
      </c>
      <c r="C112" s="143">
        <f>VLOOKUP($A112,'Data shares'!$C:$FA,119)</f>
        <v>0.68</v>
      </c>
      <c r="D112" s="143">
        <f>VLOOKUP($A112,'Data shares'!$C:$FA,121)*100</f>
        <v>-4.41</v>
      </c>
      <c r="E112" s="143">
        <f>VLOOKUP($A112,'Data shares'!$C:$FA,124)</f>
        <v>0.65</v>
      </c>
      <c r="F112" s="143">
        <f>VLOOKUP($A112,'Data shares'!$C:$FA,125)</f>
        <v>0.6</v>
      </c>
      <c r="G112" s="143">
        <f>VLOOKUP($A112,'Data shares'!$C:$FA,127)*100</f>
        <v>8.33</v>
      </c>
      <c r="H112" s="103">
        <f>VLOOKUP($A112,'OI(Volume)'!$A$7:$O$427,8)</f>
        <v>15780000</v>
      </c>
      <c r="I112" s="103">
        <f>VLOOKUP($A112,'OI(Volume)'!$A$7:$O$427,9)</f>
        <v>67000</v>
      </c>
      <c r="J112" s="103">
        <f>VLOOKUP($A112,'OI(Volume)'!$A$7:$O$427,11)</f>
        <v>10271000</v>
      </c>
      <c r="K112" s="103">
        <f>VLOOKUP($A112,'OI(Volume)'!$A$7:$O$427,12)</f>
        <v>-451000</v>
      </c>
      <c r="L112" s="103">
        <f>VLOOKUP($A112,'OI(Value)'!$A$7:$O$306,8,0)</f>
        <v>745</v>
      </c>
      <c r="M112" s="103">
        <f>VLOOKUP($A112,'OI(Value)'!$A$7:$O$306,9,0)</f>
        <v>3</v>
      </c>
      <c r="N112" s="103">
        <f>VLOOKUP($A112,'OI(Value)'!$A$7:$O$306,11,0)</f>
        <v>485</v>
      </c>
      <c r="O112" s="103">
        <f>VLOOKUP($A112,'OI(Value)'!$A$7:$O$306,12,0)</f>
        <v>-21</v>
      </c>
      <c r="P112" s="179">
        <f>VLOOKUP(A112,'OI(Value)'!A112:O313,8,0)</f>
        <v>745</v>
      </c>
      <c r="Q112" s="179">
        <f>VLOOKUP(A112,'OI(Value)'!A112:O313,9,0)</f>
        <v>3</v>
      </c>
      <c r="R112" s="179">
        <f>VLOOKUP(A112,'OI(Value)'!A112:O313,11,0)</f>
        <v>485</v>
      </c>
      <c r="S112" s="179">
        <f>VLOOKUP(A112,'OI(Value)'!A112:O313,11,0)</f>
        <v>485</v>
      </c>
    </row>
    <row r="113" spans="1:19" x14ac:dyDescent="0.25">
      <c r="A113" s="105" t="str">
        <f>'Data shares'!C108</f>
        <v>JSWSTEEL</v>
      </c>
      <c r="B113" s="143">
        <f>VLOOKUP($A113,'Data shares'!$C:$FA,118)</f>
        <v>0.52</v>
      </c>
      <c r="C113" s="143">
        <f>VLOOKUP($A113,'Data shares'!$C:$FA,119)</f>
        <v>0.51</v>
      </c>
      <c r="D113" s="143">
        <f>VLOOKUP($A113,'Data shares'!$C:$FA,121)*100</f>
        <v>1.96</v>
      </c>
      <c r="E113" s="143">
        <f>VLOOKUP($A113,'Data shares'!$C:$FA,124)</f>
        <v>0.4</v>
      </c>
      <c r="F113" s="143">
        <f>VLOOKUP($A113,'Data shares'!$C:$FA,125)</f>
        <v>0.37</v>
      </c>
      <c r="G113" s="143">
        <f>VLOOKUP($A113,'Data shares'!$C:$FA,127)*100</f>
        <v>8.1100000000000012</v>
      </c>
      <c r="H113" s="103">
        <f>VLOOKUP($A113,'OI(Volume)'!$A$7:$O$427,8)</f>
        <v>20084625</v>
      </c>
      <c r="I113" s="103">
        <f>VLOOKUP($A113,'OI(Volume)'!$A$7:$O$427,9)</f>
        <v>-348975</v>
      </c>
      <c r="J113" s="103">
        <f>VLOOKUP($A113,'OI(Volume)'!$A$7:$O$427,11)</f>
        <v>10537425</v>
      </c>
      <c r="K113" s="103">
        <f>VLOOKUP($A113,'OI(Volume)'!$A$7:$O$427,12)</f>
        <v>185625</v>
      </c>
      <c r="L113" s="103">
        <f>VLOOKUP($A113,'OI(Value)'!$A$7:$O$306,8,0)</f>
        <v>2177</v>
      </c>
      <c r="M113" s="103">
        <f>VLOOKUP($A113,'OI(Value)'!$A$7:$O$306,9,0)</f>
        <v>-38</v>
      </c>
      <c r="N113" s="103">
        <f>VLOOKUP($A113,'OI(Value)'!$A$7:$O$306,11,0)</f>
        <v>1142</v>
      </c>
      <c r="O113" s="103">
        <f>VLOOKUP($A113,'OI(Value)'!$A$7:$O$306,12,0)</f>
        <v>20</v>
      </c>
      <c r="P113" s="179">
        <f>VLOOKUP(A113,'OI(Value)'!A113:O314,8,0)</f>
        <v>2177</v>
      </c>
      <c r="Q113" s="179">
        <f>VLOOKUP(A113,'OI(Value)'!A113:O314,9,0)</f>
        <v>-38</v>
      </c>
      <c r="R113" s="179">
        <f>VLOOKUP(A113,'OI(Value)'!A113:O314,11,0)</f>
        <v>1142</v>
      </c>
      <c r="S113" s="179">
        <f>VLOOKUP(A113,'OI(Value)'!A113:O314,11,0)</f>
        <v>1142</v>
      </c>
    </row>
    <row r="114" spans="1:19" x14ac:dyDescent="0.25">
      <c r="A114" s="105" t="str">
        <f>'Data shares'!C109</f>
        <v>JUBLFOOD</v>
      </c>
      <c r="B114" s="143">
        <f>VLOOKUP($A114,'Data shares'!$C:$FA,118)</f>
        <v>0.6</v>
      </c>
      <c r="C114" s="143">
        <f>VLOOKUP($A114,'Data shares'!$C:$FA,119)</f>
        <v>0.56000000000000005</v>
      </c>
      <c r="D114" s="143">
        <f>VLOOKUP($A114,'Data shares'!$C:$FA,121)*100</f>
        <v>7.1400000000000006</v>
      </c>
      <c r="E114" s="143">
        <f>VLOOKUP($A114,'Data shares'!$C:$FA,124)</f>
        <v>0.55000000000000004</v>
      </c>
      <c r="F114" s="143">
        <f>VLOOKUP($A114,'Data shares'!$C:$FA,125)</f>
        <v>0.63</v>
      </c>
      <c r="G114" s="143">
        <f>VLOOKUP($A114,'Data shares'!$C:$FA,127)*100</f>
        <v>-12.7</v>
      </c>
      <c r="H114" s="103">
        <f>VLOOKUP($A114,'OI(Volume)'!$A$7:$O$427,8)</f>
        <v>13881250</v>
      </c>
      <c r="I114" s="103">
        <f>VLOOKUP($A114,'OI(Volume)'!$A$7:$O$427,9)</f>
        <v>-643750</v>
      </c>
      <c r="J114" s="103">
        <f>VLOOKUP($A114,'OI(Volume)'!$A$7:$O$427,11)</f>
        <v>8322500</v>
      </c>
      <c r="K114" s="103">
        <f>VLOOKUP($A114,'OI(Volume)'!$A$7:$O$427,12)</f>
        <v>173750</v>
      </c>
      <c r="L114" s="103">
        <f>VLOOKUP($A114,'OI(Value)'!$A$7:$O$306,8,0)</f>
        <v>776</v>
      </c>
      <c r="M114" s="103">
        <f>VLOOKUP($A114,'OI(Value)'!$A$7:$O$306,9,0)</f>
        <v>-36</v>
      </c>
      <c r="N114" s="103">
        <f>VLOOKUP($A114,'OI(Value)'!$A$7:$O$306,11,0)</f>
        <v>465</v>
      </c>
      <c r="O114" s="103">
        <f>VLOOKUP($A114,'OI(Value)'!$A$7:$O$306,12,0)</f>
        <v>10</v>
      </c>
      <c r="P114" s="179">
        <f>VLOOKUP(A114,'OI(Value)'!A114:O315,8,0)</f>
        <v>776</v>
      </c>
      <c r="Q114" s="179">
        <f>VLOOKUP(A114,'OI(Value)'!A114:O315,9,0)</f>
        <v>-36</v>
      </c>
      <c r="R114" s="179">
        <f>VLOOKUP(A114,'OI(Value)'!A114:O315,11,0)</f>
        <v>465</v>
      </c>
      <c r="S114" s="179">
        <f>VLOOKUP(A114,'OI(Value)'!A114:O315,11,0)</f>
        <v>465</v>
      </c>
    </row>
    <row r="115" spans="1:19" x14ac:dyDescent="0.25">
      <c r="A115" s="105" t="str">
        <f>'Data shares'!C110</f>
        <v>KALYANKJIL</v>
      </c>
      <c r="B115" s="143">
        <f>VLOOKUP($A115,'Data shares'!$C:$FA,118)</f>
        <v>0.55000000000000004</v>
      </c>
      <c r="C115" s="143">
        <f>VLOOKUP($A115,'Data shares'!$C:$FA,119)</f>
        <v>0.55000000000000004</v>
      </c>
      <c r="D115" s="143">
        <f>VLOOKUP($A115,'Data shares'!$C:$FA,121)*100</f>
        <v>0</v>
      </c>
      <c r="E115" s="143">
        <f>VLOOKUP($A115,'Data shares'!$C:$FA,124)</f>
        <v>0.3</v>
      </c>
      <c r="F115" s="143">
        <f>VLOOKUP($A115,'Data shares'!$C:$FA,125)</f>
        <v>0.55000000000000004</v>
      </c>
      <c r="G115" s="143">
        <f>VLOOKUP($A115,'Data shares'!$C:$FA,127)*100</f>
        <v>-45.45</v>
      </c>
      <c r="H115" s="103">
        <f>VLOOKUP($A115,'OI(Volume)'!$A$7:$O$427,8)</f>
        <v>11785250</v>
      </c>
      <c r="I115" s="103">
        <f>VLOOKUP($A115,'OI(Volume)'!$A$7:$O$427,9)</f>
        <v>310200</v>
      </c>
      <c r="J115" s="103">
        <f>VLOOKUP($A115,'OI(Volume)'!$A$7:$O$427,11)</f>
        <v>6450750</v>
      </c>
      <c r="K115" s="103">
        <f>VLOOKUP($A115,'OI(Volume)'!$A$7:$O$427,12)</f>
        <v>131600</v>
      </c>
      <c r="L115" s="103">
        <f>VLOOKUP($A115,'OI(Value)'!$A$7:$O$306,8,0)</f>
        <v>556</v>
      </c>
      <c r="M115" s="103">
        <f>VLOOKUP($A115,'OI(Value)'!$A$7:$O$306,9,0)</f>
        <v>15</v>
      </c>
      <c r="N115" s="103">
        <f>VLOOKUP($A115,'OI(Value)'!$A$7:$O$306,11,0)</f>
        <v>304</v>
      </c>
      <c r="O115" s="103">
        <f>VLOOKUP($A115,'OI(Value)'!$A$7:$O$306,12,0)</f>
        <v>6</v>
      </c>
      <c r="P115" s="179">
        <f>VLOOKUP(A115,'OI(Value)'!A115:O316,8,0)</f>
        <v>556</v>
      </c>
      <c r="Q115" s="179">
        <f>VLOOKUP(A115,'OI(Value)'!A115:O316,9,0)</f>
        <v>15</v>
      </c>
      <c r="R115" s="179">
        <f>VLOOKUP(A115,'OI(Value)'!A115:O316,11,0)</f>
        <v>304</v>
      </c>
      <c r="S115" s="179">
        <f>VLOOKUP(A115,'OI(Value)'!A115:O316,11,0)</f>
        <v>304</v>
      </c>
    </row>
    <row r="116" spans="1:19" x14ac:dyDescent="0.25">
      <c r="A116" s="105" t="str">
        <f>'Data shares'!C111</f>
        <v>KAYNES</v>
      </c>
      <c r="B116" s="143">
        <f>VLOOKUP($A116,'Data shares'!$C:$FA,118)</f>
        <v>0.39</v>
      </c>
      <c r="C116" s="143">
        <f>VLOOKUP($A116,'Data shares'!$C:$FA,119)</f>
        <v>0.4</v>
      </c>
      <c r="D116" s="143">
        <f>VLOOKUP($A116,'Data shares'!$C:$FA,121)*100</f>
        <v>-2.5</v>
      </c>
      <c r="E116" s="143">
        <f>VLOOKUP($A116,'Data shares'!$C:$FA,124)</f>
        <v>0.51</v>
      </c>
      <c r="F116" s="143">
        <f>VLOOKUP($A116,'Data shares'!$C:$FA,125)</f>
        <v>0.5</v>
      </c>
      <c r="G116" s="143">
        <f>VLOOKUP($A116,'Data shares'!$C:$FA,127)*100</f>
        <v>2</v>
      </c>
      <c r="H116" s="103">
        <f>VLOOKUP($A116,'OI(Volume)'!$A$7:$O$427,8)</f>
        <v>8229700</v>
      </c>
      <c r="I116" s="103">
        <f>VLOOKUP($A116,'OI(Volume)'!$A$7:$O$427,9)</f>
        <v>-122900</v>
      </c>
      <c r="J116" s="103">
        <f>VLOOKUP($A116,'OI(Volume)'!$A$7:$O$427,11)</f>
        <v>3217800</v>
      </c>
      <c r="K116" s="103">
        <f>VLOOKUP($A116,'OI(Volume)'!$A$7:$O$427,12)</f>
        <v>-115100</v>
      </c>
      <c r="L116" s="103">
        <f>VLOOKUP($A116,'OI(Value)'!$A$7:$O$306,8,0)</f>
        <v>3331</v>
      </c>
      <c r="M116" s="103">
        <f>VLOOKUP($A116,'OI(Value)'!$A$7:$O$306,9,0)</f>
        <v>-50</v>
      </c>
      <c r="N116" s="103">
        <f>VLOOKUP($A116,'OI(Value)'!$A$7:$O$306,11,0)</f>
        <v>1303</v>
      </c>
      <c r="O116" s="103">
        <f>VLOOKUP($A116,'OI(Value)'!$A$7:$O$306,12,0)</f>
        <v>-47</v>
      </c>
      <c r="P116" s="179">
        <f>VLOOKUP(A116,'OI(Value)'!A116:O317,8,0)</f>
        <v>3331</v>
      </c>
      <c r="Q116" s="179">
        <f>VLOOKUP(A116,'OI(Value)'!A116:O317,9,0)</f>
        <v>-50</v>
      </c>
      <c r="R116" s="179">
        <f>VLOOKUP(A116,'OI(Value)'!A116:O317,11,0)</f>
        <v>1303</v>
      </c>
      <c r="S116" s="179">
        <f>VLOOKUP(A116,'OI(Value)'!A116:O317,11,0)</f>
        <v>1303</v>
      </c>
    </row>
    <row r="117" spans="1:19" x14ac:dyDescent="0.25">
      <c r="A117" s="105" t="str">
        <f>'Data shares'!C112</f>
        <v>KEI</v>
      </c>
      <c r="B117" s="143">
        <f>VLOOKUP($A117,'Data shares'!$C:$FA,118)</f>
        <v>0.7</v>
      </c>
      <c r="C117" s="143">
        <f>VLOOKUP($A117,'Data shares'!$C:$FA,119)</f>
        <v>0.67</v>
      </c>
      <c r="D117" s="143">
        <f>VLOOKUP($A117,'Data shares'!$C:$FA,121)*100</f>
        <v>4.4799999999999995</v>
      </c>
      <c r="E117" s="143">
        <f>VLOOKUP($A117,'Data shares'!$C:$FA,124)</f>
        <v>0.9</v>
      </c>
      <c r="F117" s="143">
        <f>VLOOKUP($A117,'Data shares'!$C:$FA,125)</f>
        <v>1.67</v>
      </c>
      <c r="G117" s="143">
        <f>VLOOKUP($A117,'Data shares'!$C:$FA,127)*100</f>
        <v>-46.11</v>
      </c>
      <c r="H117" s="103">
        <f>VLOOKUP($A117,'OI(Volume)'!$A$7:$O$427,8)</f>
        <v>662375</v>
      </c>
      <c r="I117" s="103">
        <f>VLOOKUP($A117,'OI(Volume)'!$A$7:$O$427,9)</f>
        <v>-22050</v>
      </c>
      <c r="J117" s="103">
        <f>VLOOKUP($A117,'OI(Volume)'!$A$7:$O$427,11)</f>
        <v>460600</v>
      </c>
      <c r="K117" s="103">
        <f>VLOOKUP($A117,'OI(Volume)'!$A$7:$O$427,12)</f>
        <v>350</v>
      </c>
      <c r="L117" s="103">
        <f>VLOOKUP($A117,'OI(Value)'!$A$7:$O$306,8,0)</f>
        <v>272</v>
      </c>
      <c r="M117" s="103">
        <f>VLOOKUP($A117,'OI(Value)'!$A$7:$O$306,9,0)</f>
        <v>-9</v>
      </c>
      <c r="N117" s="103">
        <f>VLOOKUP($A117,'OI(Value)'!$A$7:$O$306,11,0)</f>
        <v>189</v>
      </c>
      <c r="O117" s="103">
        <f>VLOOKUP($A117,'OI(Value)'!$A$7:$O$306,12,0)</f>
        <v>0</v>
      </c>
      <c r="P117" s="179">
        <f>VLOOKUP(A117,'OI(Value)'!A117:O318,8,0)</f>
        <v>272</v>
      </c>
      <c r="Q117" s="179">
        <f>VLOOKUP(A117,'OI(Value)'!A117:O318,9,0)</f>
        <v>-9</v>
      </c>
      <c r="R117" s="179">
        <f>VLOOKUP(A117,'OI(Value)'!A117:O318,11,0)</f>
        <v>189</v>
      </c>
      <c r="S117" s="179">
        <f>VLOOKUP(A117,'OI(Value)'!A117:O318,11,0)</f>
        <v>189</v>
      </c>
    </row>
    <row r="118" spans="1:19" x14ac:dyDescent="0.25">
      <c r="A118" s="105" t="str">
        <f>'Data shares'!C113</f>
        <v>KFINTECH</v>
      </c>
      <c r="B118" s="143">
        <f>VLOOKUP($A118,'Data shares'!$C:$FA,118)</f>
        <v>0.77</v>
      </c>
      <c r="C118" s="143">
        <f>VLOOKUP($A118,'Data shares'!$C:$FA,119)</f>
        <v>0.64</v>
      </c>
      <c r="D118" s="143">
        <f>VLOOKUP($A118,'Data shares'!$C:$FA,121)*100</f>
        <v>20.309999999999999</v>
      </c>
      <c r="E118" s="143">
        <f>VLOOKUP($A118,'Data shares'!$C:$FA,124)</f>
        <v>0.37</v>
      </c>
      <c r="F118" s="143">
        <f>VLOOKUP($A118,'Data shares'!$C:$FA,125)</f>
        <v>0.47</v>
      </c>
      <c r="G118" s="143">
        <f>VLOOKUP($A118,'Data shares'!$C:$FA,127)*100</f>
        <v>-21.279999999999998</v>
      </c>
      <c r="H118" s="103">
        <f>VLOOKUP($A118,'OI(Volume)'!$A$7:$O$427,8)</f>
        <v>2506150</v>
      </c>
      <c r="I118" s="103">
        <f>VLOOKUP($A118,'OI(Volume)'!$A$7:$O$427,9)</f>
        <v>-490000</v>
      </c>
      <c r="J118" s="103">
        <f>VLOOKUP($A118,'OI(Volume)'!$A$7:$O$427,11)</f>
        <v>1939950</v>
      </c>
      <c r="K118" s="103">
        <f>VLOOKUP($A118,'OI(Volume)'!$A$7:$O$427,12)</f>
        <v>21250</v>
      </c>
      <c r="L118" s="103">
        <f>VLOOKUP($A118,'OI(Value)'!$A$7:$O$306,8,0)</f>
        <v>269</v>
      </c>
      <c r="M118" s="103">
        <f>VLOOKUP($A118,'OI(Value)'!$A$7:$O$306,9,0)</f>
        <v>-53</v>
      </c>
      <c r="N118" s="103">
        <f>VLOOKUP($A118,'OI(Value)'!$A$7:$O$306,11,0)</f>
        <v>208</v>
      </c>
      <c r="O118" s="103">
        <f>VLOOKUP($A118,'OI(Value)'!$A$7:$O$306,12,0)</f>
        <v>2</v>
      </c>
      <c r="P118" s="179">
        <f>VLOOKUP(A118,'OI(Value)'!A118:O319,8,0)</f>
        <v>269</v>
      </c>
      <c r="Q118" s="179">
        <f>VLOOKUP(A118,'OI(Value)'!A118:O319,9,0)</f>
        <v>-53</v>
      </c>
      <c r="R118" s="179">
        <f>VLOOKUP(A118,'OI(Value)'!A118:O319,11,0)</f>
        <v>208</v>
      </c>
      <c r="S118" s="179">
        <f>VLOOKUP(A118,'OI(Value)'!A118:O319,11,0)</f>
        <v>208</v>
      </c>
    </row>
    <row r="119" spans="1:19" x14ac:dyDescent="0.25">
      <c r="A119" s="105" t="str">
        <f>'Data shares'!C114</f>
        <v>KOTAKBANK</v>
      </c>
      <c r="B119" s="143">
        <f>VLOOKUP($A119,'Data shares'!$C:$FA,118)</f>
        <v>0.84</v>
      </c>
      <c r="C119" s="143">
        <f>VLOOKUP($A119,'Data shares'!$C:$FA,119)</f>
        <v>0.85</v>
      </c>
      <c r="D119" s="143">
        <f>VLOOKUP($A119,'Data shares'!$C:$FA,121)*100</f>
        <v>-1.18</v>
      </c>
      <c r="E119" s="143">
        <f>VLOOKUP($A119,'Data shares'!$C:$FA,124)</f>
        <v>0.5</v>
      </c>
      <c r="F119" s="143">
        <f>VLOOKUP($A119,'Data shares'!$C:$FA,125)</f>
        <v>0.66</v>
      </c>
      <c r="G119" s="143">
        <f>VLOOKUP($A119,'Data shares'!$C:$FA,127)*100</f>
        <v>-24.240000000000002</v>
      </c>
      <c r="H119" s="103">
        <f>VLOOKUP($A119,'OI(Volume)'!$A$7:$O$427,8)</f>
        <v>8965600</v>
      </c>
      <c r="I119" s="103">
        <f>VLOOKUP($A119,'OI(Volume)'!$A$7:$O$427,9)</f>
        <v>-22400</v>
      </c>
      <c r="J119" s="103">
        <f>VLOOKUP($A119,'OI(Volume)'!$A$7:$O$427,11)</f>
        <v>7522400</v>
      </c>
      <c r="K119" s="103">
        <f>VLOOKUP($A119,'OI(Volume)'!$A$7:$O$427,12)</f>
        <v>-83200</v>
      </c>
      <c r="L119" s="103">
        <f>VLOOKUP($A119,'OI(Value)'!$A$7:$O$306,8,0)</f>
        <v>1946</v>
      </c>
      <c r="M119" s="103">
        <f>VLOOKUP($A119,'OI(Value)'!$A$7:$O$306,9,0)</f>
        <v>-5</v>
      </c>
      <c r="N119" s="103">
        <f>VLOOKUP($A119,'OI(Value)'!$A$7:$O$306,11,0)</f>
        <v>1633</v>
      </c>
      <c r="O119" s="103">
        <f>VLOOKUP($A119,'OI(Value)'!$A$7:$O$306,12,0)</f>
        <v>-18</v>
      </c>
      <c r="P119" s="179">
        <f>VLOOKUP(A119,'OI(Value)'!A119:O320,8,0)</f>
        <v>1946</v>
      </c>
      <c r="Q119" s="179">
        <f>VLOOKUP(A119,'OI(Value)'!A119:O320,9,0)</f>
        <v>-5</v>
      </c>
      <c r="R119" s="179">
        <f>VLOOKUP(A119,'OI(Value)'!A119:O320,11,0)</f>
        <v>1633</v>
      </c>
      <c r="S119" s="179">
        <f>VLOOKUP(A119,'OI(Value)'!A119:O320,11,0)</f>
        <v>1633</v>
      </c>
    </row>
    <row r="120" spans="1:19" x14ac:dyDescent="0.25">
      <c r="A120" s="105" t="str">
        <f>'Data shares'!C115</f>
        <v>KPITTECH</v>
      </c>
      <c r="B120" s="143">
        <f>VLOOKUP($A120,'Data shares'!$C:$FA,118)</f>
        <v>0.56999999999999995</v>
      </c>
      <c r="C120" s="143">
        <f>VLOOKUP($A120,'Data shares'!$C:$FA,119)</f>
        <v>0.59</v>
      </c>
      <c r="D120" s="143">
        <f>VLOOKUP($A120,'Data shares'!$C:$FA,121)*100</f>
        <v>-3.39</v>
      </c>
      <c r="E120" s="143">
        <f>VLOOKUP($A120,'Data shares'!$C:$FA,124)</f>
        <v>0.33</v>
      </c>
      <c r="F120" s="143">
        <f>VLOOKUP($A120,'Data shares'!$C:$FA,125)</f>
        <v>0.66</v>
      </c>
      <c r="G120" s="143">
        <f>VLOOKUP($A120,'Data shares'!$C:$FA,127)*100</f>
        <v>-50</v>
      </c>
      <c r="H120" s="103">
        <f>VLOOKUP($A120,'OI(Volume)'!$A$7:$O$427,8)</f>
        <v>2778600</v>
      </c>
      <c r="I120" s="103">
        <f>VLOOKUP($A120,'OI(Volume)'!$A$7:$O$427,9)</f>
        <v>100600</v>
      </c>
      <c r="J120" s="103">
        <f>VLOOKUP($A120,'OI(Volume)'!$A$7:$O$427,11)</f>
        <v>1589875</v>
      </c>
      <c r="K120" s="103">
        <f>VLOOKUP($A120,'OI(Volume)'!$A$7:$O$427,12)</f>
        <v>15675</v>
      </c>
      <c r="L120" s="103">
        <f>VLOOKUP($A120,'OI(Value)'!$A$7:$O$306,8,0)</f>
        <v>324</v>
      </c>
      <c r="M120" s="103">
        <f>VLOOKUP($A120,'OI(Value)'!$A$7:$O$306,9,0)</f>
        <v>12</v>
      </c>
      <c r="N120" s="103">
        <f>VLOOKUP($A120,'OI(Value)'!$A$7:$O$306,11,0)</f>
        <v>185</v>
      </c>
      <c r="O120" s="103">
        <f>VLOOKUP($A120,'OI(Value)'!$A$7:$O$306,12,0)</f>
        <v>2</v>
      </c>
      <c r="P120" s="179">
        <f>VLOOKUP(A120,'OI(Value)'!A120:O321,8,0)</f>
        <v>324</v>
      </c>
      <c r="Q120" s="179">
        <f>VLOOKUP(A120,'OI(Value)'!A120:O321,9,0)</f>
        <v>12</v>
      </c>
      <c r="R120" s="179">
        <f>VLOOKUP(A120,'OI(Value)'!A120:O321,11,0)</f>
        <v>185</v>
      </c>
      <c r="S120" s="179">
        <f>VLOOKUP(A120,'OI(Value)'!A120:O321,11,0)</f>
        <v>185</v>
      </c>
    </row>
    <row r="121" spans="1:19" x14ac:dyDescent="0.25">
      <c r="A121" s="105" t="str">
        <f>'Data shares'!C116</f>
        <v>LAURUSLABS</v>
      </c>
      <c r="B121" s="143">
        <f>VLOOKUP($A121,'Data shares'!$C:$FA,118)</f>
        <v>0.56999999999999995</v>
      </c>
      <c r="C121" s="143">
        <f>VLOOKUP($A121,'Data shares'!$C:$FA,119)</f>
        <v>0.55000000000000004</v>
      </c>
      <c r="D121" s="143">
        <f>VLOOKUP($A121,'Data shares'!$C:$FA,121)*100</f>
        <v>3.64</v>
      </c>
      <c r="E121" s="143">
        <f>VLOOKUP($A121,'Data shares'!$C:$FA,124)</f>
        <v>0.47</v>
      </c>
      <c r="F121" s="143">
        <f>VLOOKUP($A121,'Data shares'!$C:$FA,125)</f>
        <v>0.38</v>
      </c>
      <c r="G121" s="143">
        <f>VLOOKUP($A121,'Data shares'!$C:$FA,127)*100</f>
        <v>23.68</v>
      </c>
      <c r="H121" s="103">
        <f>VLOOKUP($A121,'OI(Volume)'!$A$7:$O$427,8)</f>
        <v>8601150</v>
      </c>
      <c r="I121" s="103">
        <f>VLOOKUP($A121,'OI(Volume)'!$A$7:$O$427,9)</f>
        <v>-248200</v>
      </c>
      <c r="J121" s="103">
        <f>VLOOKUP($A121,'OI(Volume)'!$A$7:$O$427,11)</f>
        <v>4927450</v>
      </c>
      <c r="K121" s="103">
        <f>VLOOKUP($A121,'OI(Volume)'!$A$7:$O$427,12)</f>
        <v>68850</v>
      </c>
      <c r="L121" s="103">
        <f>VLOOKUP($A121,'OI(Value)'!$A$7:$O$306,8,0)</f>
        <v>876</v>
      </c>
      <c r="M121" s="103">
        <f>VLOOKUP($A121,'OI(Value)'!$A$7:$O$306,9,0)</f>
        <v>-25</v>
      </c>
      <c r="N121" s="103">
        <f>VLOOKUP($A121,'OI(Value)'!$A$7:$O$306,11,0)</f>
        <v>502</v>
      </c>
      <c r="O121" s="103">
        <f>VLOOKUP($A121,'OI(Value)'!$A$7:$O$306,12,0)</f>
        <v>7</v>
      </c>
      <c r="P121" s="179">
        <f>VLOOKUP(A121,'OI(Value)'!A121:O322,8,0)</f>
        <v>876</v>
      </c>
      <c r="Q121" s="179">
        <f>VLOOKUP(A121,'OI(Value)'!A121:O322,9,0)</f>
        <v>-25</v>
      </c>
      <c r="R121" s="179">
        <f>VLOOKUP(A121,'OI(Value)'!A121:O322,11,0)</f>
        <v>502</v>
      </c>
      <c r="S121" s="179">
        <f>VLOOKUP(A121,'OI(Value)'!A121:O322,11,0)</f>
        <v>502</v>
      </c>
    </row>
    <row r="122" spans="1:19" x14ac:dyDescent="0.25">
      <c r="A122" s="105" t="str">
        <f>'Data shares'!C117</f>
        <v>LICHSGFIN</v>
      </c>
      <c r="B122" s="143">
        <f>VLOOKUP($A122,'Data shares'!$C:$FA,118)</f>
        <v>0.77</v>
      </c>
      <c r="C122" s="143">
        <f>VLOOKUP($A122,'Data shares'!$C:$FA,119)</f>
        <v>0.75</v>
      </c>
      <c r="D122" s="143">
        <f>VLOOKUP($A122,'Data shares'!$C:$FA,121)*100</f>
        <v>2.67</v>
      </c>
      <c r="E122" s="143">
        <f>VLOOKUP($A122,'Data shares'!$C:$FA,124)</f>
        <v>0.34</v>
      </c>
      <c r="F122" s="143">
        <f>VLOOKUP($A122,'Data shares'!$C:$FA,125)</f>
        <v>0.32</v>
      </c>
      <c r="G122" s="143">
        <f>VLOOKUP($A122,'Data shares'!$C:$FA,127)*100</f>
        <v>6.25</v>
      </c>
      <c r="H122" s="103">
        <f>VLOOKUP($A122,'OI(Volume)'!$A$7:$O$427,8)</f>
        <v>10461000</v>
      </c>
      <c r="I122" s="103">
        <f>VLOOKUP($A122,'OI(Volume)'!$A$7:$O$427,9)</f>
        <v>-271000</v>
      </c>
      <c r="J122" s="103">
        <f>VLOOKUP($A122,'OI(Volume)'!$A$7:$O$427,11)</f>
        <v>8081000</v>
      </c>
      <c r="K122" s="103">
        <f>VLOOKUP($A122,'OI(Volume)'!$A$7:$O$427,12)</f>
        <v>71000</v>
      </c>
      <c r="L122" s="103">
        <f>VLOOKUP($A122,'OI(Value)'!$A$7:$O$306,8,0)</f>
        <v>553</v>
      </c>
      <c r="M122" s="103">
        <f>VLOOKUP($A122,'OI(Value)'!$A$7:$O$306,9,0)</f>
        <v>-14</v>
      </c>
      <c r="N122" s="103">
        <f>VLOOKUP($A122,'OI(Value)'!$A$7:$O$306,11,0)</f>
        <v>427</v>
      </c>
      <c r="O122" s="103">
        <f>VLOOKUP($A122,'OI(Value)'!$A$7:$O$306,12,0)</f>
        <v>4</v>
      </c>
      <c r="P122" s="179">
        <f>VLOOKUP(A122,'OI(Value)'!A122:O323,8,0)</f>
        <v>553</v>
      </c>
      <c r="Q122" s="179">
        <f>VLOOKUP(A122,'OI(Value)'!A122:O323,9,0)</f>
        <v>-14</v>
      </c>
      <c r="R122" s="179">
        <f>VLOOKUP(A122,'OI(Value)'!A122:O323,11,0)</f>
        <v>427</v>
      </c>
      <c r="S122" s="179">
        <f>VLOOKUP(A122,'OI(Value)'!A122:O323,11,0)</f>
        <v>427</v>
      </c>
    </row>
    <row r="123" spans="1:19" x14ac:dyDescent="0.25">
      <c r="A123" s="105" t="str">
        <f>'Data shares'!C118</f>
        <v>LICI</v>
      </c>
      <c r="B123" s="143">
        <f>VLOOKUP($A123,'Data shares'!$C:$FA,118)</f>
        <v>0.49</v>
      </c>
      <c r="C123" s="143">
        <f>VLOOKUP($A123,'Data shares'!$C:$FA,119)</f>
        <v>0.48</v>
      </c>
      <c r="D123" s="143">
        <f>VLOOKUP($A123,'Data shares'!$C:$FA,121)*100</f>
        <v>2.08</v>
      </c>
      <c r="E123" s="143">
        <f>VLOOKUP($A123,'Data shares'!$C:$FA,124)</f>
        <v>0.56000000000000005</v>
      </c>
      <c r="F123" s="143">
        <f>VLOOKUP($A123,'Data shares'!$C:$FA,125)</f>
        <v>0.47</v>
      </c>
      <c r="G123" s="143">
        <f>VLOOKUP($A123,'Data shares'!$C:$FA,127)*100</f>
        <v>19.149999999999999</v>
      </c>
      <c r="H123" s="103">
        <f>VLOOKUP($A123,'OI(Volume)'!$A$7:$O$427,8)</f>
        <v>9540300</v>
      </c>
      <c r="I123" s="103">
        <f>VLOOKUP($A123,'OI(Volume)'!$A$7:$O$427,9)</f>
        <v>25900</v>
      </c>
      <c r="J123" s="103">
        <f>VLOOKUP($A123,'OI(Volume)'!$A$7:$O$427,11)</f>
        <v>4672500</v>
      </c>
      <c r="K123" s="103">
        <f>VLOOKUP($A123,'OI(Volume)'!$A$7:$O$427,12)</f>
        <v>144200</v>
      </c>
      <c r="L123" s="103">
        <f>VLOOKUP($A123,'OI(Value)'!$A$7:$O$306,8,0)</f>
        <v>809</v>
      </c>
      <c r="M123" s="103">
        <f>VLOOKUP($A123,'OI(Value)'!$A$7:$O$306,9,0)</f>
        <v>2</v>
      </c>
      <c r="N123" s="103">
        <f>VLOOKUP($A123,'OI(Value)'!$A$7:$O$306,11,0)</f>
        <v>396</v>
      </c>
      <c r="O123" s="103">
        <f>VLOOKUP($A123,'OI(Value)'!$A$7:$O$306,12,0)</f>
        <v>12</v>
      </c>
      <c r="P123" s="179">
        <f>VLOOKUP(A123,'OI(Value)'!A123:O324,8,0)</f>
        <v>809</v>
      </c>
      <c r="Q123" s="179">
        <f>VLOOKUP(A123,'OI(Value)'!A123:O324,9,0)</f>
        <v>2</v>
      </c>
      <c r="R123" s="179">
        <f>VLOOKUP(A123,'OI(Value)'!A123:O324,11,0)</f>
        <v>396</v>
      </c>
      <c r="S123" s="179">
        <f>VLOOKUP(A123,'OI(Value)'!A123:O324,11,0)</f>
        <v>396</v>
      </c>
    </row>
    <row r="124" spans="1:19" x14ac:dyDescent="0.25">
      <c r="A124" s="105" t="str">
        <f>'Data shares'!C119</f>
        <v>LODHA</v>
      </c>
      <c r="B124" s="143">
        <f>VLOOKUP($A124,'Data shares'!$C:$FA,118)</f>
        <v>0.47</v>
      </c>
      <c r="C124" s="143">
        <f>VLOOKUP($A124,'Data shares'!$C:$FA,119)</f>
        <v>0.4</v>
      </c>
      <c r="D124" s="143">
        <f>VLOOKUP($A124,'Data shares'!$C:$FA,121)*100</f>
        <v>17.5</v>
      </c>
      <c r="E124" s="143">
        <f>VLOOKUP($A124,'Data shares'!$C:$FA,124)</f>
        <v>0.35</v>
      </c>
      <c r="F124" s="143">
        <f>VLOOKUP($A124,'Data shares'!$C:$FA,125)</f>
        <v>0.33</v>
      </c>
      <c r="G124" s="143">
        <f>VLOOKUP($A124,'Data shares'!$C:$FA,127)*100</f>
        <v>6.0600000000000005</v>
      </c>
      <c r="H124" s="103">
        <f>VLOOKUP($A124,'OI(Volume)'!$A$7:$O$427,8)</f>
        <v>5134950</v>
      </c>
      <c r="I124" s="103">
        <f>VLOOKUP($A124,'OI(Volume)'!$A$7:$O$427,9)</f>
        <v>-601200</v>
      </c>
      <c r="J124" s="103">
        <f>VLOOKUP($A124,'OI(Volume)'!$A$7:$O$427,11)</f>
        <v>2411100</v>
      </c>
      <c r="K124" s="103">
        <f>VLOOKUP($A124,'OI(Volume)'!$A$7:$O$427,12)</f>
        <v>97200</v>
      </c>
      <c r="L124" s="103">
        <f>VLOOKUP($A124,'OI(Value)'!$A$7:$O$306,8,0)</f>
        <v>550</v>
      </c>
      <c r="M124" s="103">
        <f>VLOOKUP($A124,'OI(Value)'!$A$7:$O$306,9,0)</f>
        <v>-64</v>
      </c>
      <c r="N124" s="103">
        <f>VLOOKUP($A124,'OI(Value)'!$A$7:$O$306,11,0)</f>
        <v>258</v>
      </c>
      <c r="O124" s="103">
        <f>VLOOKUP($A124,'OI(Value)'!$A$7:$O$306,12,0)</f>
        <v>10</v>
      </c>
      <c r="P124" s="179">
        <f>VLOOKUP(A124,'OI(Value)'!A124:O325,8,0)</f>
        <v>550</v>
      </c>
      <c r="Q124" s="179">
        <f>VLOOKUP(A124,'OI(Value)'!A124:O325,9,0)</f>
        <v>-64</v>
      </c>
      <c r="R124" s="179">
        <f>VLOOKUP(A124,'OI(Value)'!A124:O325,11,0)</f>
        <v>258</v>
      </c>
      <c r="S124" s="179">
        <f>VLOOKUP(A124,'OI(Value)'!A124:O325,11,0)</f>
        <v>258</v>
      </c>
    </row>
    <row r="125" spans="1:19" x14ac:dyDescent="0.25">
      <c r="A125" s="105" t="str">
        <f>'Data shares'!C120</f>
        <v>LT</v>
      </c>
      <c r="B125" s="143">
        <f>VLOOKUP($A125,'Data shares'!$C:$FA,118)</f>
        <v>0.56000000000000005</v>
      </c>
      <c r="C125" s="143">
        <f>VLOOKUP($A125,'Data shares'!$C:$FA,119)</f>
        <v>0.56999999999999995</v>
      </c>
      <c r="D125" s="143">
        <f>VLOOKUP($A125,'Data shares'!$C:$FA,121)*100</f>
        <v>-1.7500000000000002</v>
      </c>
      <c r="E125" s="143">
        <f>VLOOKUP($A125,'Data shares'!$C:$FA,124)</f>
        <v>0.56000000000000005</v>
      </c>
      <c r="F125" s="143">
        <f>VLOOKUP($A125,'Data shares'!$C:$FA,125)</f>
        <v>0.68</v>
      </c>
      <c r="G125" s="143">
        <f>VLOOKUP($A125,'Data shares'!$C:$FA,127)*100</f>
        <v>-17.649999999999999</v>
      </c>
      <c r="H125" s="103">
        <f>VLOOKUP($A125,'OI(Volume)'!$A$7:$O$427,8)</f>
        <v>5701500</v>
      </c>
      <c r="I125" s="103">
        <f>VLOOKUP($A125,'OI(Volume)'!$A$7:$O$427,9)</f>
        <v>13650</v>
      </c>
      <c r="J125" s="103">
        <f>VLOOKUP($A125,'OI(Volume)'!$A$7:$O$427,11)</f>
        <v>3177650</v>
      </c>
      <c r="K125" s="103">
        <f>VLOOKUP($A125,'OI(Volume)'!$A$7:$O$427,12)</f>
        <v>-60550</v>
      </c>
      <c r="L125" s="103">
        <f>VLOOKUP($A125,'OI(Value)'!$A$7:$O$306,8,0)</f>
        <v>2304</v>
      </c>
      <c r="M125" s="103">
        <f>VLOOKUP($A125,'OI(Value)'!$A$7:$O$306,9,0)</f>
        <v>6</v>
      </c>
      <c r="N125" s="103">
        <f>VLOOKUP($A125,'OI(Value)'!$A$7:$O$306,11,0)</f>
        <v>1284</v>
      </c>
      <c r="O125" s="103">
        <f>VLOOKUP($A125,'OI(Value)'!$A$7:$O$306,12,0)</f>
        <v>-24</v>
      </c>
      <c r="P125" s="179">
        <f>VLOOKUP(A125,'OI(Value)'!A125:O326,8,0)</f>
        <v>2304</v>
      </c>
      <c r="Q125" s="179">
        <f>VLOOKUP(A125,'OI(Value)'!A125:O326,9,0)</f>
        <v>6</v>
      </c>
      <c r="R125" s="179">
        <f>VLOOKUP(A125,'OI(Value)'!A125:O326,11,0)</f>
        <v>1284</v>
      </c>
      <c r="S125" s="179">
        <f>VLOOKUP(A125,'OI(Value)'!A125:O326,11,0)</f>
        <v>1284</v>
      </c>
    </row>
    <row r="126" spans="1:19" x14ac:dyDescent="0.25">
      <c r="A126" s="105" t="str">
        <f>'Data shares'!C121</f>
        <v>LTF</v>
      </c>
      <c r="B126" s="143">
        <f>VLOOKUP($A126,'Data shares'!$C:$FA,118)</f>
        <v>0.64</v>
      </c>
      <c r="C126" s="143">
        <f>VLOOKUP($A126,'Data shares'!$C:$FA,119)</f>
        <v>0.64</v>
      </c>
      <c r="D126" s="143">
        <f>VLOOKUP($A126,'Data shares'!$C:$FA,121)*100</f>
        <v>0</v>
      </c>
      <c r="E126" s="143">
        <f>VLOOKUP($A126,'Data shares'!$C:$FA,124)</f>
        <v>0.61</v>
      </c>
      <c r="F126" s="143">
        <f>VLOOKUP($A126,'Data shares'!$C:$FA,125)</f>
        <v>0.47</v>
      </c>
      <c r="G126" s="143">
        <f>VLOOKUP($A126,'Data shares'!$C:$FA,127)*100</f>
        <v>29.79</v>
      </c>
      <c r="H126" s="103">
        <f>VLOOKUP($A126,'OI(Volume)'!$A$7:$O$427,8)</f>
        <v>37593358</v>
      </c>
      <c r="I126" s="103">
        <f>VLOOKUP($A126,'OI(Volume)'!$A$7:$O$427,9)</f>
        <v>134270</v>
      </c>
      <c r="J126" s="103">
        <f>VLOOKUP($A126,'OI(Volume)'!$A$7:$O$427,11)</f>
        <v>23980466</v>
      </c>
      <c r="K126" s="103">
        <f>VLOOKUP($A126,'OI(Volume)'!$A$7:$O$427,12)</f>
        <v>-82148</v>
      </c>
      <c r="L126" s="103">
        <f>VLOOKUP($A126,'OI(Value)'!$A$7:$O$306,8,0)</f>
        <v>1131</v>
      </c>
      <c r="M126" s="103">
        <f>VLOOKUP($A126,'OI(Value)'!$A$7:$O$306,9,0)</f>
        <v>4</v>
      </c>
      <c r="N126" s="103">
        <f>VLOOKUP($A126,'OI(Value)'!$A$7:$O$306,11,0)</f>
        <v>721</v>
      </c>
      <c r="O126" s="103">
        <f>VLOOKUP($A126,'OI(Value)'!$A$7:$O$306,12,0)</f>
        <v>-2</v>
      </c>
      <c r="P126" s="179">
        <f>VLOOKUP(A126,'OI(Value)'!A126:O327,8,0)</f>
        <v>1131</v>
      </c>
      <c r="Q126" s="179">
        <f>VLOOKUP(A126,'OI(Value)'!A126:O327,9,0)</f>
        <v>4</v>
      </c>
      <c r="R126" s="179">
        <f>VLOOKUP(A126,'OI(Value)'!A126:O327,11,0)</f>
        <v>721</v>
      </c>
      <c r="S126" s="179">
        <f>VLOOKUP(A126,'OI(Value)'!A126:O327,11,0)</f>
        <v>721</v>
      </c>
    </row>
    <row r="127" spans="1:19" x14ac:dyDescent="0.25">
      <c r="A127" s="105" t="str">
        <f>'Data shares'!C122</f>
        <v>LTIM</v>
      </c>
      <c r="B127" s="143">
        <f>VLOOKUP($A127,'Data shares'!$C:$FA,118)</f>
        <v>0.77</v>
      </c>
      <c r="C127" s="143">
        <f>VLOOKUP($A127,'Data shares'!$C:$FA,119)</f>
        <v>0.79</v>
      </c>
      <c r="D127" s="143">
        <f>VLOOKUP($A127,'Data shares'!$C:$FA,121)*100</f>
        <v>-2.5299999999999998</v>
      </c>
      <c r="E127" s="143">
        <f>VLOOKUP($A127,'Data shares'!$C:$FA,124)</f>
        <v>0.28000000000000003</v>
      </c>
      <c r="F127" s="143">
        <f>VLOOKUP($A127,'Data shares'!$C:$FA,125)</f>
        <v>0.31</v>
      </c>
      <c r="G127" s="143">
        <f>VLOOKUP($A127,'Data shares'!$C:$FA,127)*100</f>
        <v>-9.68</v>
      </c>
      <c r="H127" s="103">
        <f>VLOOKUP($A127,'OI(Volume)'!$A$7:$O$427,8)</f>
        <v>992550</v>
      </c>
      <c r="I127" s="103">
        <f>VLOOKUP($A127,'OI(Volume)'!$A$7:$O$427,9)</f>
        <v>69450</v>
      </c>
      <c r="J127" s="103">
        <f>VLOOKUP($A127,'OI(Volume)'!$A$7:$O$427,11)</f>
        <v>763500</v>
      </c>
      <c r="K127" s="103">
        <f>VLOOKUP($A127,'OI(Volume)'!$A$7:$O$427,12)</f>
        <v>34500</v>
      </c>
      <c r="L127" s="103">
        <f>VLOOKUP($A127,'OI(Value)'!$A$7:$O$306,8,0)</f>
        <v>622</v>
      </c>
      <c r="M127" s="103">
        <f>VLOOKUP($A127,'OI(Value)'!$A$7:$O$306,9,0)</f>
        <v>44</v>
      </c>
      <c r="N127" s="103">
        <f>VLOOKUP($A127,'OI(Value)'!$A$7:$O$306,11,0)</f>
        <v>479</v>
      </c>
      <c r="O127" s="103">
        <f>VLOOKUP($A127,'OI(Value)'!$A$7:$O$306,12,0)</f>
        <v>22</v>
      </c>
      <c r="P127" s="179">
        <f>VLOOKUP(A127,'OI(Value)'!A127:O328,8,0)</f>
        <v>622</v>
      </c>
      <c r="Q127" s="179">
        <f>VLOOKUP(A127,'OI(Value)'!A127:O328,9,0)</f>
        <v>44</v>
      </c>
      <c r="R127" s="179">
        <f>VLOOKUP(A127,'OI(Value)'!A127:O328,11,0)</f>
        <v>479</v>
      </c>
      <c r="S127" s="179">
        <f>VLOOKUP(A127,'OI(Value)'!A127:O328,11,0)</f>
        <v>479</v>
      </c>
    </row>
    <row r="128" spans="1:19" x14ac:dyDescent="0.25">
      <c r="A128" s="105" t="str">
        <f>'Data shares'!C123</f>
        <v>LUPIN</v>
      </c>
      <c r="B128" s="143">
        <f>VLOOKUP($A128,'Data shares'!$C:$FA,118)</f>
        <v>0.8</v>
      </c>
      <c r="C128" s="143">
        <f>VLOOKUP($A128,'Data shares'!$C:$FA,119)</f>
        <v>0.76</v>
      </c>
      <c r="D128" s="143">
        <f>VLOOKUP($A128,'Data shares'!$C:$FA,121)*100</f>
        <v>5.26</v>
      </c>
      <c r="E128" s="143">
        <f>VLOOKUP($A128,'Data shares'!$C:$FA,124)</f>
        <v>0.41</v>
      </c>
      <c r="F128" s="143">
        <f>VLOOKUP($A128,'Data shares'!$C:$FA,125)</f>
        <v>0.3</v>
      </c>
      <c r="G128" s="143">
        <f>VLOOKUP($A128,'Data shares'!$C:$FA,127)*100</f>
        <v>36.67</v>
      </c>
      <c r="H128" s="103">
        <f>VLOOKUP($A128,'OI(Volume)'!$A$7:$O$427,8)</f>
        <v>2922300</v>
      </c>
      <c r="I128" s="103">
        <f>VLOOKUP($A128,'OI(Volume)'!$A$7:$O$427,9)</f>
        <v>-84150</v>
      </c>
      <c r="J128" s="103">
        <f>VLOOKUP($A128,'OI(Volume)'!$A$7:$O$427,11)</f>
        <v>2332825</v>
      </c>
      <c r="K128" s="103">
        <f>VLOOKUP($A128,'OI(Volume)'!$A$7:$O$427,12)</f>
        <v>39100</v>
      </c>
      <c r="L128" s="103">
        <f>VLOOKUP($A128,'OI(Value)'!$A$7:$O$306,8,0)</f>
        <v>619</v>
      </c>
      <c r="M128" s="103">
        <f>VLOOKUP($A128,'OI(Value)'!$A$7:$O$306,9,0)</f>
        <v>-18</v>
      </c>
      <c r="N128" s="103">
        <f>VLOOKUP($A128,'OI(Value)'!$A$7:$O$306,11,0)</f>
        <v>494</v>
      </c>
      <c r="O128" s="103">
        <f>VLOOKUP($A128,'OI(Value)'!$A$7:$O$306,12,0)</f>
        <v>8</v>
      </c>
      <c r="P128" s="179">
        <f>VLOOKUP(A128,'OI(Value)'!A128:O329,8,0)</f>
        <v>619</v>
      </c>
      <c r="Q128" s="179">
        <f>VLOOKUP(A128,'OI(Value)'!A128:O329,9,0)</f>
        <v>-18</v>
      </c>
      <c r="R128" s="179">
        <f>VLOOKUP(A128,'OI(Value)'!A128:O329,11,0)</f>
        <v>494</v>
      </c>
      <c r="S128" s="179">
        <f>VLOOKUP(A128,'OI(Value)'!A128:O329,11,0)</f>
        <v>494</v>
      </c>
    </row>
    <row r="129" spans="1:19" x14ac:dyDescent="0.25">
      <c r="A129" s="105" t="str">
        <f>'Data shares'!C124</f>
        <v>M&amp;M</v>
      </c>
      <c r="B129" s="143">
        <f>VLOOKUP($A129,'Data shares'!$C:$FA,118)</f>
        <v>0.54</v>
      </c>
      <c r="C129" s="143">
        <f>VLOOKUP($A129,'Data shares'!$C:$FA,119)</f>
        <v>0.54</v>
      </c>
      <c r="D129" s="143">
        <f>VLOOKUP($A129,'Data shares'!$C:$FA,121)*100</f>
        <v>0</v>
      </c>
      <c r="E129" s="143">
        <f>VLOOKUP($A129,'Data shares'!$C:$FA,124)</f>
        <v>0.7</v>
      </c>
      <c r="F129" s="143">
        <f>VLOOKUP($A129,'Data shares'!$C:$FA,125)</f>
        <v>0.51</v>
      </c>
      <c r="G129" s="143">
        <f>VLOOKUP($A129,'Data shares'!$C:$FA,127)*100</f>
        <v>37.25</v>
      </c>
      <c r="H129" s="103">
        <f>VLOOKUP($A129,'OI(Volume)'!$A$7:$O$427,8)</f>
        <v>6836600</v>
      </c>
      <c r="I129" s="103">
        <f>VLOOKUP($A129,'OI(Volume)'!$A$7:$O$427,9)</f>
        <v>150000</v>
      </c>
      <c r="J129" s="103">
        <f>VLOOKUP($A129,'OI(Volume)'!$A$7:$O$427,11)</f>
        <v>3686800</v>
      </c>
      <c r="K129" s="103">
        <f>VLOOKUP($A129,'OI(Volume)'!$A$7:$O$427,12)</f>
        <v>109000</v>
      </c>
      <c r="L129" s="103">
        <f>VLOOKUP($A129,'OI(Value)'!$A$7:$O$306,8,0)</f>
        <v>2456</v>
      </c>
      <c r="M129" s="103">
        <f>VLOOKUP($A129,'OI(Value)'!$A$7:$O$306,9,0)</f>
        <v>54</v>
      </c>
      <c r="N129" s="103">
        <f>VLOOKUP($A129,'OI(Value)'!$A$7:$O$306,11,0)</f>
        <v>1325</v>
      </c>
      <c r="O129" s="103">
        <f>VLOOKUP($A129,'OI(Value)'!$A$7:$O$306,12,0)</f>
        <v>39</v>
      </c>
      <c r="P129" s="179">
        <f>VLOOKUP(A129,'OI(Value)'!A129:O330,8,0)</f>
        <v>2456</v>
      </c>
      <c r="Q129" s="179">
        <f>VLOOKUP(A129,'OI(Value)'!A129:O330,9,0)</f>
        <v>54</v>
      </c>
      <c r="R129" s="179">
        <f>VLOOKUP(A129,'OI(Value)'!A129:O330,11,0)</f>
        <v>1325</v>
      </c>
      <c r="S129" s="179">
        <f>VLOOKUP(A129,'OI(Value)'!A129:O330,11,0)</f>
        <v>1325</v>
      </c>
    </row>
    <row r="130" spans="1:19" x14ac:dyDescent="0.25">
      <c r="A130" s="105" t="str">
        <f>'Data shares'!C125</f>
        <v>MANAPPURAM</v>
      </c>
      <c r="B130" s="143">
        <f>VLOOKUP($A130,'Data shares'!$C:$FA,118)</f>
        <v>0.59</v>
      </c>
      <c r="C130" s="143">
        <f>VLOOKUP($A130,'Data shares'!$C:$FA,119)</f>
        <v>0.66</v>
      </c>
      <c r="D130" s="143">
        <f>VLOOKUP($A130,'Data shares'!$C:$FA,121)*100</f>
        <v>-10.61</v>
      </c>
      <c r="E130" s="143">
        <f>VLOOKUP($A130,'Data shares'!$C:$FA,124)</f>
        <v>0.35</v>
      </c>
      <c r="F130" s="143">
        <f>VLOOKUP($A130,'Data shares'!$C:$FA,125)</f>
        <v>0.4</v>
      </c>
      <c r="G130" s="143">
        <f>VLOOKUP($A130,'Data shares'!$C:$FA,127)*100</f>
        <v>-12.5</v>
      </c>
      <c r="H130" s="103">
        <f>VLOOKUP($A130,'OI(Volume)'!$A$7:$O$427,8)</f>
        <v>20064000</v>
      </c>
      <c r="I130" s="103">
        <f>VLOOKUP($A130,'OI(Volume)'!$A$7:$O$427,9)</f>
        <v>2349000</v>
      </c>
      <c r="J130" s="103">
        <f>VLOOKUP($A130,'OI(Volume)'!$A$7:$O$427,11)</f>
        <v>11757000</v>
      </c>
      <c r="K130" s="103">
        <f>VLOOKUP($A130,'OI(Volume)'!$A$7:$O$427,12)</f>
        <v>12000</v>
      </c>
      <c r="L130" s="103">
        <f>VLOOKUP($A130,'OI(Value)'!$A$7:$O$306,8,0)</f>
        <v>577</v>
      </c>
      <c r="M130" s="103">
        <f>VLOOKUP($A130,'OI(Value)'!$A$7:$O$306,9,0)</f>
        <v>68</v>
      </c>
      <c r="N130" s="103">
        <f>VLOOKUP($A130,'OI(Value)'!$A$7:$O$306,11,0)</f>
        <v>338</v>
      </c>
      <c r="O130" s="103">
        <f>VLOOKUP($A130,'OI(Value)'!$A$7:$O$306,12,0)</f>
        <v>0</v>
      </c>
      <c r="P130" s="179">
        <f>VLOOKUP(A130,'OI(Value)'!A130:O331,8,0)</f>
        <v>577</v>
      </c>
      <c r="Q130" s="179">
        <f>VLOOKUP(A130,'OI(Value)'!A130:O331,9,0)</f>
        <v>68</v>
      </c>
      <c r="R130" s="179">
        <f>VLOOKUP(A130,'OI(Value)'!A130:O331,11,0)</f>
        <v>338</v>
      </c>
      <c r="S130" s="179">
        <f>VLOOKUP(A130,'OI(Value)'!A130:O331,11,0)</f>
        <v>338</v>
      </c>
    </row>
    <row r="131" spans="1:19" x14ac:dyDescent="0.25">
      <c r="A131" s="105" t="str">
        <f>'Data shares'!C126</f>
        <v>MANKIND</v>
      </c>
      <c r="B131" s="143">
        <f>VLOOKUP($A131,'Data shares'!$C:$FA,118)</f>
        <v>0.53</v>
      </c>
      <c r="C131" s="143">
        <f>VLOOKUP($A131,'Data shares'!$C:$FA,119)</f>
        <v>0.48</v>
      </c>
      <c r="D131" s="143">
        <f>VLOOKUP($A131,'Data shares'!$C:$FA,121)*100</f>
        <v>10.42</v>
      </c>
      <c r="E131" s="143">
        <f>VLOOKUP($A131,'Data shares'!$C:$FA,124)</f>
        <v>0.34</v>
      </c>
      <c r="F131" s="143">
        <f>VLOOKUP($A131,'Data shares'!$C:$FA,125)</f>
        <v>0.48</v>
      </c>
      <c r="G131" s="143">
        <f>VLOOKUP($A131,'Data shares'!$C:$FA,127)*100</f>
        <v>-29.17</v>
      </c>
      <c r="H131" s="103">
        <f>VLOOKUP($A131,'OI(Volume)'!$A$7:$O$427,8)</f>
        <v>1050525</v>
      </c>
      <c r="I131" s="103">
        <f>VLOOKUP($A131,'OI(Volume)'!$A$7:$O$427,9)</f>
        <v>-128475</v>
      </c>
      <c r="J131" s="103">
        <f>VLOOKUP($A131,'OI(Volume)'!$A$7:$O$427,11)</f>
        <v>559125</v>
      </c>
      <c r="K131" s="103">
        <f>VLOOKUP($A131,'OI(Volume)'!$A$7:$O$427,12)</f>
        <v>-9000</v>
      </c>
      <c r="L131" s="103">
        <f>VLOOKUP($A131,'OI(Value)'!$A$7:$O$306,8,0)</f>
        <v>226</v>
      </c>
      <c r="M131" s="103">
        <f>VLOOKUP($A131,'OI(Value)'!$A$7:$O$306,9,0)</f>
        <v>-28</v>
      </c>
      <c r="N131" s="103">
        <f>VLOOKUP($A131,'OI(Value)'!$A$7:$O$306,11,0)</f>
        <v>120</v>
      </c>
      <c r="O131" s="103">
        <f>VLOOKUP($A131,'OI(Value)'!$A$7:$O$306,12,0)</f>
        <v>-2</v>
      </c>
      <c r="P131" s="179">
        <f>VLOOKUP(A131,'OI(Value)'!A131:O332,8,0)</f>
        <v>226</v>
      </c>
      <c r="Q131" s="179">
        <f>VLOOKUP(A131,'OI(Value)'!A131:O332,9,0)</f>
        <v>-28</v>
      </c>
      <c r="R131" s="179">
        <f>VLOOKUP(A131,'OI(Value)'!A131:O332,11,0)</f>
        <v>120</v>
      </c>
      <c r="S131" s="179">
        <f>VLOOKUP(A131,'OI(Value)'!A131:O332,11,0)</f>
        <v>120</v>
      </c>
    </row>
    <row r="132" spans="1:19" x14ac:dyDescent="0.25">
      <c r="A132" s="105" t="str">
        <f>'Data shares'!C127</f>
        <v>MARICO</v>
      </c>
      <c r="B132" s="143">
        <f>VLOOKUP($A132,'Data shares'!$C:$FA,118)</f>
        <v>0.65</v>
      </c>
      <c r="C132" s="143">
        <f>VLOOKUP($A132,'Data shares'!$C:$FA,119)</f>
        <v>0.61</v>
      </c>
      <c r="D132" s="143">
        <f>VLOOKUP($A132,'Data shares'!$C:$FA,121)*100</f>
        <v>6.5600000000000005</v>
      </c>
      <c r="E132" s="143">
        <f>VLOOKUP($A132,'Data shares'!$C:$FA,124)</f>
        <v>0.41</v>
      </c>
      <c r="F132" s="143">
        <f>VLOOKUP($A132,'Data shares'!$C:$FA,125)</f>
        <v>0.31</v>
      </c>
      <c r="G132" s="143">
        <f>VLOOKUP($A132,'Data shares'!$C:$FA,127)*100</f>
        <v>32.26</v>
      </c>
      <c r="H132" s="103">
        <f>VLOOKUP($A132,'OI(Volume)'!$A$7:$O$427,8)</f>
        <v>6104400</v>
      </c>
      <c r="I132" s="103">
        <f>VLOOKUP($A132,'OI(Volume)'!$A$7:$O$427,9)</f>
        <v>-416400</v>
      </c>
      <c r="J132" s="103">
        <f>VLOOKUP($A132,'OI(Volume)'!$A$7:$O$427,11)</f>
        <v>3951600</v>
      </c>
      <c r="K132" s="103">
        <f>VLOOKUP($A132,'OI(Volume)'!$A$7:$O$427,12)</f>
        <v>1200</v>
      </c>
      <c r="L132" s="103">
        <f>VLOOKUP($A132,'OI(Value)'!$A$7:$O$306,8,0)</f>
        <v>454</v>
      </c>
      <c r="M132" s="103">
        <f>VLOOKUP($A132,'OI(Value)'!$A$7:$O$306,9,0)</f>
        <v>-31</v>
      </c>
      <c r="N132" s="103">
        <f>VLOOKUP($A132,'OI(Value)'!$A$7:$O$306,11,0)</f>
        <v>294</v>
      </c>
      <c r="O132" s="103">
        <f>VLOOKUP($A132,'OI(Value)'!$A$7:$O$306,12,0)</f>
        <v>0</v>
      </c>
      <c r="P132" s="179">
        <f>VLOOKUP(A132,'OI(Value)'!A132:O333,8,0)</f>
        <v>454</v>
      </c>
      <c r="Q132" s="179">
        <f>VLOOKUP(A132,'OI(Value)'!A132:O333,9,0)</f>
        <v>-31</v>
      </c>
      <c r="R132" s="179">
        <f>VLOOKUP(A132,'OI(Value)'!A132:O333,11,0)</f>
        <v>294</v>
      </c>
      <c r="S132" s="179">
        <f>VLOOKUP(A132,'OI(Value)'!A132:O333,11,0)</f>
        <v>294</v>
      </c>
    </row>
    <row r="133" spans="1:19" x14ac:dyDescent="0.25">
      <c r="A133" s="105" t="str">
        <f>'Data shares'!C128</f>
        <v>MARUTI</v>
      </c>
      <c r="B133" s="143">
        <f>VLOOKUP($A133,'Data shares'!$C:$FA,118)</f>
        <v>0.92</v>
      </c>
      <c r="C133" s="143">
        <f>VLOOKUP($A133,'Data shares'!$C:$FA,119)</f>
        <v>0.95</v>
      </c>
      <c r="D133" s="143">
        <f>VLOOKUP($A133,'Data shares'!$C:$FA,121)*100</f>
        <v>-3.16</v>
      </c>
      <c r="E133" s="143">
        <f>VLOOKUP($A133,'Data shares'!$C:$FA,124)</f>
        <v>1.1000000000000001</v>
      </c>
      <c r="F133" s="143">
        <f>VLOOKUP($A133,'Data shares'!$C:$FA,125)</f>
        <v>0.77</v>
      </c>
      <c r="G133" s="143">
        <f>VLOOKUP($A133,'Data shares'!$C:$FA,127)*100</f>
        <v>42.86</v>
      </c>
      <c r="H133" s="103">
        <f>VLOOKUP($A133,'OI(Volume)'!$A$7:$O$427,8)</f>
        <v>1599950</v>
      </c>
      <c r="I133" s="103">
        <f>VLOOKUP($A133,'OI(Volume)'!$A$7:$O$427,9)</f>
        <v>-14150</v>
      </c>
      <c r="J133" s="103">
        <f>VLOOKUP($A133,'OI(Volume)'!$A$7:$O$427,11)</f>
        <v>1476950</v>
      </c>
      <c r="K133" s="103">
        <f>VLOOKUP($A133,'OI(Volume)'!$A$7:$O$427,12)</f>
        <v>-56800</v>
      </c>
      <c r="L133" s="103">
        <f>VLOOKUP($A133,'OI(Value)'!$A$7:$O$306,8,0)</f>
        <v>2619</v>
      </c>
      <c r="M133" s="103">
        <f>VLOOKUP($A133,'OI(Value)'!$A$7:$O$306,9,0)</f>
        <v>-23</v>
      </c>
      <c r="N133" s="103">
        <f>VLOOKUP($A133,'OI(Value)'!$A$7:$O$306,11,0)</f>
        <v>2417</v>
      </c>
      <c r="O133" s="103">
        <f>VLOOKUP($A133,'OI(Value)'!$A$7:$O$306,12,0)</f>
        <v>-93</v>
      </c>
      <c r="P133" s="179">
        <f>VLOOKUP(A133,'OI(Value)'!A133:O334,8,0)</f>
        <v>2619</v>
      </c>
      <c r="Q133" s="179">
        <f>VLOOKUP(A133,'OI(Value)'!A133:O334,9,0)</f>
        <v>-23</v>
      </c>
      <c r="R133" s="179">
        <f>VLOOKUP(A133,'OI(Value)'!A133:O334,11,0)</f>
        <v>2417</v>
      </c>
      <c r="S133" s="179">
        <f>VLOOKUP(A133,'OI(Value)'!A133:O334,11,0)</f>
        <v>2417</v>
      </c>
    </row>
    <row r="134" spans="1:19" x14ac:dyDescent="0.25">
      <c r="A134" s="105" t="str">
        <f>'Data shares'!C129</f>
        <v>MAXHEALTH</v>
      </c>
      <c r="B134" s="143">
        <f>VLOOKUP($A134,'Data shares'!$C:$FA,118)</f>
        <v>0.57999999999999996</v>
      </c>
      <c r="C134" s="143">
        <f>VLOOKUP($A134,'Data shares'!$C:$FA,119)</f>
        <v>0.53</v>
      </c>
      <c r="D134" s="143">
        <f>VLOOKUP($A134,'Data shares'!$C:$FA,121)*100</f>
        <v>9.43</v>
      </c>
      <c r="E134" s="143">
        <f>VLOOKUP($A134,'Data shares'!$C:$FA,124)</f>
        <v>0.39</v>
      </c>
      <c r="F134" s="143">
        <f>VLOOKUP($A134,'Data shares'!$C:$FA,125)</f>
        <v>1.31</v>
      </c>
      <c r="G134" s="143">
        <f>VLOOKUP($A134,'Data shares'!$C:$FA,127)*100</f>
        <v>-70.23</v>
      </c>
      <c r="H134" s="103">
        <f>VLOOKUP($A134,'OI(Volume)'!$A$7:$O$427,8)</f>
        <v>6305775</v>
      </c>
      <c r="I134" s="103">
        <f>VLOOKUP($A134,'OI(Volume)'!$A$7:$O$427,9)</f>
        <v>-999600</v>
      </c>
      <c r="J134" s="103">
        <f>VLOOKUP($A134,'OI(Volume)'!$A$7:$O$427,11)</f>
        <v>3628800</v>
      </c>
      <c r="K134" s="103">
        <f>VLOOKUP($A134,'OI(Volume)'!$A$7:$O$427,12)</f>
        <v>-218400</v>
      </c>
      <c r="L134" s="103">
        <f>VLOOKUP($A134,'OI(Value)'!$A$7:$O$306,8,0)</f>
        <v>663</v>
      </c>
      <c r="M134" s="103">
        <f>VLOOKUP($A134,'OI(Value)'!$A$7:$O$306,9,0)</f>
        <v>-105</v>
      </c>
      <c r="N134" s="103">
        <f>VLOOKUP($A134,'OI(Value)'!$A$7:$O$306,11,0)</f>
        <v>382</v>
      </c>
      <c r="O134" s="103">
        <f>VLOOKUP($A134,'OI(Value)'!$A$7:$O$306,12,0)</f>
        <v>-23</v>
      </c>
      <c r="P134" s="179">
        <f>VLOOKUP(A134,'OI(Value)'!A134:O335,8,0)</f>
        <v>663</v>
      </c>
      <c r="Q134" s="179">
        <f>VLOOKUP(A134,'OI(Value)'!A134:O335,9,0)</f>
        <v>-105</v>
      </c>
      <c r="R134" s="179">
        <f>VLOOKUP(A134,'OI(Value)'!A134:O335,11,0)</f>
        <v>382</v>
      </c>
      <c r="S134" s="179">
        <f>VLOOKUP(A134,'OI(Value)'!A134:O335,11,0)</f>
        <v>382</v>
      </c>
    </row>
    <row r="135" spans="1:19" x14ac:dyDescent="0.25">
      <c r="A135" s="105" t="str">
        <f>'Data shares'!C130</f>
        <v>MAZDOCK</v>
      </c>
      <c r="B135" s="143">
        <f>VLOOKUP($A135,'Data shares'!$C:$FA,118)</f>
        <v>0.45</v>
      </c>
      <c r="C135" s="143">
        <f>VLOOKUP($A135,'Data shares'!$C:$FA,119)</f>
        <v>0.43</v>
      </c>
      <c r="D135" s="143">
        <f>VLOOKUP($A135,'Data shares'!$C:$FA,121)*100</f>
        <v>4.6500000000000004</v>
      </c>
      <c r="E135" s="143">
        <f>VLOOKUP($A135,'Data shares'!$C:$FA,124)</f>
        <v>0.47</v>
      </c>
      <c r="F135" s="143">
        <f>VLOOKUP($A135,'Data shares'!$C:$FA,125)</f>
        <v>0.6</v>
      </c>
      <c r="G135" s="143">
        <f>VLOOKUP($A135,'Data shares'!$C:$FA,127)*100</f>
        <v>-21.67</v>
      </c>
      <c r="H135" s="103">
        <f>VLOOKUP($A135,'OI(Volume)'!$A$7:$O$427,8)</f>
        <v>4116200</v>
      </c>
      <c r="I135" s="103">
        <f>VLOOKUP($A135,'OI(Volume)'!$A$7:$O$427,9)</f>
        <v>-90700</v>
      </c>
      <c r="J135" s="103">
        <f>VLOOKUP($A135,'OI(Volume)'!$A$7:$O$427,11)</f>
        <v>1840750</v>
      </c>
      <c r="K135" s="103">
        <f>VLOOKUP($A135,'OI(Volume)'!$A$7:$O$427,12)</f>
        <v>52150</v>
      </c>
      <c r="L135" s="103">
        <f>VLOOKUP($A135,'OI(Value)'!$A$7:$O$306,8,0)</f>
        <v>974</v>
      </c>
      <c r="M135" s="103">
        <f>VLOOKUP($A135,'OI(Value)'!$A$7:$O$306,9,0)</f>
        <v>-21</v>
      </c>
      <c r="N135" s="103">
        <f>VLOOKUP($A135,'OI(Value)'!$A$7:$O$306,11,0)</f>
        <v>436</v>
      </c>
      <c r="O135" s="103">
        <f>VLOOKUP($A135,'OI(Value)'!$A$7:$O$306,12,0)</f>
        <v>12</v>
      </c>
      <c r="P135" s="179">
        <f>VLOOKUP(A135,'OI(Value)'!A135:O336,8,0)</f>
        <v>974</v>
      </c>
      <c r="Q135" s="179">
        <f>VLOOKUP(A135,'OI(Value)'!A135:O336,9,0)</f>
        <v>-21</v>
      </c>
      <c r="R135" s="179">
        <f>VLOOKUP(A135,'OI(Value)'!A135:O336,11,0)</f>
        <v>436</v>
      </c>
      <c r="S135" s="179">
        <f>VLOOKUP(A135,'OI(Value)'!A135:O336,11,0)</f>
        <v>436</v>
      </c>
    </row>
    <row r="136" spans="1:19" x14ac:dyDescent="0.25">
      <c r="A136" s="105" t="str">
        <f>'Data shares'!C131</f>
        <v>MCX</v>
      </c>
      <c r="B136" s="143">
        <f>VLOOKUP($A136,'Data shares'!$C:$FA,118)</f>
        <v>0.67</v>
      </c>
      <c r="C136" s="143">
        <f>VLOOKUP($A136,'Data shares'!$C:$FA,119)</f>
        <v>0.64</v>
      </c>
      <c r="D136" s="143">
        <f>VLOOKUP($A136,'Data shares'!$C:$FA,121)*100</f>
        <v>4.6899999999999995</v>
      </c>
      <c r="E136" s="143">
        <f>VLOOKUP($A136,'Data shares'!$C:$FA,124)</f>
        <v>0.67</v>
      </c>
      <c r="F136" s="143">
        <f>VLOOKUP($A136,'Data shares'!$C:$FA,125)</f>
        <v>0.65</v>
      </c>
      <c r="G136" s="143">
        <f>VLOOKUP($A136,'Data shares'!$C:$FA,127)*100</f>
        <v>3.08</v>
      </c>
      <c r="H136" s="103">
        <f>VLOOKUP($A136,'OI(Volume)'!$A$7:$O$427,8)</f>
        <v>2907625</v>
      </c>
      <c r="I136" s="103">
        <f>VLOOKUP($A136,'OI(Volume)'!$A$7:$O$427,9)</f>
        <v>-234375</v>
      </c>
      <c r="J136" s="103">
        <f>VLOOKUP($A136,'OI(Volume)'!$A$7:$O$427,11)</f>
        <v>1949000</v>
      </c>
      <c r="K136" s="103">
        <f>VLOOKUP($A136,'OI(Volume)'!$A$7:$O$427,12)</f>
        <v>-46750</v>
      </c>
      <c r="L136" s="103">
        <f>VLOOKUP($A136,'OI(Value)'!$A$7:$O$306,8,0)</f>
        <v>2964</v>
      </c>
      <c r="M136" s="103">
        <f>VLOOKUP($A136,'OI(Value)'!$A$7:$O$306,9,0)</f>
        <v>-239</v>
      </c>
      <c r="N136" s="103">
        <f>VLOOKUP($A136,'OI(Value)'!$A$7:$O$306,11,0)</f>
        <v>1987</v>
      </c>
      <c r="O136" s="103">
        <f>VLOOKUP($A136,'OI(Value)'!$A$7:$O$306,12,0)</f>
        <v>-48</v>
      </c>
      <c r="P136" s="179">
        <f>VLOOKUP(A136,'OI(Value)'!A136:O337,8,0)</f>
        <v>2964</v>
      </c>
      <c r="Q136" s="179">
        <f>VLOOKUP(A136,'OI(Value)'!A136:O337,9,0)</f>
        <v>-239</v>
      </c>
      <c r="R136" s="179">
        <f>VLOOKUP(A136,'OI(Value)'!A136:O337,11,0)</f>
        <v>1987</v>
      </c>
      <c r="S136" s="179">
        <f>VLOOKUP(A136,'OI(Value)'!A136:O337,11,0)</f>
        <v>1987</v>
      </c>
    </row>
    <row r="137" spans="1:19" x14ac:dyDescent="0.25">
      <c r="A137" s="105" t="str">
        <f>'Data shares'!C132</f>
        <v>MFSL</v>
      </c>
      <c r="B137" s="143">
        <f>VLOOKUP($A137,'Data shares'!$C:$FA,118)</f>
        <v>0.55000000000000004</v>
      </c>
      <c r="C137" s="143">
        <f>VLOOKUP($A137,'Data shares'!$C:$FA,119)</f>
        <v>0.53</v>
      </c>
      <c r="D137" s="143">
        <f>VLOOKUP($A137,'Data shares'!$C:$FA,121)*100</f>
        <v>3.7699999999999996</v>
      </c>
      <c r="E137" s="143">
        <f>VLOOKUP($A137,'Data shares'!$C:$FA,124)</f>
        <v>0.5</v>
      </c>
      <c r="F137" s="143">
        <f>VLOOKUP($A137,'Data shares'!$C:$FA,125)</f>
        <v>0.61</v>
      </c>
      <c r="G137" s="143">
        <f>VLOOKUP($A137,'Data shares'!$C:$FA,127)*100</f>
        <v>-18.029999999999998</v>
      </c>
      <c r="H137" s="103">
        <f>VLOOKUP($A137,'OI(Volume)'!$A$7:$O$427,8)</f>
        <v>1829200</v>
      </c>
      <c r="I137" s="103">
        <f>VLOOKUP($A137,'OI(Volume)'!$A$7:$O$427,9)</f>
        <v>-35600</v>
      </c>
      <c r="J137" s="103">
        <f>VLOOKUP($A137,'OI(Volume)'!$A$7:$O$427,11)</f>
        <v>1010800</v>
      </c>
      <c r="K137" s="103">
        <f>VLOOKUP($A137,'OI(Volume)'!$A$7:$O$427,12)</f>
        <v>16800</v>
      </c>
      <c r="L137" s="103">
        <f>VLOOKUP($A137,'OI(Value)'!$A$7:$O$306,8,0)</f>
        <v>309</v>
      </c>
      <c r="M137" s="103">
        <f>VLOOKUP($A137,'OI(Value)'!$A$7:$O$306,9,0)</f>
        <v>-6</v>
      </c>
      <c r="N137" s="103">
        <f>VLOOKUP($A137,'OI(Value)'!$A$7:$O$306,11,0)</f>
        <v>171</v>
      </c>
      <c r="O137" s="103">
        <f>VLOOKUP($A137,'OI(Value)'!$A$7:$O$306,12,0)</f>
        <v>3</v>
      </c>
      <c r="P137" s="179">
        <f>VLOOKUP(A137,'OI(Value)'!A137:O338,8,0)</f>
        <v>309</v>
      </c>
      <c r="Q137" s="179">
        <f>VLOOKUP(A137,'OI(Value)'!A137:O338,9,0)</f>
        <v>-6</v>
      </c>
      <c r="R137" s="179">
        <f>VLOOKUP(A137,'OI(Value)'!A137:O338,11,0)</f>
        <v>171</v>
      </c>
      <c r="S137" s="179">
        <f>VLOOKUP(A137,'OI(Value)'!A137:O338,11,0)</f>
        <v>171</v>
      </c>
    </row>
    <row r="138" spans="1:19" x14ac:dyDescent="0.25">
      <c r="A138" s="105" t="str">
        <f>'Data shares'!C133</f>
        <v>MIDCPNIFTY</v>
      </c>
      <c r="B138" s="143">
        <f>VLOOKUP($A138,'Data shares'!$C:$FA,118)</f>
        <v>0.93</v>
      </c>
      <c r="C138" s="143">
        <f>VLOOKUP($A138,'Data shares'!$C:$FA,119)</f>
        <v>0.86</v>
      </c>
      <c r="D138" s="143">
        <f>VLOOKUP($A138,'Data shares'!$C:$FA,121)*100</f>
        <v>8.14</v>
      </c>
      <c r="E138" s="143">
        <f>VLOOKUP($A138,'Data shares'!$C:$FA,124)</f>
        <v>0.9</v>
      </c>
      <c r="F138" s="143">
        <f>VLOOKUP($A138,'Data shares'!$C:$FA,125)</f>
        <v>0.75</v>
      </c>
      <c r="G138" s="143">
        <f>VLOOKUP($A138,'Data shares'!$C:$FA,127)*100</f>
        <v>20</v>
      </c>
      <c r="H138" s="103">
        <f>VLOOKUP($A138,'OI(Volume)'!$A$7:$O$427,8)</f>
        <v>10325440</v>
      </c>
      <c r="I138" s="103">
        <f>VLOOKUP($A138,'OI(Volume)'!$A$7:$O$427,9)</f>
        <v>-363780</v>
      </c>
      <c r="J138" s="103">
        <f>VLOOKUP($A138,'OI(Volume)'!$A$7:$O$427,11)</f>
        <v>9573220</v>
      </c>
      <c r="K138" s="103">
        <f>VLOOKUP($A138,'OI(Volume)'!$A$7:$O$427,12)</f>
        <v>376920</v>
      </c>
      <c r="L138" s="103">
        <f>VLOOKUP($A138,'OI(Value)'!$A$7:$O$306,8,0)</f>
        <v>14226</v>
      </c>
      <c r="M138" s="103">
        <f>VLOOKUP($A138,'OI(Value)'!$A$7:$O$306,9,0)</f>
        <v>-501</v>
      </c>
      <c r="N138" s="103">
        <f>VLOOKUP($A138,'OI(Value)'!$A$7:$O$306,11,0)</f>
        <v>13189</v>
      </c>
      <c r="O138" s="103">
        <f>VLOOKUP($A138,'OI(Value)'!$A$7:$O$306,12,0)</f>
        <v>519</v>
      </c>
      <c r="P138" s="179">
        <f>VLOOKUP(A138,'OI(Value)'!A138:O339,8,0)</f>
        <v>14226</v>
      </c>
      <c r="Q138" s="179">
        <f>VLOOKUP(A138,'OI(Value)'!A138:O339,9,0)</f>
        <v>-501</v>
      </c>
      <c r="R138" s="179">
        <f>VLOOKUP(A138,'OI(Value)'!A138:O339,11,0)</f>
        <v>13189</v>
      </c>
      <c r="S138" s="179">
        <f>VLOOKUP(A138,'OI(Value)'!A138:O339,11,0)</f>
        <v>13189</v>
      </c>
    </row>
    <row r="139" spans="1:19" x14ac:dyDescent="0.25">
      <c r="A139" s="105" t="str">
        <f>'Data shares'!C134</f>
        <v>MOTHERSON</v>
      </c>
      <c r="B139" s="143">
        <f>VLOOKUP($A139,'Data shares'!$C:$FA,118)</f>
        <v>0.68</v>
      </c>
      <c r="C139" s="143">
        <f>VLOOKUP($A139,'Data shares'!$C:$FA,119)</f>
        <v>0.79</v>
      </c>
      <c r="D139" s="143">
        <f>VLOOKUP($A139,'Data shares'!$C:$FA,121)*100</f>
        <v>-13.919999999999998</v>
      </c>
      <c r="E139" s="143">
        <f>VLOOKUP($A139,'Data shares'!$C:$FA,124)</f>
        <v>0.81</v>
      </c>
      <c r="F139" s="143">
        <f>VLOOKUP($A139,'Data shares'!$C:$FA,125)</f>
        <v>0.46</v>
      </c>
      <c r="G139" s="143">
        <f>VLOOKUP($A139,'Data shares'!$C:$FA,127)*100</f>
        <v>76.09</v>
      </c>
      <c r="H139" s="103">
        <f>VLOOKUP($A139,'OI(Volume)'!$A$7:$O$427,8)</f>
        <v>59365950</v>
      </c>
      <c r="I139" s="103">
        <f>VLOOKUP($A139,'OI(Volume)'!$A$7:$O$427,9)</f>
        <v>-1691250</v>
      </c>
      <c r="J139" s="103">
        <f>VLOOKUP($A139,'OI(Volume)'!$A$7:$O$427,11)</f>
        <v>40571550</v>
      </c>
      <c r="K139" s="103">
        <f>VLOOKUP($A139,'OI(Volume)'!$A$7:$O$427,12)</f>
        <v>-7367700</v>
      </c>
      <c r="L139" s="103">
        <f>VLOOKUP($A139,'OI(Value)'!$A$7:$O$306,8,0)</f>
        <v>697</v>
      </c>
      <c r="M139" s="103">
        <f>VLOOKUP($A139,'OI(Value)'!$A$7:$O$306,9,0)</f>
        <v>-20</v>
      </c>
      <c r="N139" s="103">
        <f>VLOOKUP($A139,'OI(Value)'!$A$7:$O$306,11,0)</f>
        <v>476</v>
      </c>
      <c r="O139" s="103">
        <f>VLOOKUP($A139,'OI(Value)'!$A$7:$O$306,12,0)</f>
        <v>-86</v>
      </c>
      <c r="P139" s="179">
        <f>VLOOKUP(A139,'OI(Value)'!A139:O340,8,0)</f>
        <v>697</v>
      </c>
      <c r="Q139" s="179">
        <f>VLOOKUP(A139,'OI(Value)'!A139:O340,9,0)</f>
        <v>-20</v>
      </c>
      <c r="R139" s="179">
        <f>VLOOKUP(A139,'OI(Value)'!A139:O340,11,0)</f>
        <v>476</v>
      </c>
      <c r="S139" s="179">
        <f>VLOOKUP(A139,'OI(Value)'!A139:O340,11,0)</f>
        <v>476</v>
      </c>
    </row>
    <row r="140" spans="1:19" x14ac:dyDescent="0.25">
      <c r="A140" s="105" t="str">
        <f>'Data shares'!C135</f>
        <v>MPHASIS</v>
      </c>
      <c r="B140" s="143">
        <f>VLOOKUP($A140,'Data shares'!$C:$FA,118)</f>
        <v>0.75</v>
      </c>
      <c r="C140" s="143">
        <f>VLOOKUP($A140,'Data shares'!$C:$FA,119)</f>
        <v>0.77</v>
      </c>
      <c r="D140" s="143">
        <f>VLOOKUP($A140,'Data shares'!$C:$FA,121)*100</f>
        <v>-2.6</v>
      </c>
      <c r="E140" s="143">
        <f>VLOOKUP($A140,'Data shares'!$C:$FA,124)</f>
        <v>0.22</v>
      </c>
      <c r="F140" s="143">
        <f>VLOOKUP($A140,'Data shares'!$C:$FA,125)</f>
        <v>0.28000000000000003</v>
      </c>
      <c r="G140" s="143">
        <f>VLOOKUP($A140,'Data shares'!$C:$FA,127)*100</f>
        <v>-21.43</v>
      </c>
      <c r="H140" s="103">
        <f>VLOOKUP($A140,'OI(Volume)'!$A$7:$O$427,8)</f>
        <v>1507550</v>
      </c>
      <c r="I140" s="103">
        <f>VLOOKUP($A140,'OI(Volume)'!$A$7:$O$427,9)</f>
        <v>139975</v>
      </c>
      <c r="J140" s="103">
        <f>VLOOKUP($A140,'OI(Volume)'!$A$7:$O$427,11)</f>
        <v>1132450</v>
      </c>
      <c r="K140" s="103">
        <f>VLOOKUP($A140,'OI(Volume)'!$A$7:$O$427,12)</f>
        <v>84425</v>
      </c>
      <c r="L140" s="103">
        <f>VLOOKUP($A140,'OI(Value)'!$A$7:$O$306,8,0)</f>
        <v>436</v>
      </c>
      <c r="M140" s="103">
        <f>VLOOKUP($A140,'OI(Value)'!$A$7:$O$306,9,0)</f>
        <v>40</v>
      </c>
      <c r="N140" s="103">
        <f>VLOOKUP($A140,'OI(Value)'!$A$7:$O$306,11,0)</f>
        <v>327</v>
      </c>
      <c r="O140" s="103">
        <f>VLOOKUP($A140,'OI(Value)'!$A$7:$O$306,12,0)</f>
        <v>24</v>
      </c>
      <c r="P140" s="179">
        <f>VLOOKUP(A140,'OI(Value)'!A140:O341,8,0)</f>
        <v>436</v>
      </c>
      <c r="Q140" s="179">
        <f>VLOOKUP(A140,'OI(Value)'!A140:O341,9,0)</f>
        <v>40</v>
      </c>
      <c r="R140" s="179">
        <f>VLOOKUP(A140,'OI(Value)'!A140:O341,11,0)</f>
        <v>327</v>
      </c>
      <c r="S140" s="179">
        <f>VLOOKUP(A140,'OI(Value)'!A140:O341,11,0)</f>
        <v>327</v>
      </c>
    </row>
    <row r="141" spans="1:19" x14ac:dyDescent="0.25">
      <c r="A141" s="105" t="str">
        <f>'Data shares'!C136</f>
        <v>MUTHOOTFIN</v>
      </c>
      <c r="B141" s="143">
        <f>VLOOKUP($A141,'Data shares'!$C:$FA,118)</f>
        <v>0.52</v>
      </c>
      <c r="C141" s="143">
        <f>VLOOKUP($A141,'Data shares'!$C:$FA,119)</f>
        <v>0.52</v>
      </c>
      <c r="D141" s="143">
        <f>VLOOKUP($A141,'Data shares'!$C:$FA,121)*100</f>
        <v>0</v>
      </c>
      <c r="E141" s="143">
        <f>VLOOKUP($A141,'Data shares'!$C:$FA,124)</f>
        <v>0.69</v>
      </c>
      <c r="F141" s="143">
        <f>VLOOKUP($A141,'Data shares'!$C:$FA,125)</f>
        <v>0.41</v>
      </c>
      <c r="G141" s="143">
        <f>VLOOKUP($A141,'Data shares'!$C:$FA,127)*100</f>
        <v>68.289999999999992</v>
      </c>
      <c r="H141" s="103">
        <f>VLOOKUP($A141,'OI(Volume)'!$A$7:$O$427,8)</f>
        <v>3401475</v>
      </c>
      <c r="I141" s="103">
        <f>VLOOKUP($A141,'OI(Volume)'!$A$7:$O$427,9)</f>
        <v>-72600</v>
      </c>
      <c r="J141" s="103">
        <f>VLOOKUP($A141,'OI(Volume)'!$A$7:$O$427,11)</f>
        <v>1756425</v>
      </c>
      <c r="K141" s="103">
        <f>VLOOKUP($A141,'OI(Volume)'!$A$7:$O$427,12)</f>
        <v>-53075</v>
      </c>
      <c r="L141" s="103">
        <f>VLOOKUP($A141,'OI(Value)'!$A$7:$O$306,8,0)</f>
        <v>1276</v>
      </c>
      <c r="M141" s="103">
        <f>VLOOKUP($A141,'OI(Value)'!$A$7:$O$306,9,0)</f>
        <v>-27</v>
      </c>
      <c r="N141" s="103">
        <f>VLOOKUP($A141,'OI(Value)'!$A$7:$O$306,11,0)</f>
        <v>659</v>
      </c>
      <c r="O141" s="103">
        <f>VLOOKUP($A141,'OI(Value)'!$A$7:$O$306,12,0)</f>
        <v>-20</v>
      </c>
      <c r="P141" s="179">
        <f>VLOOKUP(A141,'OI(Value)'!A141:O342,8,0)</f>
        <v>1276</v>
      </c>
      <c r="Q141" s="179">
        <f>VLOOKUP(A141,'OI(Value)'!A141:O342,9,0)</f>
        <v>-27</v>
      </c>
      <c r="R141" s="179">
        <f>VLOOKUP(A141,'OI(Value)'!A141:O342,11,0)</f>
        <v>659</v>
      </c>
      <c r="S141" s="179">
        <f>VLOOKUP(A141,'OI(Value)'!A141:O342,11,0)</f>
        <v>659</v>
      </c>
    </row>
    <row r="142" spans="1:19" x14ac:dyDescent="0.25">
      <c r="A142" s="105" t="str">
        <f>'Data shares'!C137</f>
        <v>NATIONALUM</v>
      </c>
      <c r="B142" s="143">
        <f>VLOOKUP($A142,'Data shares'!$C:$FA,118)</f>
        <v>0.88</v>
      </c>
      <c r="C142" s="143">
        <f>VLOOKUP($A142,'Data shares'!$C:$FA,119)</f>
        <v>0.85</v>
      </c>
      <c r="D142" s="143">
        <f>VLOOKUP($A142,'Data shares'!$C:$FA,121)*100</f>
        <v>3.53</v>
      </c>
      <c r="E142" s="143">
        <f>VLOOKUP($A142,'Data shares'!$C:$FA,124)</f>
        <v>0.6</v>
      </c>
      <c r="F142" s="143">
        <f>VLOOKUP($A142,'Data shares'!$C:$FA,125)</f>
        <v>0.51</v>
      </c>
      <c r="G142" s="143">
        <f>VLOOKUP($A142,'Data shares'!$C:$FA,127)*100</f>
        <v>17.649999999999999</v>
      </c>
      <c r="H142" s="103">
        <f>VLOOKUP($A142,'OI(Volume)'!$A$7:$O$427,8)</f>
        <v>33956250</v>
      </c>
      <c r="I142" s="103">
        <f>VLOOKUP($A142,'OI(Volume)'!$A$7:$O$427,9)</f>
        <v>660000</v>
      </c>
      <c r="J142" s="103">
        <f>VLOOKUP($A142,'OI(Volume)'!$A$7:$O$427,11)</f>
        <v>29730000</v>
      </c>
      <c r="K142" s="103">
        <f>VLOOKUP($A142,'OI(Volume)'!$A$7:$O$427,12)</f>
        <v>1492500</v>
      </c>
      <c r="L142" s="103">
        <f>VLOOKUP($A142,'OI(Value)'!$A$7:$O$306,8,0)</f>
        <v>949</v>
      </c>
      <c r="M142" s="103">
        <f>VLOOKUP($A142,'OI(Value)'!$A$7:$O$306,9,0)</f>
        <v>18</v>
      </c>
      <c r="N142" s="103">
        <f>VLOOKUP($A142,'OI(Value)'!$A$7:$O$306,11,0)</f>
        <v>831</v>
      </c>
      <c r="O142" s="103">
        <f>VLOOKUP($A142,'OI(Value)'!$A$7:$O$306,12,0)</f>
        <v>42</v>
      </c>
      <c r="P142" s="179">
        <f>VLOOKUP(A142,'OI(Value)'!A142:O343,8,0)</f>
        <v>949</v>
      </c>
      <c r="Q142" s="179">
        <f>VLOOKUP(A142,'OI(Value)'!A142:O343,9,0)</f>
        <v>18</v>
      </c>
      <c r="R142" s="179">
        <f>VLOOKUP(A142,'OI(Value)'!A142:O343,11,0)</f>
        <v>831</v>
      </c>
      <c r="S142" s="179">
        <f>VLOOKUP(A142,'OI(Value)'!A142:O343,11,0)</f>
        <v>831</v>
      </c>
    </row>
    <row r="143" spans="1:19" x14ac:dyDescent="0.25">
      <c r="A143" s="105" t="str">
        <f>'Data shares'!C138</f>
        <v>NAUKRI</v>
      </c>
      <c r="B143" s="143">
        <f>VLOOKUP($A143,'Data shares'!$C:$FA,118)</f>
        <v>0.81</v>
      </c>
      <c r="C143" s="143">
        <f>VLOOKUP($A143,'Data shares'!$C:$FA,119)</f>
        <v>0.84</v>
      </c>
      <c r="D143" s="143">
        <f>VLOOKUP($A143,'Data shares'!$C:$FA,121)*100</f>
        <v>-3.5700000000000003</v>
      </c>
      <c r="E143" s="143">
        <f>VLOOKUP($A143,'Data shares'!$C:$FA,124)</f>
        <v>0.22</v>
      </c>
      <c r="F143" s="143">
        <f>VLOOKUP($A143,'Data shares'!$C:$FA,125)</f>
        <v>0.31</v>
      </c>
      <c r="G143" s="143">
        <f>VLOOKUP($A143,'Data shares'!$C:$FA,127)*100</f>
        <v>-29.03</v>
      </c>
      <c r="H143" s="103">
        <f>VLOOKUP($A143,'OI(Volume)'!$A$7:$O$427,8)</f>
        <v>2779875</v>
      </c>
      <c r="I143" s="103">
        <f>VLOOKUP($A143,'OI(Volume)'!$A$7:$O$427,9)</f>
        <v>4125</v>
      </c>
      <c r="J143" s="103">
        <f>VLOOKUP($A143,'OI(Volume)'!$A$7:$O$427,11)</f>
        <v>2244375</v>
      </c>
      <c r="K143" s="103">
        <f>VLOOKUP($A143,'OI(Volume)'!$A$7:$O$427,12)</f>
        <v>-77625</v>
      </c>
      <c r="L143" s="103">
        <f>VLOOKUP($A143,'OI(Value)'!$A$7:$O$306,8,0)</f>
        <v>372</v>
      </c>
      <c r="M143" s="103">
        <f>VLOOKUP($A143,'OI(Value)'!$A$7:$O$306,9,0)</f>
        <v>1</v>
      </c>
      <c r="N143" s="103">
        <f>VLOOKUP($A143,'OI(Value)'!$A$7:$O$306,11,0)</f>
        <v>300</v>
      </c>
      <c r="O143" s="103">
        <f>VLOOKUP($A143,'OI(Value)'!$A$7:$O$306,12,0)</f>
        <v>-10</v>
      </c>
      <c r="P143" s="179">
        <f>VLOOKUP(A143,'OI(Value)'!A143:O344,8,0)</f>
        <v>372</v>
      </c>
      <c r="Q143" s="179">
        <f>VLOOKUP(A143,'OI(Value)'!A143:O344,9,0)</f>
        <v>1</v>
      </c>
      <c r="R143" s="179">
        <f>VLOOKUP(A143,'OI(Value)'!A143:O344,11,0)</f>
        <v>300</v>
      </c>
      <c r="S143" s="179">
        <f>VLOOKUP(A143,'OI(Value)'!A143:O344,11,0)</f>
        <v>300</v>
      </c>
    </row>
    <row r="144" spans="1:19" x14ac:dyDescent="0.25">
      <c r="A144" s="105" t="str">
        <f>'Data shares'!C139</f>
        <v>NBCC</v>
      </c>
      <c r="B144" s="143">
        <f>VLOOKUP($A144,'Data shares'!$C:$FA,118)</f>
        <v>0.39</v>
      </c>
      <c r="C144" s="143">
        <f>VLOOKUP($A144,'Data shares'!$C:$FA,119)</f>
        <v>0.4</v>
      </c>
      <c r="D144" s="143">
        <f>VLOOKUP($A144,'Data shares'!$C:$FA,121)*100</f>
        <v>-2.5</v>
      </c>
      <c r="E144" s="143">
        <f>VLOOKUP($A144,'Data shares'!$C:$FA,124)</f>
        <v>0.35</v>
      </c>
      <c r="F144" s="143">
        <f>VLOOKUP($A144,'Data shares'!$C:$FA,125)</f>
        <v>0.28000000000000003</v>
      </c>
      <c r="G144" s="143">
        <f>VLOOKUP($A144,'Data shares'!$C:$FA,127)*100</f>
        <v>25</v>
      </c>
      <c r="H144" s="103">
        <f>VLOOKUP($A144,'OI(Volume)'!$A$7:$O$427,8)</f>
        <v>62257000</v>
      </c>
      <c r="I144" s="103">
        <f>VLOOKUP($A144,'OI(Volume)'!$A$7:$O$427,9)</f>
        <v>4504500</v>
      </c>
      <c r="J144" s="103">
        <f>VLOOKUP($A144,'OI(Volume)'!$A$7:$O$427,11)</f>
        <v>24284000</v>
      </c>
      <c r="K144" s="103">
        <f>VLOOKUP($A144,'OI(Volume)'!$A$7:$O$427,12)</f>
        <v>975000</v>
      </c>
      <c r="L144" s="103">
        <f>VLOOKUP($A144,'OI(Value)'!$A$7:$O$306,8,0)</f>
        <v>675</v>
      </c>
      <c r="M144" s="103">
        <f>VLOOKUP($A144,'OI(Value)'!$A$7:$O$306,9,0)</f>
        <v>49</v>
      </c>
      <c r="N144" s="103">
        <f>VLOOKUP($A144,'OI(Value)'!$A$7:$O$306,11,0)</f>
        <v>263</v>
      </c>
      <c r="O144" s="103">
        <f>VLOOKUP($A144,'OI(Value)'!$A$7:$O$306,12,0)</f>
        <v>11</v>
      </c>
      <c r="P144" s="179">
        <f>VLOOKUP(A144,'OI(Value)'!A144:O345,8,0)</f>
        <v>675</v>
      </c>
      <c r="Q144" s="179">
        <f>VLOOKUP(A144,'OI(Value)'!A144:O345,9,0)</f>
        <v>49</v>
      </c>
      <c r="R144" s="179">
        <f>VLOOKUP(A144,'OI(Value)'!A144:O345,11,0)</f>
        <v>263</v>
      </c>
      <c r="S144" s="179">
        <f>VLOOKUP(A144,'OI(Value)'!A144:O345,11,0)</f>
        <v>263</v>
      </c>
    </row>
    <row r="145" spans="1:19" x14ac:dyDescent="0.25">
      <c r="A145" s="105" t="str">
        <f>'Data shares'!C140</f>
        <v>NCC</v>
      </c>
      <c r="B145" s="143">
        <f>VLOOKUP($A145,'Data shares'!$C:$FA,118)</f>
        <v>0.42</v>
      </c>
      <c r="C145" s="143">
        <f>VLOOKUP($A145,'Data shares'!$C:$FA,119)</f>
        <v>0.42</v>
      </c>
      <c r="D145" s="143">
        <f>VLOOKUP($A145,'Data shares'!$C:$FA,121)*100</f>
        <v>0</v>
      </c>
      <c r="E145" s="143">
        <f>VLOOKUP($A145,'Data shares'!$C:$FA,124)</f>
        <v>0.55000000000000004</v>
      </c>
      <c r="F145" s="143">
        <f>VLOOKUP($A145,'Data shares'!$C:$FA,125)</f>
        <v>0.45</v>
      </c>
      <c r="G145" s="143">
        <f>VLOOKUP($A145,'Data shares'!$C:$FA,127)*100</f>
        <v>22.220000000000002</v>
      </c>
      <c r="H145" s="103">
        <f>VLOOKUP($A145,'OI(Volume)'!$A$7:$O$427,8)</f>
        <v>24289200</v>
      </c>
      <c r="I145" s="103">
        <f>VLOOKUP($A145,'OI(Volume)'!$A$7:$O$427,9)</f>
        <v>599400</v>
      </c>
      <c r="J145" s="103">
        <f>VLOOKUP($A145,'OI(Volume)'!$A$7:$O$427,11)</f>
        <v>10087200</v>
      </c>
      <c r="K145" s="103">
        <f>VLOOKUP($A145,'OI(Volume)'!$A$7:$O$427,12)</f>
        <v>143100</v>
      </c>
      <c r="L145" s="103">
        <f>VLOOKUP($A145,'OI(Value)'!$A$7:$O$306,8,0)</f>
        <v>372</v>
      </c>
      <c r="M145" s="103">
        <f>VLOOKUP($A145,'OI(Value)'!$A$7:$O$306,9,0)</f>
        <v>9</v>
      </c>
      <c r="N145" s="103">
        <f>VLOOKUP($A145,'OI(Value)'!$A$7:$O$306,11,0)</f>
        <v>155</v>
      </c>
      <c r="O145" s="103">
        <f>VLOOKUP($A145,'OI(Value)'!$A$7:$O$306,12,0)</f>
        <v>2</v>
      </c>
      <c r="P145" s="179">
        <f>VLOOKUP(A145,'OI(Value)'!A145:O346,8,0)</f>
        <v>372</v>
      </c>
      <c r="Q145" s="179">
        <f>VLOOKUP(A145,'OI(Value)'!A145:O346,9,0)</f>
        <v>9</v>
      </c>
      <c r="R145" s="179">
        <f>VLOOKUP(A145,'OI(Value)'!A145:O346,11,0)</f>
        <v>155</v>
      </c>
      <c r="S145" s="179">
        <f>VLOOKUP(A145,'OI(Value)'!A145:O346,11,0)</f>
        <v>155</v>
      </c>
    </row>
    <row r="146" spans="1:19" x14ac:dyDescent="0.25">
      <c r="A146" s="105" t="str">
        <f>'Data shares'!C141</f>
        <v>NESTLEIND</v>
      </c>
      <c r="B146" s="143">
        <f>VLOOKUP($A146,'Data shares'!$C:$FA,118)</f>
        <v>0.31</v>
      </c>
      <c r="C146" s="143">
        <f>VLOOKUP($A146,'Data shares'!$C:$FA,119)</f>
        <v>0.31</v>
      </c>
      <c r="D146" s="143">
        <f>VLOOKUP($A146,'Data shares'!$C:$FA,121)*100</f>
        <v>0</v>
      </c>
      <c r="E146" s="143">
        <f>VLOOKUP($A146,'Data shares'!$C:$FA,124)</f>
        <v>0.26</v>
      </c>
      <c r="F146" s="143">
        <f>VLOOKUP($A146,'Data shares'!$C:$FA,125)</f>
        <v>0.36</v>
      </c>
      <c r="G146" s="143">
        <f>VLOOKUP($A146,'Data shares'!$C:$FA,127)*100</f>
        <v>-27.779999999999998</v>
      </c>
      <c r="H146" s="103">
        <f>VLOOKUP($A146,'OI(Volume)'!$A$7:$O$427,8)</f>
        <v>7313500</v>
      </c>
      <c r="I146" s="103">
        <f>VLOOKUP($A146,'OI(Volume)'!$A$7:$O$427,9)</f>
        <v>30500</v>
      </c>
      <c r="J146" s="103">
        <f>VLOOKUP($A146,'OI(Volume)'!$A$7:$O$427,11)</f>
        <v>2271000</v>
      </c>
      <c r="K146" s="103">
        <f>VLOOKUP($A146,'OI(Volume)'!$A$7:$O$427,12)</f>
        <v>-22000</v>
      </c>
      <c r="L146" s="103">
        <f>VLOOKUP($A146,'OI(Value)'!$A$7:$O$306,8,0)</f>
        <v>905</v>
      </c>
      <c r="M146" s="103">
        <f>VLOOKUP($A146,'OI(Value)'!$A$7:$O$306,9,0)</f>
        <v>4</v>
      </c>
      <c r="N146" s="103">
        <f>VLOOKUP($A146,'OI(Value)'!$A$7:$O$306,11,0)</f>
        <v>281</v>
      </c>
      <c r="O146" s="103">
        <f>VLOOKUP($A146,'OI(Value)'!$A$7:$O$306,12,0)</f>
        <v>-3</v>
      </c>
      <c r="P146" s="179">
        <f>VLOOKUP(A146,'OI(Value)'!A146:O347,8,0)</f>
        <v>905</v>
      </c>
      <c r="Q146" s="179">
        <f>VLOOKUP(A146,'OI(Value)'!A146:O347,9,0)</f>
        <v>4</v>
      </c>
      <c r="R146" s="179">
        <f>VLOOKUP(A146,'OI(Value)'!A146:O347,11,0)</f>
        <v>281</v>
      </c>
      <c r="S146" s="179">
        <f>VLOOKUP(A146,'OI(Value)'!A146:O347,11,0)</f>
        <v>281</v>
      </c>
    </row>
    <row r="147" spans="1:19" x14ac:dyDescent="0.25">
      <c r="A147" s="105" t="str">
        <f>'Data shares'!C142</f>
        <v>NHPC</v>
      </c>
      <c r="B147" s="143">
        <f>VLOOKUP($A147,'Data shares'!$C:$FA,118)</f>
        <v>0.44</v>
      </c>
      <c r="C147" s="143">
        <f>VLOOKUP($A147,'Data shares'!$C:$FA,119)</f>
        <v>0.45</v>
      </c>
      <c r="D147" s="143">
        <f>VLOOKUP($A147,'Data shares'!$C:$FA,121)*100</f>
        <v>-2.2200000000000002</v>
      </c>
      <c r="E147" s="143">
        <f>VLOOKUP($A147,'Data shares'!$C:$FA,124)</f>
        <v>0.27</v>
      </c>
      <c r="F147" s="143">
        <f>VLOOKUP($A147,'Data shares'!$C:$FA,125)</f>
        <v>0.3</v>
      </c>
      <c r="G147" s="143">
        <f>VLOOKUP($A147,'Data shares'!$C:$FA,127)*100</f>
        <v>-10</v>
      </c>
      <c r="H147" s="103">
        <f>VLOOKUP($A147,'OI(Volume)'!$A$7:$O$427,8)</f>
        <v>47872000</v>
      </c>
      <c r="I147" s="103">
        <f>VLOOKUP($A147,'OI(Volume)'!$A$7:$O$427,9)</f>
        <v>960000</v>
      </c>
      <c r="J147" s="103">
        <f>VLOOKUP($A147,'OI(Volume)'!$A$7:$O$427,11)</f>
        <v>21017600</v>
      </c>
      <c r="K147" s="103">
        <f>VLOOKUP($A147,'OI(Volume)'!$A$7:$O$427,12)</f>
        <v>134400</v>
      </c>
      <c r="L147" s="103">
        <f>VLOOKUP($A147,'OI(Value)'!$A$7:$O$306,8,0)</f>
        <v>360</v>
      </c>
      <c r="M147" s="103">
        <f>VLOOKUP($A147,'OI(Value)'!$A$7:$O$306,9,0)</f>
        <v>7</v>
      </c>
      <c r="N147" s="103">
        <f>VLOOKUP($A147,'OI(Value)'!$A$7:$O$306,11,0)</f>
        <v>158</v>
      </c>
      <c r="O147" s="103">
        <f>VLOOKUP($A147,'OI(Value)'!$A$7:$O$306,12,0)</f>
        <v>1</v>
      </c>
      <c r="P147" s="179">
        <f>VLOOKUP(A147,'OI(Value)'!A147:O348,8,0)</f>
        <v>360</v>
      </c>
      <c r="Q147" s="179">
        <f>VLOOKUP(A147,'OI(Value)'!A147:O348,9,0)</f>
        <v>7</v>
      </c>
      <c r="R147" s="179">
        <f>VLOOKUP(A147,'OI(Value)'!A147:O348,11,0)</f>
        <v>158</v>
      </c>
      <c r="S147" s="179">
        <f>VLOOKUP(A147,'OI(Value)'!A147:O348,11,0)</f>
        <v>158</v>
      </c>
    </row>
    <row r="148" spans="1:19" x14ac:dyDescent="0.25">
      <c r="A148" s="105" t="str">
        <f>'Data shares'!C143</f>
        <v>NIFTY</v>
      </c>
      <c r="B148" s="143">
        <f>VLOOKUP($A148,'Data shares'!$C:$FA,118)</f>
        <v>0.83</v>
      </c>
      <c r="C148" s="143">
        <f>VLOOKUP($A148,'Data shares'!$C:$FA,119)</f>
        <v>0.77</v>
      </c>
      <c r="D148" s="143">
        <f>VLOOKUP($A148,'Data shares'!$C:$FA,121)*100</f>
        <v>7.79</v>
      </c>
      <c r="E148" s="143">
        <f>VLOOKUP($A148,'Data shares'!$C:$FA,124)</f>
        <v>0.91</v>
      </c>
      <c r="F148" s="143">
        <f>VLOOKUP($A148,'Data shares'!$C:$FA,125)</f>
        <v>0.98</v>
      </c>
      <c r="G148" s="143">
        <f>VLOOKUP($A148,'Data shares'!$C:$FA,127)*100</f>
        <v>-7.1400000000000006</v>
      </c>
      <c r="H148" s="103">
        <f>VLOOKUP($A148,'OI(Volume)'!$A$7:$O$427,8)</f>
        <v>255442560</v>
      </c>
      <c r="I148" s="103">
        <f>VLOOKUP($A148,'OI(Volume)'!$A$7:$O$427,9)</f>
        <v>9728795</v>
      </c>
      <c r="J148" s="103">
        <f>VLOOKUP($A148,'OI(Volume)'!$A$7:$O$427,11)</f>
        <v>212366530</v>
      </c>
      <c r="K148" s="103">
        <f>VLOOKUP($A148,'OI(Volume)'!$A$7:$O$427,12)</f>
        <v>23596250</v>
      </c>
      <c r="L148" s="103">
        <f>VLOOKUP($A148,'OI(Value)'!$A$7:$O$306,8,0)</f>
        <v>661101</v>
      </c>
      <c r="M148" s="103">
        <f>VLOOKUP($A148,'OI(Value)'!$A$7:$O$306,9,0)</f>
        <v>25179</v>
      </c>
      <c r="N148" s="103">
        <f>VLOOKUP($A148,'OI(Value)'!$A$7:$O$306,11,0)</f>
        <v>549617</v>
      </c>
      <c r="O148" s="103">
        <f>VLOOKUP($A148,'OI(Value)'!$A$7:$O$306,12,0)</f>
        <v>61069</v>
      </c>
      <c r="P148" s="179">
        <f>VLOOKUP(A148,'OI(Value)'!A148:O349,8,0)</f>
        <v>661101</v>
      </c>
      <c r="Q148" s="179">
        <f>VLOOKUP(A148,'OI(Value)'!A148:O349,9,0)</f>
        <v>25179</v>
      </c>
      <c r="R148" s="179">
        <f>VLOOKUP(A148,'OI(Value)'!A148:O349,11,0)</f>
        <v>549617</v>
      </c>
      <c r="S148" s="179">
        <f>VLOOKUP(A148,'OI(Value)'!A148:O349,11,0)</f>
        <v>549617</v>
      </c>
    </row>
    <row r="149" spans="1:19" x14ac:dyDescent="0.25">
      <c r="A149" s="105" t="str">
        <f>'Data shares'!C144</f>
        <v>NIFTYNXT50</v>
      </c>
      <c r="B149" s="143">
        <f>VLOOKUP($A149,'Data shares'!$C:$FA,118)</f>
        <v>0.84</v>
      </c>
      <c r="C149" s="143">
        <f>VLOOKUP($A149,'Data shares'!$C:$FA,119)</f>
        <v>0.93</v>
      </c>
      <c r="D149" s="143">
        <f>VLOOKUP($A149,'Data shares'!$C:$FA,121)*100</f>
        <v>-9.68</v>
      </c>
      <c r="E149" s="143">
        <f>VLOOKUP($A149,'Data shares'!$C:$FA,124)</f>
        <v>0.7</v>
      </c>
      <c r="F149" s="143">
        <f>VLOOKUP($A149,'Data shares'!$C:$FA,125)</f>
        <v>1.36</v>
      </c>
      <c r="G149" s="143">
        <f>VLOOKUP($A149,'Data shares'!$C:$FA,127)*100</f>
        <v>-48.53</v>
      </c>
      <c r="H149" s="103">
        <f>VLOOKUP($A149,'OI(Volume)'!$A$7:$O$427,8)</f>
        <v>18175</v>
      </c>
      <c r="I149" s="103">
        <f>VLOOKUP($A149,'OI(Volume)'!$A$7:$O$427,9)</f>
        <v>2025</v>
      </c>
      <c r="J149" s="103">
        <f>VLOOKUP($A149,'OI(Volume)'!$A$7:$O$427,11)</f>
        <v>15275</v>
      </c>
      <c r="K149" s="103">
        <f>VLOOKUP($A149,'OI(Volume)'!$A$7:$O$427,12)</f>
        <v>325</v>
      </c>
      <c r="L149" s="103">
        <f>VLOOKUP($A149,'OI(Value)'!$A$7:$O$306,8,0)</f>
        <v>123</v>
      </c>
      <c r="M149" s="103">
        <f>VLOOKUP($A149,'OI(Value)'!$A$7:$O$306,9,0)</f>
        <v>14</v>
      </c>
      <c r="N149" s="103">
        <f>VLOOKUP($A149,'OI(Value)'!$A$7:$O$306,11,0)</f>
        <v>104</v>
      </c>
      <c r="O149" s="103">
        <f>VLOOKUP($A149,'OI(Value)'!$A$7:$O$306,12,0)</f>
        <v>2</v>
      </c>
      <c r="P149" s="179">
        <f>VLOOKUP(A149,'OI(Value)'!A149:O350,8,0)</f>
        <v>123</v>
      </c>
      <c r="Q149" s="179">
        <f>VLOOKUP(A149,'OI(Value)'!A149:O350,9,0)</f>
        <v>14</v>
      </c>
      <c r="R149" s="179">
        <f>VLOOKUP(A149,'OI(Value)'!A149:O350,11,0)</f>
        <v>104</v>
      </c>
      <c r="S149" s="179">
        <f>VLOOKUP(A149,'OI(Value)'!A149:O350,11,0)</f>
        <v>104</v>
      </c>
    </row>
    <row r="150" spans="1:19" x14ac:dyDescent="0.25">
      <c r="A150" s="105" t="str">
        <f>'Data shares'!C145</f>
        <v>NMDC</v>
      </c>
      <c r="B150" s="143">
        <f>VLOOKUP($A150,'Data shares'!$C:$FA,118)</f>
        <v>0.68</v>
      </c>
      <c r="C150" s="143">
        <f>VLOOKUP($A150,'Data shares'!$C:$FA,119)</f>
        <v>0.68</v>
      </c>
      <c r="D150" s="143">
        <f>VLOOKUP($A150,'Data shares'!$C:$FA,121)*100</f>
        <v>0</v>
      </c>
      <c r="E150" s="143">
        <f>VLOOKUP($A150,'Data shares'!$C:$FA,124)</f>
        <v>0.54</v>
      </c>
      <c r="F150" s="143">
        <f>VLOOKUP($A150,'Data shares'!$C:$FA,125)</f>
        <v>0.32</v>
      </c>
      <c r="G150" s="143">
        <f>VLOOKUP($A150,'Data shares'!$C:$FA,127)*100</f>
        <v>68.75</v>
      </c>
      <c r="H150" s="103">
        <f>VLOOKUP($A150,'OI(Volume)'!$A$7:$O$427,8)</f>
        <v>106373250</v>
      </c>
      <c r="I150" s="103">
        <f>VLOOKUP($A150,'OI(Volume)'!$A$7:$O$427,9)</f>
        <v>-209250</v>
      </c>
      <c r="J150" s="103">
        <f>VLOOKUP($A150,'OI(Volume)'!$A$7:$O$427,11)</f>
        <v>72657000</v>
      </c>
      <c r="K150" s="103">
        <f>VLOOKUP($A150,'OI(Volume)'!$A$7:$O$427,12)</f>
        <v>276750</v>
      </c>
      <c r="L150" s="103">
        <f>VLOOKUP($A150,'OI(Value)'!$A$7:$O$306,8,0)</f>
        <v>816</v>
      </c>
      <c r="M150" s="103">
        <f>VLOOKUP($A150,'OI(Value)'!$A$7:$O$306,9,0)</f>
        <v>-2</v>
      </c>
      <c r="N150" s="103">
        <f>VLOOKUP($A150,'OI(Value)'!$A$7:$O$306,11,0)</f>
        <v>557</v>
      </c>
      <c r="O150" s="103">
        <f>VLOOKUP($A150,'OI(Value)'!$A$7:$O$306,12,0)</f>
        <v>2</v>
      </c>
      <c r="P150" s="179">
        <f>VLOOKUP(A150,'OI(Value)'!A150:O351,8,0)</f>
        <v>816</v>
      </c>
      <c r="Q150" s="179">
        <f>VLOOKUP(A150,'OI(Value)'!A150:O351,9,0)</f>
        <v>-2</v>
      </c>
      <c r="R150" s="179">
        <f>VLOOKUP(A150,'OI(Value)'!A150:O351,11,0)</f>
        <v>557</v>
      </c>
      <c r="S150" s="179">
        <f>VLOOKUP(A150,'OI(Value)'!A150:O351,11,0)</f>
        <v>557</v>
      </c>
    </row>
    <row r="151" spans="1:19" x14ac:dyDescent="0.25">
      <c r="A151" s="105" t="str">
        <f>'Data shares'!C146</f>
        <v>NTPC</v>
      </c>
      <c r="B151" s="143">
        <f>VLOOKUP($A151,'Data shares'!$C:$FA,118)</f>
        <v>0.6</v>
      </c>
      <c r="C151" s="143">
        <f>VLOOKUP($A151,'Data shares'!$C:$FA,119)</f>
        <v>0.62</v>
      </c>
      <c r="D151" s="143">
        <f>VLOOKUP($A151,'Data shares'!$C:$FA,121)*100</f>
        <v>-3.2300000000000004</v>
      </c>
      <c r="E151" s="143">
        <f>VLOOKUP($A151,'Data shares'!$C:$FA,124)</f>
        <v>0.56000000000000005</v>
      </c>
      <c r="F151" s="143">
        <f>VLOOKUP($A151,'Data shares'!$C:$FA,125)</f>
        <v>0.52</v>
      </c>
      <c r="G151" s="143">
        <f>VLOOKUP($A151,'Data shares'!$C:$FA,127)*100</f>
        <v>7.6899999999999995</v>
      </c>
      <c r="H151" s="103">
        <f>VLOOKUP($A151,'OI(Volume)'!$A$7:$O$427,8)</f>
        <v>36501000</v>
      </c>
      <c r="I151" s="103">
        <f>VLOOKUP($A151,'OI(Volume)'!$A$7:$O$427,9)</f>
        <v>1287000</v>
      </c>
      <c r="J151" s="103">
        <f>VLOOKUP($A151,'OI(Volume)'!$A$7:$O$427,11)</f>
        <v>22075500</v>
      </c>
      <c r="K151" s="103">
        <f>VLOOKUP($A151,'OI(Volume)'!$A$7:$O$427,12)</f>
        <v>309000</v>
      </c>
      <c r="L151" s="103">
        <f>VLOOKUP($A151,'OI(Value)'!$A$7:$O$306,8,0)</f>
        <v>1165</v>
      </c>
      <c r="M151" s="103">
        <f>VLOOKUP($A151,'OI(Value)'!$A$7:$O$306,9,0)</f>
        <v>41</v>
      </c>
      <c r="N151" s="103">
        <f>VLOOKUP($A151,'OI(Value)'!$A$7:$O$306,11,0)</f>
        <v>704</v>
      </c>
      <c r="O151" s="103">
        <f>VLOOKUP($A151,'OI(Value)'!$A$7:$O$306,12,0)</f>
        <v>10</v>
      </c>
      <c r="P151" s="179">
        <f>VLOOKUP(A151,'OI(Value)'!A151:O352,8,0)</f>
        <v>1165</v>
      </c>
      <c r="Q151" s="179">
        <f>VLOOKUP(A151,'OI(Value)'!A151:O352,9,0)</f>
        <v>41</v>
      </c>
      <c r="R151" s="179">
        <f>VLOOKUP(A151,'OI(Value)'!A151:O352,11,0)</f>
        <v>704</v>
      </c>
      <c r="S151" s="179">
        <f>VLOOKUP(A151,'OI(Value)'!A151:O352,11,0)</f>
        <v>704</v>
      </c>
    </row>
    <row r="152" spans="1:19" x14ac:dyDescent="0.25">
      <c r="A152" s="105" t="str">
        <f>'Data shares'!C147</f>
        <v>NUVAMA</v>
      </c>
      <c r="B152" s="143">
        <f>VLOOKUP($A152,'Data shares'!$C:$FA,118)</f>
        <v>0.52</v>
      </c>
      <c r="C152" s="143">
        <f>VLOOKUP($A152,'Data shares'!$C:$FA,119)</f>
        <v>0.62</v>
      </c>
      <c r="D152" s="143">
        <f>VLOOKUP($A152,'Data shares'!$C:$FA,121)*100</f>
        <v>-16.13</v>
      </c>
      <c r="E152" s="143">
        <f>VLOOKUP($A152,'Data shares'!$C:$FA,124)</f>
        <v>0.31</v>
      </c>
      <c r="F152" s="143">
        <f>VLOOKUP($A152,'Data shares'!$C:$FA,125)</f>
        <v>0.93</v>
      </c>
      <c r="G152" s="143">
        <f>VLOOKUP($A152,'Data shares'!$C:$FA,127)*100</f>
        <v>-66.67</v>
      </c>
      <c r="H152" s="103">
        <f>VLOOKUP($A152,'OI(Volume)'!$A$7:$O$427,8)</f>
        <v>448450</v>
      </c>
      <c r="I152" s="103">
        <f>VLOOKUP($A152,'OI(Volume)'!$A$7:$O$427,9)</f>
        <v>137175</v>
      </c>
      <c r="J152" s="103">
        <f>VLOOKUP($A152,'OI(Volume)'!$A$7:$O$427,11)</f>
        <v>231275</v>
      </c>
      <c r="K152" s="103">
        <f>VLOOKUP($A152,'OI(Volume)'!$A$7:$O$427,12)</f>
        <v>36875</v>
      </c>
      <c r="L152" s="103">
        <f>VLOOKUP($A152,'OI(Value)'!$A$7:$O$306,8,0)</f>
        <v>329</v>
      </c>
      <c r="M152" s="103">
        <f>VLOOKUP($A152,'OI(Value)'!$A$7:$O$306,9,0)</f>
        <v>101</v>
      </c>
      <c r="N152" s="103">
        <f>VLOOKUP($A152,'OI(Value)'!$A$7:$O$306,11,0)</f>
        <v>170</v>
      </c>
      <c r="O152" s="103">
        <f>VLOOKUP($A152,'OI(Value)'!$A$7:$O$306,12,0)</f>
        <v>27</v>
      </c>
      <c r="P152" s="179">
        <f>VLOOKUP(A152,'OI(Value)'!A152:O353,8,0)</f>
        <v>329</v>
      </c>
      <c r="Q152" s="179">
        <f>VLOOKUP(A152,'OI(Value)'!A152:O353,9,0)</f>
        <v>101</v>
      </c>
      <c r="R152" s="179">
        <f>VLOOKUP(A152,'OI(Value)'!A152:O353,11,0)</f>
        <v>170</v>
      </c>
      <c r="S152" s="179">
        <f>VLOOKUP(A152,'OI(Value)'!A152:O353,11,0)</f>
        <v>170</v>
      </c>
    </row>
    <row r="153" spans="1:19" x14ac:dyDescent="0.25">
      <c r="A153" s="105" t="str">
        <f>'Data shares'!C148</f>
        <v>NYKAA</v>
      </c>
      <c r="B153" s="143">
        <f>VLOOKUP($A153,'Data shares'!$C:$FA,118)</f>
        <v>0.41</v>
      </c>
      <c r="C153" s="143">
        <f>VLOOKUP($A153,'Data shares'!$C:$FA,119)</f>
        <v>0.41</v>
      </c>
      <c r="D153" s="143">
        <f>VLOOKUP($A153,'Data shares'!$C:$FA,121)*100</f>
        <v>0</v>
      </c>
      <c r="E153" s="143">
        <f>VLOOKUP($A153,'Data shares'!$C:$FA,124)</f>
        <v>0.45</v>
      </c>
      <c r="F153" s="143">
        <f>VLOOKUP($A153,'Data shares'!$C:$FA,125)</f>
        <v>0.47</v>
      </c>
      <c r="G153" s="143">
        <f>VLOOKUP($A153,'Data shares'!$C:$FA,127)*100</f>
        <v>-4.26</v>
      </c>
      <c r="H153" s="103">
        <f>VLOOKUP($A153,'OI(Volume)'!$A$7:$O$427,8)</f>
        <v>22940625</v>
      </c>
      <c r="I153" s="103">
        <f>VLOOKUP($A153,'OI(Volume)'!$A$7:$O$427,9)</f>
        <v>603125</v>
      </c>
      <c r="J153" s="103">
        <f>VLOOKUP($A153,'OI(Volume)'!$A$7:$O$427,11)</f>
        <v>9437500</v>
      </c>
      <c r="K153" s="103">
        <f>VLOOKUP($A153,'OI(Volume)'!$A$7:$O$427,12)</f>
        <v>240625</v>
      </c>
      <c r="L153" s="103">
        <f>VLOOKUP($A153,'OI(Value)'!$A$7:$O$306,8,0)</f>
        <v>562</v>
      </c>
      <c r="M153" s="103">
        <f>VLOOKUP($A153,'OI(Value)'!$A$7:$O$306,9,0)</f>
        <v>15</v>
      </c>
      <c r="N153" s="103">
        <f>VLOOKUP($A153,'OI(Value)'!$A$7:$O$306,11,0)</f>
        <v>231</v>
      </c>
      <c r="O153" s="103">
        <f>VLOOKUP($A153,'OI(Value)'!$A$7:$O$306,12,0)</f>
        <v>6</v>
      </c>
      <c r="P153" s="179">
        <f>VLOOKUP(A153,'OI(Value)'!A153:O354,8,0)</f>
        <v>562</v>
      </c>
      <c r="Q153" s="179">
        <f>VLOOKUP(A153,'OI(Value)'!A153:O354,9,0)</f>
        <v>15</v>
      </c>
      <c r="R153" s="179">
        <f>VLOOKUP(A153,'OI(Value)'!A153:O354,11,0)</f>
        <v>231</v>
      </c>
      <c r="S153" s="179">
        <f>VLOOKUP(A153,'OI(Value)'!A153:O354,11,0)</f>
        <v>231</v>
      </c>
    </row>
    <row r="154" spans="1:19" x14ac:dyDescent="0.25">
      <c r="A154" s="105" t="str">
        <f>'Data shares'!C149</f>
        <v>OBEROIRLTY</v>
      </c>
      <c r="B154" s="143">
        <f>VLOOKUP($A154,'Data shares'!$C:$FA,118)</f>
        <v>0.72</v>
      </c>
      <c r="C154" s="143">
        <f>VLOOKUP($A154,'Data shares'!$C:$FA,119)</f>
        <v>0.62</v>
      </c>
      <c r="D154" s="143">
        <f>VLOOKUP($A154,'Data shares'!$C:$FA,121)*100</f>
        <v>16.13</v>
      </c>
      <c r="E154" s="143">
        <f>VLOOKUP($A154,'Data shares'!$C:$FA,124)</f>
        <v>0.57999999999999996</v>
      </c>
      <c r="F154" s="143">
        <f>VLOOKUP($A154,'Data shares'!$C:$FA,125)</f>
        <v>0.71</v>
      </c>
      <c r="G154" s="143">
        <f>VLOOKUP($A154,'Data shares'!$C:$FA,127)*100</f>
        <v>-18.310000000000002</v>
      </c>
      <c r="H154" s="103">
        <f>VLOOKUP($A154,'OI(Volume)'!$A$7:$O$427,8)</f>
        <v>1904350</v>
      </c>
      <c r="I154" s="103">
        <f>VLOOKUP($A154,'OI(Volume)'!$A$7:$O$427,9)</f>
        <v>-213500</v>
      </c>
      <c r="J154" s="103">
        <f>VLOOKUP($A154,'OI(Volume)'!$A$7:$O$427,11)</f>
        <v>1363950</v>
      </c>
      <c r="K154" s="103">
        <f>VLOOKUP($A154,'OI(Volume)'!$A$7:$O$427,12)</f>
        <v>54250</v>
      </c>
      <c r="L154" s="103">
        <f>VLOOKUP($A154,'OI(Value)'!$A$7:$O$306,8,0)</f>
        <v>315</v>
      </c>
      <c r="M154" s="103">
        <f>VLOOKUP($A154,'OI(Value)'!$A$7:$O$306,9,0)</f>
        <v>-35</v>
      </c>
      <c r="N154" s="103">
        <f>VLOOKUP($A154,'OI(Value)'!$A$7:$O$306,11,0)</f>
        <v>226</v>
      </c>
      <c r="O154" s="103">
        <f>VLOOKUP($A154,'OI(Value)'!$A$7:$O$306,12,0)</f>
        <v>9</v>
      </c>
      <c r="P154" s="179">
        <f>VLOOKUP(A154,'OI(Value)'!A154:O355,8,0)</f>
        <v>315</v>
      </c>
      <c r="Q154" s="179">
        <f>VLOOKUP(A154,'OI(Value)'!A154:O355,9,0)</f>
        <v>-35</v>
      </c>
      <c r="R154" s="179">
        <f>VLOOKUP(A154,'OI(Value)'!A154:O355,11,0)</f>
        <v>226</v>
      </c>
      <c r="S154" s="179">
        <f>VLOOKUP(A154,'OI(Value)'!A154:O355,11,0)</f>
        <v>226</v>
      </c>
    </row>
    <row r="155" spans="1:19" x14ac:dyDescent="0.25">
      <c r="A155" s="105" t="str">
        <f>'Data shares'!C150</f>
        <v>OFSS</v>
      </c>
      <c r="B155" s="143">
        <f>VLOOKUP($A155,'Data shares'!$C:$FA,118)</f>
        <v>0.56000000000000005</v>
      </c>
      <c r="C155" s="143">
        <f>VLOOKUP($A155,'Data shares'!$C:$FA,119)</f>
        <v>0.64</v>
      </c>
      <c r="D155" s="143">
        <f>VLOOKUP($A155,'Data shares'!$C:$FA,121)*100</f>
        <v>-12.5</v>
      </c>
      <c r="E155" s="143">
        <f>VLOOKUP($A155,'Data shares'!$C:$FA,124)</f>
        <v>0.77</v>
      </c>
      <c r="F155" s="143">
        <f>VLOOKUP($A155,'Data shares'!$C:$FA,125)</f>
        <v>0.56000000000000005</v>
      </c>
      <c r="G155" s="143">
        <f>VLOOKUP($A155,'Data shares'!$C:$FA,127)*100</f>
        <v>37.5</v>
      </c>
      <c r="H155" s="103">
        <f>VLOOKUP($A155,'OI(Volume)'!$A$7:$O$427,8)</f>
        <v>864225</v>
      </c>
      <c r="I155" s="103">
        <f>VLOOKUP($A155,'OI(Volume)'!$A$7:$O$427,9)</f>
        <v>73725</v>
      </c>
      <c r="J155" s="103">
        <f>VLOOKUP($A155,'OI(Volume)'!$A$7:$O$427,11)</f>
        <v>484575</v>
      </c>
      <c r="K155" s="103">
        <f>VLOOKUP($A155,'OI(Volume)'!$A$7:$O$427,12)</f>
        <v>-22350</v>
      </c>
      <c r="L155" s="103">
        <f>VLOOKUP($A155,'OI(Value)'!$A$7:$O$306,8,0)</f>
        <v>664</v>
      </c>
      <c r="M155" s="103">
        <f>VLOOKUP($A155,'OI(Value)'!$A$7:$O$306,9,0)</f>
        <v>57</v>
      </c>
      <c r="N155" s="103">
        <f>VLOOKUP($A155,'OI(Value)'!$A$7:$O$306,11,0)</f>
        <v>372</v>
      </c>
      <c r="O155" s="103">
        <f>VLOOKUP($A155,'OI(Value)'!$A$7:$O$306,12,0)</f>
        <v>-17</v>
      </c>
      <c r="P155" s="179">
        <f>VLOOKUP(A155,'OI(Value)'!A155:O356,8,0)</f>
        <v>664</v>
      </c>
      <c r="Q155" s="179">
        <f>VLOOKUP(A155,'OI(Value)'!A155:O356,9,0)</f>
        <v>57</v>
      </c>
      <c r="R155" s="179">
        <f>VLOOKUP(A155,'OI(Value)'!A155:O356,11,0)</f>
        <v>372</v>
      </c>
      <c r="S155" s="179">
        <f>VLOOKUP(A155,'OI(Value)'!A155:O356,11,0)</f>
        <v>372</v>
      </c>
    </row>
    <row r="156" spans="1:19" x14ac:dyDescent="0.25">
      <c r="A156" s="105" t="str">
        <f>'Data shares'!C151</f>
        <v>OIL</v>
      </c>
      <c r="B156" s="143">
        <f>VLOOKUP($A156,'Data shares'!$C:$FA,118)</f>
        <v>0.55000000000000004</v>
      </c>
      <c r="C156" s="143">
        <f>VLOOKUP($A156,'Data shares'!$C:$FA,119)</f>
        <v>0.53</v>
      </c>
      <c r="D156" s="143">
        <f>VLOOKUP($A156,'Data shares'!$C:$FA,121)*100</f>
        <v>3.7699999999999996</v>
      </c>
      <c r="E156" s="143">
        <f>VLOOKUP($A156,'Data shares'!$C:$FA,124)</f>
        <v>0.31</v>
      </c>
      <c r="F156" s="143">
        <f>VLOOKUP($A156,'Data shares'!$C:$FA,125)</f>
        <v>0.34</v>
      </c>
      <c r="G156" s="143">
        <f>VLOOKUP($A156,'Data shares'!$C:$FA,127)*100</f>
        <v>-8.82</v>
      </c>
      <c r="H156" s="103">
        <f>VLOOKUP($A156,'OI(Volume)'!$A$7:$O$427,8)</f>
        <v>7012600</v>
      </c>
      <c r="I156" s="103">
        <f>VLOOKUP($A156,'OI(Volume)'!$A$7:$O$427,9)</f>
        <v>-243600</v>
      </c>
      <c r="J156" s="103">
        <f>VLOOKUP($A156,'OI(Volume)'!$A$7:$O$427,11)</f>
        <v>3848600</v>
      </c>
      <c r="K156" s="103">
        <f>VLOOKUP($A156,'OI(Volume)'!$A$7:$O$427,12)</f>
        <v>30800</v>
      </c>
      <c r="L156" s="103">
        <f>VLOOKUP($A156,'OI(Value)'!$A$7:$O$306,8,0)</f>
        <v>281</v>
      </c>
      <c r="M156" s="103">
        <f>VLOOKUP($A156,'OI(Value)'!$A$7:$O$306,9,0)</f>
        <v>-10</v>
      </c>
      <c r="N156" s="103">
        <f>VLOOKUP($A156,'OI(Value)'!$A$7:$O$306,11,0)</f>
        <v>154</v>
      </c>
      <c r="O156" s="103">
        <f>VLOOKUP($A156,'OI(Value)'!$A$7:$O$306,12,0)</f>
        <v>1</v>
      </c>
      <c r="P156" s="179">
        <f>VLOOKUP(A156,'OI(Value)'!A156:O357,8,0)</f>
        <v>281</v>
      </c>
      <c r="Q156" s="179">
        <f>VLOOKUP(A156,'OI(Value)'!A156:O357,9,0)</f>
        <v>-10</v>
      </c>
      <c r="R156" s="179">
        <f>VLOOKUP(A156,'OI(Value)'!A156:O357,11,0)</f>
        <v>154</v>
      </c>
      <c r="S156" s="179">
        <f>VLOOKUP(A156,'OI(Value)'!A156:O357,11,0)</f>
        <v>154</v>
      </c>
    </row>
    <row r="157" spans="1:19" x14ac:dyDescent="0.25">
      <c r="A157" s="105" t="str">
        <f>'Data shares'!C152</f>
        <v>ONGC</v>
      </c>
      <c r="B157" s="143">
        <f>VLOOKUP($A157,'Data shares'!$C:$FA,118)</f>
        <v>0.41</v>
      </c>
      <c r="C157" s="143">
        <f>VLOOKUP($A157,'Data shares'!$C:$FA,119)</f>
        <v>0.41</v>
      </c>
      <c r="D157" s="143">
        <f>VLOOKUP($A157,'Data shares'!$C:$FA,121)*100</f>
        <v>0</v>
      </c>
      <c r="E157" s="143">
        <f>VLOOKUP($A157,'Data shares'!$C:$FA,124)</f>
        <v>0.49</v>
      </c>
      <c r="F157" s="143">
        <f>VLOOKUP($A157,'Data shares'!$C:$FA,125)</f>
        <v>0.67</v>
      </c>
      <c r="G157" s="143">
        <f>VLOOKUP($A157,'Data shares'!$C:$FA,127)*100</f>
        <v>-26.87</v>
      </c>
      <c r="H157" s="103">
        <f>VLOOKUP($A157,'OI(Volume)'!$A$7:$O$427,8)</f>
        <v>64129500</v>
      </c>
      <c r="I157" s="103">
        <f>VLOOKUP($A157,'OI(Volume)'!$A$7:$O$427,9)</f>
        <v>92250</v>
      </c>
      <c r="J157" s="103">
        <f>VLOOKUP($A157,'OI(Volume)'!$A$7:$O$427,11)</f>
        <v>26167500</v>
      </c>
      <c r="K157" s="103">
        <f>VLOOKUP($A157,'OI(Volume)'!$A$7:$O$427,12)</f>
        <v>-364500</v>
      </c>
      <c r="L157" s="103">
        <f>VLOOKUP($A157,'OI(Value)'!$A$7:$O$306,8,0)</f>
        <v>1489</v>
      </c>
      <c r="M157" s="103">
        <f>VLOOKUP($A157,'OI(Value)'!$A$7:$O$306,9,0)</f>
        <v>2</v>
      </c>
      <c r="N157" s="103">
        <f>VLOOKUP($A157,'OI(Value)'!$A$7:$O$306,11,0)</f>
        <v>608</v>
      </c>
      <c r="O157" s="103">
        <f>VLOOKUP($A157,'OI(Value)'!$A$7:$O$306,12,0)</f>
        <v>-8</v>
      </c>
      <c r="P157" s="179">
        <f>VLOOKUP(A157,'OI(Value)'!A157:O358,8,0)</f>
        <v>1489</v>
      </c>
      <c r="Q157" s="179">
        <f>VLOOKUP(A157,'OI(Value)'!A157:O358,9,0)</f>
        <v>2</v>
      </c>
      <c r="R157" s="179">
        <f>VLOOKUP(A157,'OI(Value)'!A157:O358,11,0)</f>
        <v>608</v>
      </c>
      <c r="S157" s="179">
        <f>VLOOKUP(A157,'OI(Value)'!A157:O358,11,0)</f>
        <v>608</v>
      </c>
    </row>
    <row r="158" spans="1:19" x14ac:dyDescent="0.25">
      <c r="A158" s="105" t="str">
        <f>'Data shares'!C153</f>
        <v>PAGEIND</v>
      </c>
      <c r="B158" s="143">
        <f>VLOOKUP($A158,'Data shares'!$C:$FA,118)</f>
        <v>0.42</v>
      </c>
      <c r="C158" s="143">
        <f>VLOOKUP($A158,'Data shares'!$C:$FA,119)</f>
        <v>0.41</v>
      </c>
      <c r="D158" s="143">
        <f>VLOOKUP($A158,'Data shares'!$C:$FA,121)*100</f>
        <v>2.44</v>
      </c>
      <c r="E158" s="143">
        <f>VLOOKUP($A158,'Data shares'!$C:$FA,124)</f>
        <v>0.97</v>
      </c>
      <c r="F158" s="143">
        <f>VLOOKUP($A158,'Data shares'!$C:$FA,125)</f>
        <v>0.24</v>
      </c>
      <c r="G158" s="143">
        <f>VLOOKUP($A158,'Data shares'!$C:$FA,127)*100</f>
        <v>304.17</v>
      </c>
      <c r="H158" s="103">
        <f>VLOOKUP($A158,'OI(Volume)'!$A$7:$O$427,8)</f>
        <v>130230</v>
      </c>
      <c r="I158" s="103">
        <f>VLOOKUP($A158,'OI(Volume)'!$A$7:$O$427,9)</f>
        <v>135</v>
      </c>
      <c r="J158" s="103">
        <f>VLOOKUP($A158,'OI(Volume)'!$A$7:$O$427,11)</f>
        <v>55080</v>
      </c>
      <c r="K158" s="103">
        <f>VLOOKUP($A158,'OI(Volume)'!$A$7:$O$427,12)</f>
        <v>1560</v>
      </c>
      <c r="L158" s="103">
        <f>VLOOKUP($A158,'OI(Value)'!$A$7:$O$306,8,0)</f>
        <v>467</v>
      </c>
      <c r="M158" s="103">
        <f>VLOOKUP($A158,'OI(Value)'!$A$7:$O$306,9,0)</f>
        <v>0</v>
      </c>
      <c r="N158" s="103">
        <f>VLOOKUP($A158,'OI(Value)'!$A$7:$O$306,11,0)</f>
        <v>197</v>
      </c>
      <c r="O158" s="103">
        <f>VLOOKUP($A158,'OI(Value)'!$A$7:$O$306,12,0)</f>
        <v>6</v>
      </c>
      <c r="P158" s="179">
        <f>VLOOKUP(A158,'OI(Value)'!A158:O359,8,0)</f>
        <v>467</v>
      </c>
      <c r="Q158" s="179">
        <f>VLOOKUP(A158,'OI(Value)'!A158:O359,9,0)</f>
        <v>0</v>
      </c>
      <c r="R158" s="179">
        <f>VLOOKUP(A158,'OI(Value)'!A158:O359,11,0)</f>
        <v>197</v>
      </c>
      <c r="S158" s="179">
        <f>VLOOKUP(A158,'OI(Value)'!A158:O359,11,0)</f>
        <v>197</v>
      </c>
    </row>
    <row r="159" spans="1:19" x14ac:dyDescent="0.25">
      <c r="A159" s="105" t="str">
        <f>'Data shares'!C154</f>
        <v>PATANJALI</v>
      </c>
      <c r="B159" s="143">
        <f>VLOOKUP($A159,'Data shares'!$C:$FA,118)</f>
        <v>0.56000000000000005</v>
      </c>
      <c r="C159" s="143">
        <f>VLOOKUP($A159,'Data shares'!$C:$FA,119)</f>
        <v>0.48</v>
      </c>
      <c r="D159" s="143">
        <f>VLOOKUP($A159,'Data shares'!$C:$FA,121)*100</f>
        <v>16.669999999999998</v>
      </c>
      <c r="E159" s="143">
        <f>VLOOKUP($A159,'Data shares'!$C:$FA,124)</f>
        <v>0.46</v>
      </c>
      <c r="F159" s="143">
        <f>VLOOKUP($A159,'Data shares'!$C:$FA,125)</f>
        <v>0.32</v>
      </c>
      <c r="G159" s="143">
        <f>VLOOKUP($A159,'Data shares'!$C:$FA,127)*100</f>
        <v>43.75</v>
      </c>
      <c r="H159" s="103">
        <f>VLOOKUP($A159,'OI(Volume)'!$A$7:$O$427,8)</f>
        <v>7715700</v>
      </c>
      <c r="I159" s="103">
        <f>VLOOKUP($A159,'OI(Volume)'!$A$7:$O$427,9)</f>
        <v>-390600</v>
      </c>
      <c r="J159" s="103">
        <f>VLOOKUP($A159,'OI(Volume)'!$A$7:$O$427,11)</f>
        <v>4357800</v>
      </c>
      <c r="K159" s="103">
        <f>VLOOKUP($A159,'OI(Volume)'!$A$7:$O$427,12)</f>
        <v>462600</v>
      </c>
      <c r="L159" s="103">
        <f>VLOOKUP($A159,'OI(Value)'!$A$7:$O$306,8,0)</f>
        <v>426</v>
      </c>
      <c r="M159" s="103">
        <f>VLOOKUP($A159,'OI(Value)'!$A$7:$O$306,9,0)</f>
        <v>-22</v>
      </c>
      <c r="N159" s="103">
        <f>VLOOKUP($A159,'OI(Value)'!$A$7:$O$306,11,0)</f>
        <v>241</v>
      </c>
      <c r="O159" s="103">
        <f>VLOOKUP($A159,'OI(Value)'!$A$7:$O$306,12,0)</f>
        <v>26</v>
      </c>
      <c r="P159" s="179">
        <f>VLOOKUP(A159,'OI(Value)'!A159:O360,8,0)</f>
        <v>426</v>
      </c>
      <c r="Q159" s="179">
        <f>VLOOKUP(A159,'OI(Value)'!A159:O360,9,0)</f>
        <v>-22</v>
      </c>
      <c r="R159" s="179">
        <f>VLOOKUP(A159,'OI(Value)'!A159:O360,11,0)</f>
        <v>241</v>
      </c>
      <c r="S159" s="179">
        <f>VLOOKUP(A159,'OI(Value)'!A159:O360,11,0)</f>
        <v>241</v>
      </c>
    </row>
    <row r="160" spans="1:19" x14ac:dyDescent="0.25">
      <c r="A160" s="105" t="str">
        <f>'Data shares'!C155</f>
        <v>PAYTM</v>
      </c>
      <c r="B160" s="143">
        <f>VLOOKUP($A160,'Data shares'!$C:$FA,118)</f>
        <v>0.56999999999999995</v>
      </c>
      <c r="C160" s="143">
        <f>VLOOKUP($A160,'Data shares'!$C:$FA,119)</f>
        <v>0.54</v>
      </c>
      <c r="D160" s="143">
        <f>VLOOKUP($A160,'Data shares'!$C:$FA,121)*100</f>
        <v>5.56</v>
      </c>
      <c r="E160" s="143">
        <f>VLOOKUP($A160,'Data shares'!$C:$FA,124)</f>
        <v>0.45</v>
      </c>
      <c r="F160" s="143">
        <f>VLOOKUP($A160,'Data shares'!$C:$FA,125)</f>
        <v>0.44</v>
      </c>
      <c r="G160" s="143">
        <f>VLOOKUP($A160,'Data shares'!$C:$FA,127)*100</f>
        <v>2.27</v>
      </c>
      <c r="H160" s="103">
        <f>VLOOKUP($A160,'OI(Volume)'!$A$7:$O$427,8)</f>
        <v>10670550</v>
      </c>
      <c r="I160" s="103">
        <f>VLOOKUP($A160,'OI(Volume)'!$A$7:$O$427,9)</f>
        <v>-220400</v>
      </c>
      <c r="J160" s="103">
        <f>VLOOKUP($A160,'OI(Volume)'!$A$7:$O$427,11)</f>
        <v>6088550</v>
      </c>
      <c r="K160" s="103">
        <f>VLOOKUP($A160,'OI(Volume)'!$A$7:$O$427,12)</f>
        <v>184875</v>
      </c>
      <c r="L160" s="103">
        <f>VLOOKUP($A160,'OI(Value)'!$A$7:$O$306,8,0)</f>
        <v>1377</v>
      </c>
      <c r="M160" s="103">
        <f>VLOOKUP($A160,'OI(Value)'!$A$7:$O$306,9,0)</f>
        <v>-28</v>
      </c>
      <c r="N160" s="103">
        <f>VLOOKUP($A160,'OI(Value)'!$A$7:$O$306,11,0)</f>
        <v>786</v>
      </c>
      <c r="O160" s="103">
        <f>VLOOKUP($A160,'OI(Value)'!$A$7:$O$306,12,0)</f>
        <v>24</v>
      </c>
      <c r="P160" s="179">
        <f>VLOOKUP(A160,'OI(Value)'!A160:O361,8,0)</f>
        <v>1377</v>
      </c>
      <c r="Q160" s="179">
        <f>VLOOKUP(A160,'OI(Value)'!A160:O361,9,0)</f>
        <v>-28</v>
      </c>
      <c r="R160" s="179">
        <f>VLOOKUP(A160,'OI(Value)'!A160:O361,11,0)</f>
        <v>786</v>
      </c>
      <c r="S160" s="179">
        <f>VLOOKUP(A160,'OI(Value)'!A160:O361,11,0)</f>
        <v>786</v>
      </c>
    </row>
    <row r="161" spans="1:19" x14ac:dyDescent="0.25">
      <c r="A161" s="105" t="str">
        <f>'Data shares'!C156</f>
        <v>PERSISTENT</v>
      </c>
      <c r="B161" s="143">
        <f>VLOOKUP($A161,'Data shares'!$C:$FA,118)</f>
        <v>0.62</v>
      </c>
      <c r="C161" s="143">
        <f>VLOOKUP($A161,'Data shares'!$C:$FA,119)</f>
        <v>0.57999999999999996</v>
      </c>
      <c r="D161" s="143">
        <f>VLOOKUP($A161,'Data shares'!$C:$FA,121)*100</f>
        <v>6.9</v>
      </c>
      <c r="E161" s="143">
        <f>VLOOKUP($A161,'Data shares'!$C:$FA,124)</f>
        <v>0.47</v>
      </c>
      <c r="F161" s="143">
        <f>VLOOKUP($A161,'Data shares'!$C:$FA,125)</f>
        <v>0.47</v>
      </c>
      <c r="G161" s="143">
        <f>VLOOKUP($A161,'Data shares'!$C:$FA,127)*100</f>
        <v>0</v>
      </c>
      <c r="H161" s="103">
        <f>VLOOKUP($A161,'OI(Volume)'!$A$7:$O$427,8)</f>
        <v>1153500</v>
      </c>
      <c r="I161" s="103">
        <f>VLOOKUP($A161,'OI(Volume)'!$A$7:$O$427,9)</f>
        <v>-25800</v>
      </c>
      <c r="J161" s="103">
        <f>VLOOKUP($A161,'OI(Volume)'!$A$7:$O$427,11)</f>
        <v>714800</v>
      </c>
      <c r="K161" s="103">
        <f>VLOOKUP($A161,'OI(Volume)'!$A$7:$O$427,12)</f>
        <v>35700</v>
      </c>
      <c r="L161" s="103">
        <f>VLOOKUP($A161,'OI(Value)'!$A$7:$O$306,8,0)</f>
        <v>731</v>
      </c>
      <c r="M161" s="103">
        <f>VLOOKUP($A161,'OI(Value)'!$A$7:$O$306,9,0)</f>
        <v>-16</v>
      </c>
      <c r="N161" s="103">
        <f>VLOOKUP($A161,'OI(Value)'!$A$7:$O$306,11,0)</f>
        <v>453</v>
      </c>
      <c r="O161" s="103">
        <f>VLOOKUP($A161,'OI(Value)'!$A$7:$O$306,12,0)</f>
        <v>23</v>
      </c>
      <c r="P161" s="179">
        <f>VLOOKUP(A161,'OI(Value)'!A161:O362,8,0)</f>
        <v>731</v>
      </c>
      <c r="Q161" s="179">
        <f>VLOOKUP(A161,'OI(Value)'!A161:O362,9,0)</f>
        <v>-16</v>
      </c>
      <c r="R161" s="179">
        <f>VLOOKUP(A161,'OI(Value)'!A161:O362,11,0)</f>
        <v>453</v>
      </c>
      <c r="S161" s="179">
        <f>VLOOKUP(A161,'OI(Value)'!A161:O362,11,0)</f>
        <v>453</v>
      </c>
    </row>
    <row r="162" spans="1:19" x14ac:dyDescent="0.25">
      <c r="A162" s="105" t="str">
        <f>'Data shares'!C157</f>
        <v>PETRONET</v>
      </c>
      <c r="B162" s="143">
        <f>VLOOKUP($A162,'Data shares'!$C:$FA,118)</f>
        <v>1.02</v>
      </c>
      <c r="C162" s="143">
        <f>VLOOKUP($A162,'Data shares'!$C:$FA,119)</f>
        <v>1.01</v>
      </c>
      <c r="D162" s="143">
        <f>VLOOKUP($A162,'Data shares'!$C:$FA,121)*100</f>
        <v>0.9900000000000001</v>
      </c>
      <c r="E162" s="143">
        <f>VLOOKUP($A162,'Data shares'!$C:$FA,124)</f>
        <v>0.52</v>
      </c>
      <c r="F162" s="143">
        <f>VLOOKUP($A162,'Data shares'!$C:$FA,125)</f>
        <v>0.7</v>
      </c>
      <c r="G162" s="143">
        <f>VLOOKUP($A162,'Data shares'!$C:$FA,127)*100</f>
        <v>-25.71</v>
      </c>
      <c r="H162" s="103">
        <f>VLOOKUP($A162,'OI(Volume)'!$A$7:$O$427,8)</f>
        <v>17431200</v>
      </c>
      <c r="I162" s="103">
        <f>VLOOKUP($A162,'OI(Volume)'!$A$7:$O$427,9)</f>
        <v>199900</v>
      </c>
      <c r="J162" s="103">
        <f>VLOOKUP($A162,'OI(Volume)'!$A$7:$O$427,11)</f>
        <v>17693200</v>
      </c>
      <c r="K162" s="103">
        <f>VLOOKUP($A162,'OI(Volume)'!$A$7:$O$427,12)</f>
        <v>223500</v>
      </c>
      <c r="L162" s="103">
        <f>VLOOKUP($A162,'OI(Value)'!$A$7:$O$306,8,0)</f>
        <v>470</v>
      </c>
      <c r="M162" s="103">
        <f>VLOOKUP($A162,'OI(Value)'!$A$7:$O$306,9,0)</f>
        <v>5</v>
      </c>
      <c r="N162" s="103">
        <f>VLOOKUP($A162,'OI(Value)'!$A$7:$O$306,11,0)</f>
        <v>477</v>
      </c>
      <c r="O162" s="103">
        <f>VLOOKUP($A162,'OI(Value)'!$A$7:$O$306,12,0)</f>
        <v>6</v>
      </c>
      <c r="P162" s="179">
        <f>VLOOKUP(A162,'OI(Value)'!A162:O363,8,0)</f>
        <v>470</v>
      </c>
      <c r="Q162" s="179">
        <f>VLOOKUP(A162,'OI(Value)'!A162:O363,9,0)</f>
        <v>5</v>
      </c>
      <c r="R162" s="179">
        <f>VLOOKUP(A162,'OI(Value)'!A162:O363,11,0)</f>
        <v>477</v>
      </c>
      <c r="S162" s="179">
        <f>VLOOKUP(A162,'OI(Value)'!A162:O363,11,0)</f>
        <v>477</v>
      </c>
    </row>
    <row r="163" spans="1:19" x14ac:dyDescent="0.25">
      <c r="A163" s="105" t="str">
        <f>'Data shares'!C158</f>
        <v>PFC</v>
      </c>
      <c r="B163" s="143">
        <f>VLOOKUP($A163,'Data shares'!$C:$FA,118)</f>
        <v>0.61</v>
      </c>
      <c r="C163" s="143">
        <f>VLOOKUP($A163,'Data shares'!$C:$FA,119)</f>
        <v>0.59</v>
      </c>
      <c r="D163" s="143">
        <f>VLOOKUP($A163,'Data shares'!$C:$FA,121)*100</f>
        <v>3.39</v>
      </c>
      <c r="E163" s="143">
        <f>VLOOKUP($A163,'Data shares'!$C:$FA,124)</f>
        <v>0.41</v>
      </c>
      <c r="F163" s="143">
        <f>VLOOKUP($A163,'Data shares'!$C:$FA,125)</f>
        <v>0.38</v>
      </c>
      <c r="G163" s="143">
        <f>VLOOKUP($A163,'Data shares'!$C:$FA,127)*100</f>
        <v>7.89</v>
      </c>
      <c r="H163" s="103">
        <f>VLOOKUP($A163,'OI(Volume)'!$A$7:$O$427,8)</f>
        <v>50568700</v>
      </c>
      <c r="I163" s="103">
        <f>VLOOKUP($A163,'OI(Volume)'!$A$7:$O$427,9)</f>
        <v>694200</v>
      </c>
      <c r="J163" s="103">
        <f>VLOOKUP($A163,'OI(Volume)'!$A$7:$O$427,11)</f>
        <v>30596800</v>
      </c>
      <c r="K163" s="103">
        <f>VLOOKUP($A163,'OI(Volume)'!$A$7:$O$427,12)</f>
        <v>1027000</v>
      </c>
      <c r="L163" s="103">
        <f>VLOOKUP($A163,'OI(Value)'!$A$7:$O$306,8,0)</f>
        <v>1700</v>
      </c>
      <c r="M163" s="103">
        <f>VLOOKUP($A163,'OI(Value)'!$A$7:$O$306,9,0)</f>
        <v>23</v>
      </c>
      <c r="N163" s="103">
        <f>VLOOKUP($A163,'OI(Value)'!$A$7:$O$306,11,0)</f>
        <v>1028</v>
      </c>
      <c r="O163" s="103">
        <f>VLOOKUP($A163,'OI(Value)'!$A$7:$O$306,12,0)</f>
        <v>35</v>
      </c>
      <c r="P163" s="179">
        <f>VLOOKUP(A163,'OI(Value)'!A163:O364,8,0)</f>
        <v>1700</v>
      </c>
      <c r="Q163" s="179">
        <f>VLOOKUP(A163,'OI(Value)'!A163:O364,9,0)</f>
        <v>23</v>
      </c>
      <c r="R163" s="179">
        <f>VLOOKUP(A163,'OI(Value)'!A163:O364,11,0)</f>
        <v>1028</v>
      </c>
      <c r="S163" s="179">
        <f>VLOOKUP(A163,'OI(Value)'!A163:O364,11,0)</f>
        <v>1028</v>
      </c>
    </row>
    <row r="164" spans="1:19" x14ac:dyDescent="0.25">
      <c r="A164" s="105" t="str">
        <f>'Data shares'!C159</f>
        <v>PGEL</v>
      </c>
      <c r="B164" s="143">
        <f>VLOOKUP($A164,'Data shares'!$C:$FA,118)</f>
        <v>0.66</v>
      </c>
      <c r="C164" s="143">
        <f>VLOOKUP($A164,'Data shares'!$C:$FA,119)</f>
        <v>0.63</v>
      </c>
      <c r="D164" s="143">
        <f>VLOOKUP($A164,'Data shares'!$C:$FA,121)*100</f>
        <v>4.7600000000000007</v>
      </c>
      <c r="E164" s="143">
        <f>VLOOKUP($A164,'Data shares'!$C:$FA,124)</f>
        <v>0.36</v>
      </c>
      <c r="F164" s="143">
        <f>VLOOKUP($A164,'Data shares'!$C:$FA,125)</f>
        <v>0.41</v>
      </c>
      <c r="G164" s="143">
        <f>VLOOKUP($A164,'Data shares'!$C:$FA,127)*100</f>
        <v>-12.2</v>
      </c>
      <c r="H164" s="103">
        <f>VLOOKUP($A164,'OI(Volume)'!$A$7:$O$427,8)</f>
        <v>8486650</v>
      </c>
      <c r="I164" s="103">
        <f>VLOOKUP($A164,'OI(Volume)'!$A$7:$O$427,9)</f>
        <v>-453500</v>
      </c>
      <c r="J164" s="103">
        <f>VLOOKUP($A164,'OI(Volume)'!$A$7:$O$427,11)</f>
        <v>5563250</v>
      </c>
      <c r="K164" s="103">
        <f>VLOOKUP($A164,'OI(Volume)'!$A$7:$O$427,12)</f>
        <v>-66400</v>
      </c>
      <c r="L164" s="103">
        <f>VLOOKUP($A164,'OI(Value)'!$A$7:$O$306,8,0)</f>
        <v>481</v>
      </c>
      <c r="M164" s="103">
        <f>VLOOKUP($A164,'OI(Value)'!$A$7:$O$306,9,0)</f>
        <v>-26</v>
      </c>
      <c r="N164" s="103">
        <f>VLOOKUP($A164,'OI(Value)'!$A$7:$O$306,11,0)</f>
        <v>315</v>
      </c>
      <c r="O164" s="103">
        <f>VLOOKUP($A164,'OI(Value)'!$A$7:$O$306,12,0)</f>
        <v>-4</v>
      </c>
      <c r="P164" s="179">
        <f>VLOOKUP(A164,'OI(Value)'!A164:O365,8,0)</f>
        <v>481</v>
      </c>
      <c r="Q164" s="179">
        <f>VLOOKUP(A164,'OI(Value)'!A164:O365,9,0)</f>
        <v>-26</v>
      </c>
      <c r="R164" s="179">
        <f>VLOOKUP(A164,'OI(Value)'!A164:O365,11,0)</f>
        <v>315</v>
      </c>
      <c r="S164" s="179">
        <f>VLOOKUP(A164,'OI(Value)'!A164:O365,11,0)</f>
        <v>315</v>
      </c>
    </row>
    <row r="165" spans="1:19" x14ac:dyDescent="0.25">
      <c r="A165" s="105" t="str">
        <f>'Data shares'!C160</f>
        <v>PHOENIXLTD</v>
      </c>
      <c r="B165" s="143">
        <f>VLOOKUP($A165,'Data shares'!$C:$FA,118)</f>
        <v>0.53</v>
      </c>
      <c r="C165" s="143">
        <f>VLOOKUP($A165,'Data shares'!$C:$FA,119)</f>
        <v>0.51</v>
      </c>
      <c r="D165" s="143">
        <f>VLOOKUP($A165,'Data shares'!$C:$FA,121)*100</f>
        <v>3.92</v>
      </c>
      <c r="E165" s="143">
        <f>VLOOKUP($A165,'Data shares'!$C:$FA,124)</f>
        <v>0.37</v>
      </c>
      <c r="F165" s="143">
        <f>VLOOKUP($A165,'Data shares'!$C:$FA,125)</f>
        <v>0.42</v>
      </c>
      <c r="G165" s="143">
        <f>VLOOKUP($A165,'Data shares'!$C:$FA,127)*100</f>
        <v>-11.899999999999999</v>
      </c>
      <c r="H165" s="103">
        <f>VLOOKUP($A165,'OI(Volume)'!$A$7:$O$427,8)</f>
        <v>1333150</v>
      </c>
      <c r="I165" s="103">
        <f>VLOOKUP($A165,'OI(Volume)'!$A$7:$O$427,9)</f>
        <v>-54250</v>
      </c>
      <c r="J165" s="103">
        <f>VLOOKUP($A165,'OI(Volume)'!$A$7:$O$427,11)</f>
        <v>710500</v>
      </c>
      <c r="K165" s="103">
        <f>VLOOKUP($A165,'OI(Volume)'!$A$7:$O$427,12)</f>
        <v>9800</v>
      </c>
      <c r="L165" s="103">
        <f>VLOOKUP($A165,'OI(Value)'!$A$7:$O$306,8,0)</f>
        <v>240</v>
      </c>
      <c r="M165" s="103">
        <f>VLOOKUP($A165,'OI(Value)'!$A$7:$O$306,9,0)</f>
        <v>-10</v>
      </c>
      <c r="N165" s="103">
        <f>VLOOKUP($A165,'OI(Value)'!$A$7:$O$306,11,0)</f>
        <v>128</v>
      </c>
      <c r="O165" s="103">
        <f>VLOOKUP($A165,'OI(Value)'!$A$7:$O$306,12,0)</f>
        <v>2</v>
      </c>
      <c r="P165" s="179">
        <f>VLOOKUP(A165,'OI(Value)'!A165:O366,8,0)</f>
        <v>240</v>
      </c>
      <c r="Q165" s="179">
        <f>VLOOKUP(A165,'OI(Value)'!A165:O366,9,0)</f>
        <v>-10</v>
      </c>
      <c r="R165" s="179">
        <f>VLOOKUP(A165,'OI(Value)'!A165:O366,11,0)</f>
        <v>128</v>
      </c>
      <c r="S165" s="179">
        <f>VLOOKUP(A165,'OI(Value)'!A165:O366,11,0)</f>
        <v>128</v>
      </c>
    </row>
    <row r="166" spans="1:19" x14ac:dyDescent="0.25">
      <c r="A166" s="105" t="str">
        <f>'Data shares'!C161</f>
        <v>PIDILITIND</v>
      </c>
      <c r="B166" s="143">
        <f>VLOOKUP($A166,'Data shares'!$C:$FA,118)</f>
        <v>0.72</v>
      </c>
      <c r="C166" s="143">
        <f>VLOOKUP($A166,'Data shares'!$C:$FA,119)</f>
        <v>0.74</v>
      </c>
      <c r="D166" s="143">
        <f>VLOOKUP($A166,'Data shares'!$C:$FA,121)*100</f>
        <v>-2.7</v>
      </c>
      <c r="E166" s="143">
        <f>VLOOKUP($A166,'Data shares'!$C:$FA,124)</f>
        <v>0.5</v>
      </c>
      <c r="F166" s="143">
        <f>VLOOKUP($A166,'Data shares'!$C:$FA,125)</f>
        <v>0.75</v>
      </c>
      <c r="G166" s="143">
        <f>VLOOKUP($A166,'Data shares'!$C:$FA,127)*100</f>
        <v>-33.33</v>
      </c>
      <c r="H166" s="103">
        <f>VLOOKUP($A166,'OI(Volume)'!$A$7:$O$427,8)</f>
        <v>1456000</v>
      </c>
      <c r="I166" s="103">
        <f>VLOOKUP($A166,'OI(Volume)'!$A$7:$O$427,9)</f>
        <v>45000</v>
      </c>
      <c r="J166" s="103">
        <f>VLOOKUP($A166,'OI(Volume)'!$A$7:$O$427,11)</f>
        <v>1055000</v>
      </c>
      <c r="K166" s="103">
        <f>VLOOKUP($A166,'OI(Volume)'!$A$7:$O$427,12)</f>
        <v>17000</v>
      </c>
      <c r="L166" s="103">
        <f>VLOOKUP($A166,'OI(Value)'!$A$7:$O$306,8,0)</f>
        <v>212</v>
      </c>
      <c r="M166" s="103">
        <f>VLOOKUP($A166,'OI(Value)'!$A$7:$O$306,9,0)</f>
        <v>7</v>
      </c>
      <c r="N166" s="103">
        <f>VLOOKUP($A166,'OI(Value)'!$A$7:$O$306,11,0)</f>
        <v>154</v>
      </c>
      <c r="O166" s="103">
        <f>VLOOKUP($A166,'OI(Value)'!$A$7:$O$306,12,0)</f>
        <v>2</v>
      </c>
      <c r="P166" s="179">
        <f>VLOOKUP(A166,'OI(Value)'!A166:O367,8,0)</f>
        <v>212</v>
      </c>
      <c r="Q166" s="179">
        <f>VLOOKUP(A166,'OI(Value)'!A166:O367,9,0)</f>
        <v>7</v>
      </c>
      <c r="R166" s="179">
        <f>VLOOKUP(A166,'OI(Value)'!A166:O367,11,0)</f>
        <v>154</v>
      </c>
      <c r="S166" s="179">
        <f>VLOOKUP(A166,'OI(Value)'!A166:O367,11,0)</f>
        <v>154</v>
      </c>
    </row>
    <row r="167" spans="1:19" x14ac:dyDescent="0.25">
      <c r="A167" s="105" t="str">
        <f>'Data shares'!C162</f>
        <v>PIIND</v>
      </c>
      <c r="B167" s="143">
        <f>VLOOKUP($A167,'Data shares'!$C:$FA,118)</f>
        <v>0.69</v>
      </c>
      <c r="C167" s="143">
        <f>VLOOKUP($A167,'Data shares'!$C:$FA,119)</f>
        <v>0.63</v>
      </c>
      <c r="D167" s="143">
        <f>VLOOKUP($A167,'Data shares'!$C:$FA,121)*100</f>
        <v>9.5200000000000014</v>
      </c>
      <c r="E167" s="143">
        <f>VLOOKUP($A167,'Data shares'!$C:$FA,124)</f>
        <v>0.78</v>
      </c>
      <c r="F167" s="143">
        <f>VLOOKUP($A167,'Data shares'!$C:$FA,125)</f>
        <v>0.66</v>
      </c>
      <c r="G167" s="143">
        <f>VLOOKUP($A167,'Data shares'!$C:$FA,127)*100</f>
        <v>18.18</v>
      </c>
      <c r="H167" s="103">
        <f>VLOOKUP($A167,'OI(Volume)'!$A$7:$O$427,8)</f>
        <v>1039150</v>
      </c>
      <c r="I167" s="103">
        <f>VLOOKUP($A167,'OI(Volume)'!$A$7:$O$427,9)</f>
        <v>-26600</v>
      </c>
      <c r="J167" s="103">
        <f>VLOOKUP($A167,'OI(Volume)'!$A$7:$O$427,11)</f>
        <v>717500</v>
      </c>
      <c r="K167" s="103">
        <f>VLOOKUP($A167,'OI(Volume)'!$A$7:$O$427,12)</f>
        <v>42700</v>
      </c>
      <c r="L167" s="103">
        <f>VLOOKUP($A167,'OI(Value)'!$A$7:$O$306,8,0)</f>
        <v>335</v>
      </c>
      <c r="M167" s="103">
        <f>VLOOKUP($A167,'OI(Value)'!$A$7:$O$306,9,0)</f>
        <v>-9</v>
      </c>
      <c r="N167" s="103">
        <f>VLOOKUP($A167,'OI(Value)'!$A$7:$O$306,11,0)</f>
        <v>231</v>
      </c>
      <c r="O167" s="103">
        <f>VLOOKUP($A167,'OI(Value)'!$A$7:$O$306,12,0)</f>
        <v>14</v>
      </c>
      <c r="P167" s="179">
        <f>VLOOKUP(A167,'OI(Value)'!A167:O368,8,0)</f>
        <v>335</v>
      </c>
      <c r="Q167" s="179">
        <f>VLOOKUP(A167,'OI(Value)'!A167:O368,9,0)</f>
        <v>-9</v>
      </c>
      <c r="R167" s="179">
        <f>VLOOKUP(A167,'OI(Value)'!A167:O368,11,0)</f>
        <v>231</v>
      </c>
      <c r="S167" s="179">
        <f>VLOOKUP(A167,'OI(Value)'!A167:O368,11,0)</f>
        <v>231</v>
      </c>
    </row>
    <row r="168" spans="1:19" x14ac:dyDescent="0.25">
      <c r="A168" s="105" t="str">
        <f>'Data shares'!C163</f>
        <v>PNB</v>
      </c>
      <c r="B168" s="143">
        <f>VLOOKUP($A168,'Data shares'!$C:$FA,118)</f>
        <v>0.55000000000000004</v>
      </c>
      <c r="C168" s="143">
        <f>VLOOKUP($A168,'Data shares'!$C:$FA,119)</f>
        <v>0.55000000000000004</v>
      </c>
      <c r="D168" s="143">
        <f>VLOOKUP($A168,'Data shares'!$C:$FA,121)*100</f>
        <v>0</v>
      </c>
      <c r="E168" s="143">
        <f>VLOOKUP($A168,'Data shares'!$C:$FA,124)</f>
        <v>0.5</v>
      </c>
      <c r="F168" s="143">
        <f>VLOOKUP($A168,'Data shares'!$C:$FA,125)</f>
        <v>0.42</v>
      </c>
      <c r="G168" s="143">
        <f>VLOOKUP($A168,'Data shares'!$C:$FA,127)*100</f>
        <v>19.05</v>
      </c>
      <c r="H168" s="103">
        <f>VLOOKUP($A168,'OI(Volume)'!$A$7:$O$427,8)</f>
        <v>186152000</v>
      </c>
      <c r="I168" s="103">
        <f>VLOOKUP($A168,'OI(Volume)'!$A$7:$O$427,9)</f>
        <v>3144000</v>
      </c>
      <c r="J168" s="103">
        <f>VLOOKUP($A168,'OI(Volume)'!$A$7:$O$427,11)</f>
        <v>101560000</v>
      </c>
      <c r="K168" s="103">
        <f>VLOOKUP($A168,'OI(Volume)'!$A$7:$O$427,12)</f>
        <v>928000</v>
      </c>
      <c r="L168" s="103">
        <f>VLOOKUP($A168,'OI(Value)'!$A$7:$O$306,8,0)</f>
        <v>2216</v>
      </c>
      <c r="M168" s="103">
        <f>VLOOKUP($A168,'OI(Value)'!$A$7:$O$306,9,0)</f>
        <v>37</v>
      </c>
      <c r="N168" s="103">
        <f>VLOOKUP($A168,'OI(Value)'!$A$7:$O$306,11,0)</f>
        <v>1209</v>
      </c>
      <c r="O168" s="103">
        <f>VLOOKUP($A168,'OI(Value)'!$A$7:$O$306,12,0)</f>
        <v>11</v>
      </c>
      <c r="P168" s="179">
        <f>VLOOKUP(A168,'OI(Value)'!A168:O369,8,0)</f>
        <v>2216</v>
      </c>
      <c r="Q168" s="179">
        <f>VLOOKUP(A168,'OI(Value)'!A168:O369,9,0)</f>
        <v>37</v>
      </c>
      <c r="R168" s="179">
        <f>VLOOKUP(A168,'OI(Value)'!A168:O369,11,0)</f>
        <v>1209</v>
      </c>
      <c r="S168" s="179">
        <f>VLOOKUP(A168,'OI(Value)'!A168:O369,11,0)</f>
        <v>1209</v>
      </c>
    </row>
    <row r="169" spans="1:19" x14ac:dyDescent="0.25">
      <c r="A169" s="105" t="str">
        <f>'Data shares'!C164</f>
        <v>PNBHOUSING</v>
      </c>
      <c r="B169" s="143">
        <f>VLOOKUP($A169,'Data shares'!$C:$FA,118)</f>
        <v>0.57999999999999996</v>
      </c>
      <c r="C169" s="143">
        <f>VLOOKUP($A169,'Data shares'!$C:$FA,119)</f>
        <v>0.62</v>
      </c>
      <c r="D169" s="143">
        <f>VLOOKUP($A169,'Data shares'!$C:$FA,121)*100</f>
        <v>-6.45</v>
      </c>
      <c r="E169" s="143">
        <f>VLOOKUP($A169,'Data shares'!$C:$FA,124)</f>
        <v>0.53</v>
      </c>
      <c r="F169" s="143">
        <f>VLOOKUP($A169,'Data shares'!$C:$FA,125)</f>
        <v>0.49</v>
      </c>
      <c r="G169" s="143">
        <f>VLOOKUP($A169,'Data shares'!$C:$FA,127)*100</f>
        <v>8.16</v>
      </c>
      <c r="H169" s="103">
        <f>VLOOKUP($A169,'OI(Volume)'!$A$7:$O$427,8)</f>
        <v>7969650</v>
      </c>
      <c r="I169" s="103">
        <f>VLOOKUP($A169,'OI(Volume)'!$A$7:$O$427,9)</f>
        <v>354250</v>
      </c>
      <c r="J169" s="103">
        <f>VLOOKUP($A169,'OI(Volume)'!$A$7:$O$427,11)</f>
        <v>4608500</v>
      </c>
      <c r="K169" s="103">
        <f>VLOOKUP($A169,'OI(Volume)'!$A$7:$O$427,12)</f>
        <v>-96200</v>
      </c>
      <c r="L169" s="103">
        <f>VLOOKUP($A169,'OI(Value)'!$A$7:$O$306,8,0)</f>
        <v>716</v>
      </c>
      <c r="M169" s="103">
        <f>VLOOKUP($A169,'OI(Value)'!$A$7:$O$306,9,0)</f>
        <v>32</v>
      </c>
      <c r="N169" s="103">
        <f>VLOOKUP($A169,'OI(Value)'!$A$7:$O$306,11,0)</f>
        <v>414</v>
      </c>
      <c r="O169" s="103">
        <f>VLOOKUP($A169,'OI(Value)'!$A$7:$O$306,12,0)</f>
        <v>-9</v>
      </c>
      <c r="P169" s="179">
        <f>VLOOKUP(A169,'OI(Value)'!A169:O370,8,0)</f>
        <v>716</v>
      </c>
      <c r="Q169" s="179">
        <f>VLOOKUP(A169,'OI(Value)'!A169:O370,9,0)</f>
        <v>32</v>
      </c>
      <c r="R169" s="179">
        <f>VLOOKUP(A169,'OI(Value)'!A169:O370,11,0)</f>
        <v>414</v>
      </c>
      <c r="S169" s="179">
        <f>VLOOKUP(A169,'OI(Value)'!A169:O370,11,0)</f>
        <v>414</v>
      </c>
    </row>
    <row r="170" spans="1:19" x14ac:dyDescent="0.25">
      <c r="A170" s="105" t="str">
        <f>'Data shares'!C165</f>
        <v>POLICYBZR</v>
      </c>
      <c r="B170" s="143">
        <f>VLOOKUP($A170,'Data shares'!$C:$FA,118)</f>
        <v>0.7</v>
      </c>
      <c r="C170" s="143">
        <f>VLOOKUP($A170,'Data shares'!$C:$FA,119)</f>
        <v>0.62</v>
      </c>
      <c r="D170" s="143">
        <f>VLOOKUP($A170,'Data shares'!$C:$FA,121)*100</f>
        <v>12.9</v>
      </c>
      <c r="E170" s="143">
        <f>VLOOKUP($A170,'Data shares'!$C:$FA,124)</f>
        <v>0.6</v>
      </c>
      <c r="F170" s="143">
        <f>VLOOKUP($A170,'Data shares'!$C:$FA,125)</f>
        <v>1.1100000000000001</v>
      </c>
      <c r="G170" s="143">
        <f>VLOOKUP($A170,'Data shares'!$C:$FA,127)*100</f>
        <v>-45.95</v>
      </c>
      <c r="H170" s="103">
        <f>VLOOKUP($A170,'OI(Volume)'!$A$7:$O$427,8)</f>
        <v>3137750</v>
      </c>
      <c r="I170" s="103">
        <f>VLOOKUP($A170,'OI(Volume)'!$A$7:$O$427,9)</f>
        <v>-351750</v>
      </c>
      <c r="J170" s="103">
        <f>VLOOKUP($A170,'OI(Volume)'!$A$7:$O$427,11)</f>
        <v>2195900</v>
      </c>
      <c r="K170" s="103">
        <f>VLOOKUP($A170,'OI(Volume)'!$A$7:$O$427,12)</f>
        <v>17500</v>
      </c>
      <c r="L170" s="103">
        <f>VLOOKUP($A170,'OI(Value)'!$A$7:$O$306,8,0)</f>
        <v>577</v>
      </c>
      <c r="M170" s="103">
        <f>VLOOKUP($A170,'OI(Value)'!$A$7:$O$306,9,0)</f>
        <v>-65</v>
      </c>
      <c r="N170" s="103">
        <f>VLOOKUP($A170,'OI(Value)'!$A$7:$O$306,11,0)</f>
        <v>404</v>
      </c>
      <c r="O170" s="103">
        <f>VLOOKUP($A170,'OI(Value)'!$A$7:$O$306,12,0)</f>
        <v>3</v>
      </c>
      <c r="P170" s="179">
        <f>VLOOKUP(A170,'OI(Value)'!A170:O371,8,0)</f>
        <v>577</v>
      </c>
      <c r="Q170" s="179">
        <f>VLOOKUP(A170,'OI(Value)'!A170:O371,9,0)</f>
        <v>-65</v>
      </c>
      <c r="R170" s="179">
        <f>VLOOKUP(A170,'OI(Value)'!A170:O371,11,0)</f>
        <v>404</v>
      </c>
      <c r="S170" s="179">
        <f>VLOOKUP(A170,'OI(Value)'!A170:O371,11,0)</f>
        <v>404</v>
      </c>
    </row>
    <row r="171" spans="1:19" x14ac:dyDescent="0.25">
      <c r="A171" s="105" t="str">
        <f>'Data shares'!C166</f>
        <v>POLYCAB</v>
      </c>
      <c r="B171" s="143">
        <f>VLOOKUP($A171,'Data shares'!$C:$FA,118)</f>
        <v>0.61</v>
      </c>
      <c r="C171" s="143">
        <f>VLOOKUP($A171,'Data shares'!$C:$FA,119)</f>
        <v>0.66</v>
      </c>
      <c r="D171" s="143">
        <f>VLOOKUP($A171,'Data shares'!$C:$FA,121)*100</f>
        <v>-7.580000000000001</v>
      </c>
      <c r="E171" s="143">
        <f>VLOOKUP($A171,'Data shares'!$C:$FA,124)</f>
        <v>0.8</v>
      </c>
      <c r="F171" s="143">
        <f>VLOOKUP($A171,'Data shares'!$C:$FA,125)</f>
        <v>1.21</v>
      </c>
      <c r="G171" s="143">
        <f>VLOOKUP($A171,'Data shares'!$C:$FA,127)*100</f>
        <v>-33.879999999999995</v>
      </c>
      <c r="H171" s="103">
        <f>VLOOKUP($A171,'OI(Volume)'!$A$7:$O$427,8)</f>
        <v>987375</v>
      </c>
      <c r="I171" s="103">
        <f>VLOOKUP($A171,'OI(Volume)'!$A$7:$O$427,9)</f>
        <v>-92000</v>
      </c>
      <c r="J171" s="103">
        <f>VLOOKUP($A171,'OI(Volume)'!$A$7:$O$427,11)</f>
        <v>602000</v>
      </c>
      <c r="K171" s="103">
        <f>VLOOKUP($A171,'OI(Volume)'!$A$7:$O$427,12)</f>
        <v>-105625</v>
      </c>
      <c r="L171" s="103">
        <f>VLOOKUP($A171,'OI(Value)'!$A$7:$O$306,8,0)</f>
        <v>703</v>
      </c>
      <c r="M171" s="103">
        <f>VLOOKUP($A171,'OI(Value)'!$A$7:$O$306,9,0)</f>
        <v>-66</v>
      </c>
      <c r="N171" s="103">
        <f>VLOOKUP($A171,'OI(Value)'!$A$7:$O$306,11,0)</f>
        <v>429</v>
      </c>
      <c r="O171" s="103">
        <f>VLOOKUP($A171,'OI(Value)'!$A$7:$O$306,12,0)</f>
        <v>-75</v>
      </c>
      <c r="P171" s="179">
        <f>VLOOKUP(A171,'OI(Value)'!A171:O372,8,0)</f>
        <v>703</v>
      </c>
      <c r="Q171" s="179">
        <f>VLOOKUP(A171,'OI(Value)'!A171:O372,9,0)</f>
        <v>-66</v>
      </c>
      <c r="R171" s="179">
        <f>VLOOKUP(A171,'OI(Value)'!A171:O372,11,0)</f>
        <v>429</v>
      </c>
      <c r="S171" s="179">
        <f>VLOOKUP(A171,'OI(Value)'!A171:O372,11,0)</f>
        <v>429</v>
      </c>
    </row>
    <row r="172" spans="1:19" x14ac:dyDescent="0.25">
      <c r="A172" s="105" t="str">
        <f>'Data shares'!C167</f>
        <v>POWERGRID</v>
      </c>
      <c r="B172" s="143">
        <f>VLOOKUP($A172,'Data shares'!$C:$FA,118)</f>
        <v>0.59</v>
      </c>
      <c r="C172" s="143">
        <f>VLOOKUP($A172,'Data shares'!$C:$FA,119)</f>
        <v>0.61</v>
      </c>
      <c r="D172" s="143">
        <f>VLOOKUP($A172,'Data shares'!$C:$FA,121)*100</f>
        <v>-3.2800000000000002</v>
      </c>
      <c r="E172" s="143">
        <f>VLOOKUP($A172,'Data shares'!$C:$FA,124)</f>
        <v>0.5</v>
      </c>
      <c r="F172" s="143">
        <f>VLOOKUP($A172,'Data shares'!$C:$FA,125)</f>
        <v>0.35</v>
      </c>
      <c r="G172" s="143">
        <f>VLOOKUP($A172,'Data shares'!$C:$FA,127)*100</f>
        <v>42.86</v>
      </c>
      <c r="H172" s="103">
        <f>VLOOKUP($A172,'OI(Volume)'!$A$7:$O$427,8)</f>
        <v>36903700</v>
      </c>
      <c r="I172" s="103">
        <f>VLOOKUP($A172,'OI(Volume)'!$A$7:$O$427,9)</f>
        <v>2152700</v>
      </c>
      <c r="J172" s="103">
        <f>VLOOKUP($A172,'OI(Volume)'!$A$7:$O$427,11)</f>
        <v>21777800</v>
      </c>
      <c r="K172" s="103">
        <f>VLOOKUP($A172,'OI(Volume)'!$A$7:$O$427,12)</f>
        <v>704900</v>
      </c>
      <c r="L172" s="103">
        <f>VLOOKUP($A172,'OI(Value)'!$A$7:$O$306,8,0)</f>
        <v>955</v>
      </c>
      <c r="M172" s="103">
        <f>VLOOKUP($A172,'OI(Value)'!$A$7:$O$306,9,0)</f>
        <v>56</v>
      </c>
      <c r="N172" s="103">
        <f>VLOOKUP($A172,'OI(Value)'!$A$7:$O$306,11,0)</f>
        <v>564</v>
      </c>
      <c r="O172" s="103">
        <f>VLOOKUP($A172,'OI(Value)'!$A$7:$O$306,12,0)</f>
        <v>18</v>
      </c>
      <c r="P172" s="179">
        <f>VLOOKUP(A172,'OI(Value)'!A172:O373,8,0)</f>
        <v>955</v>
      </c>
      <c r="Q172" s="179">
        <f>VLOOKUP(A172,'OI(Value)'!A172:O373,9,0)</f>
        <v>56</v>
      </c>
      <c r="R172" s="179">
        <f>VLOOKUP(A172,'OI(Value)'!A172:O373,11,0)</f>
        <v>564</v>
      </c>
      <c r="S172" s="179">
        <f>VLOOKUP(A172,'OI(Value)'!A172:O373,11,0)</f>
        <v>564</v>
      </c>
    </row>
    <row r="173" spans="1:19" x14ac:dyDescent="0.25">
      <c r="A173" s="105" t="str">
        <f>'Data shares'!C168</f>
        <v>POWERINDIA</v>
      </c>
      <c r="B173" s="143">
        <f>VLOOKUP($A173,'Data shares'!$C:$FA,118)</f>
        <v>0.32</v>
      </c>
      <c r="C173" s="143">
        <f>VLOOKUP($A173,'Data shares'!$C:$FA,119)</f>
        <v>0.38</v>
      </c>
      <c r="D173" s="143">
        <f>VLOOKUP($A173,'Data shares'!$C:$FA,121)*100</f>
        <v>-15.790000000000001</v>
      </c>
      <c r="E173" s="143">
        <f>VLOOKUP($A173,'Data shares'!$C:$FA,124)</f>
        <v>0.79</v>
      </c>
      <c r="F173" s="143">
        <f>VLOOKUP($A173,'Data shares'!$C:$FA,125)</f>
        <v>0.28000000000000003</v>
      </c>
      <c r="G173" s="143">
        <f>VLOOKUP($A173,'Data shares'!$C:$FA,127)*100</f>
        <v>182.14</v>
      </c>
      <c r="H173" s="103">
        <f>VLOOKUP($A173,'OI(Volume)'!$A$7:$O$427,8)</f>
        <v>660000</v>
      </c>
      <c r="I173" s="103">
        <f>VLOOKUP($A173,'OI(Volume)'!$A$7:$O$427,9)</f>
        <v>137800</v>
      </c>
      <c r="J173" s="103">
        <f>VLOOKUP($A173,'OI(Volume)'!$A$7:$O$427,11)</f>
        <v>208650</v>
      </c>
      <c r="K173" s="103">
        <f>VLOOKUP($A173,'OI(Volume)'!$A$7:$O$427,12)</f>
        <v>10400</v>
      </c>
      <c r="L173" s="103">
        <f>VLOOKUP($A173,'OI(Value)'!$A$7:$O$306,8,0)</f>
        <v>1202</v>
      </c>
      <c r="M173" s="103">
        <f>VLOOKUP($A173,'OI(Value)'!$A$7:$O$306,9,0)</f>
        <v>251</v>
      </c>
      <c r="N173" s="103">
        <f>VLOOKUP($A173,'OI(Value)'!$A$7:$O$306,11,0)</f>
        <v>380</v>
      </c>
      <c r="O173" s="103">
        <f>VLOOKUP($A173,'OI(Value)'!$A$7:$O$306,12,0)</f>
        <v>19</v>
      </c>
    </row>
    <row r="174" spans="1:19" x14ac:dyDescent="0.25">
      <c r="A174" s="105" t="str">
        <f>'Data shares'!C169</f>
        <v>PPLPHARMA</v>
      </c>
      <c r="B174" s="143">
        <f>VLOOKUP($A174,'Data shares'!$C:$FA,118)</f>
        <v>0.42</v>
      </c>
      <c r="C174" s="143">
        <f>VLOOKUP($A174,'Data shares'!$C:$FA,119)</f>
        <v>0.43</v>
      </c>
      <c r="D174" s="143">
        <f>VLOOKUP($A174,'Data shares'!$C:$FA,121)*100</f>
        <v>-2.33</v>
      </c>
      <c r="E174" s="143">
        <f>VLOOKUP($A174,'Data shares'!$C:$FA,124)</f>
        <v>0.27</v>
      </c>
      <c r="F174" s="143">
        <f>VLOOKUP($A174,'Data shares'!$C:$FA,125)</f>
        <v>0.4</v>
      </c>
      <c r="G174" s="143">
        <f>VLOOKUP($A174,'Data shares'!$C:$FA,127)*100</f>
        <v>-32.5</v>
      </c>
      <c r="H174" s="103">
        <f>VLOOKUP($A174,'OI(Volume)'!$A$7:$O$427,8)</f>
        <v>18397375</v>
      </c>
      <c r="I174" s="103">
        <f>VLOOKUP($A174,'OI(Volume)'!$A$7:$O$427,9)</f>
        <v>324375</v>
      </c>
      <c r="J174" s="103">
        <f>VLOOKUP($A174,'OI(Volume)'!$A$7:$O$427,11)</f>
        <v>7809375</v>
      </c>
      <c r="K174" s="103">
        <f>VLOOKUP($A174,'OI(Volume)'!$A$7:$O$427,12)</f>
        <v>78625</v>
      </c>
      <c r="L174" s="103">
        <f>VLOOKUP($A174,'OI(Value)'!$A$7:$O$306,8,0)</f>
        <v>308</v>
      </c>
      <c r="M174" s="103">
        <f>VLOOKUP($A174,'OI(Value)'!$A$7:$O$306,9,0)</f>
        <v>5</v>
      </c>
      <c r="N174" s="103">
        <f>VLOOKUP($A174,'OI(Value)'!$A$7:$O$306,11,0)</f>
        <v>131</v>
      </c>
      <c r="O174" s="103">
        <f>VLOOKUP($A174,'OI(Value)'!$A$7:$O$306,12,0)</f>
        <v>1</v>
      </c>
    </row>
    <row r="175" spans="1:19" x14ac:dyDescent="0.25">
      <c r="A175" s="105" t="str">
        <f>'Data shares'!C170</f>
        <v>PRESTIGE</v>
      </c>
      <c r="B175" s="143">
        <f>VLOOKUP($A175,'Data shares'!$C:$FA,118)</f>
        <v>0.65</v>
      </c>
      <c r="C175" s="143">
        <f>VLOOKUP($A175,'Data shares'!$C:$FA,119)</f>
        <v>0.65</v>
      </c>
      <c r="D175" s="143">
        <f>VLOOKUP($A175,'Data shares'!$C:$FA,121)*100</f>
        <v>0</v>
      </c>
      <c r="E175" s="143">
        <f>VLOOKUP($A175,'Data shares'!$C:$FA,124)</f>
        <v>0.41</v>
      </c>
      <c r="F175" s="143">
        <f>VLOOKUP($A175,'Data shares'!$C:$FA,125)</f>
        <v>0.51</v>
      </c>
      <c r="G175" s="143">
        <f>VLOOKUP($A175,'Data shares'!$C:$FA,127)*100</f>
        <v>-19.61</v>
      </c>
      <c r="H175" s="103">
        <f>VLOOKUP($A175,'OI(Volume)'!$A$7:$O$427,8)</f>
        <v>2018700</v>
      </c>
      <c r="I175" s="103">
        <f>VLOOKUP($A175,'OI(Volume)'!$A$7:$O$427,9)</f>
        <v>-16200</v>
      </c>
      <c r="J175" s="103">
        <f>VLOOKUP($A175,'OI(Volume)'!$A$7:$O$427,11)</f>
        <v>1305000</v>
      </c>
      <c r="K175" s="103">
        <f>VLOOKUP($A175,'OI(Volume)'!$A$7:$O$427,12)</f>
        <v>-10800</v>
      </c>
      <c r="L175" s="103">
        <f>VLOOKUP($A175,'OI(Value)'!$A$7:$O$306,8,0)</f>
        <v>324</v>
      </c>
      <c r="M175" s="103">
        <f>VLOOKUP($A175,'OI(Value)'!$A$7:$O$306,9,0)</f>
        <v>-3</v>
      </c>
      <c r="N175" s="103">
        <f>VLOOKUP($A175,'OI(Value)'!$A$7:$O$306,11,0)</f>
        <v>209</v>
      </c>
      <c r="O175" s="103">
        <f>VLOOKUP($A175,'OI(Value)'!$A$7:$O$306,12,0)</f>
        <v>-2</v>
      </c>
    </row>
    <row r="176" spans="1:19" x14ac:dyDescent="0.25">
      <c r="A176" s="105" t="str">
        <f>'Data shares'!C171</f>
        <v>RBLBANK</v>
      </c>
      <c r="B176" s="143">
        <f>VLOOKUP($A176,'Data shares'!$C:$FA,118)</f>
        <v>0.64</v>
      </c>
      <c r="C176" s="143">
        <f>VLOOKUP($A176,'Data shares'!$C:$FA,119)</f>
        <v>0.63</v>
      </c>
      <c r="D176" s="143">
        <f>VLOOKUP($A176,'Data shares'!$C:$FA,121)*100</f>
        <v>1.59</v>
      </c>
      <c r="E176" s="143">
        <f>VLOOKUP($A176,'Data shares'!$C:$FA,124)</f>
        <v>0.49</v>
      </c>
      <c r="F176" s="143">
        <f>VLOOKUP($A176,'Data shares'!$C:$FA,125)</f>
        <v>0.97</v>
      </c>
      <c r="G176" s="143">
        <f>VLOOKUP($A176,'Data shares'!$C:$FA,127)*100</f>
        <v>-49.480000000000004</v>
      </c>
      <c r="H176" s="103">
        <f>VLOOKUP($A176,'OI(Volume)'!$A$7:$O$427,8)</f>
        <v>26850975</v>
      </c>
      <c r="I176" s="103">
        <f>VLOOKUP($A176,'OI(Volume)'!$A$7:$O$427,9)</f>
        <v>-555625</v>
      </c>
      <c r="J176" s="103">
        <f>VLOOKUP($A176,'OI(Volume)'!$A$7:$O$427,11)</f>
        <v>17294225</v>
      </c>
      <c r="K176" s="103">
        <f>VLOOKUP($A176,'OI(Volume)'!$A$7:$O$427,12)</f>
        <v>82550</v>
      </c>
      <c r="L176" s="103">
        <f>VLOOKUP($A176,'OI(Value)'!$A$7:$O$306,8,0)</f>
        <v>803</v>
      </c>
      <c r="M176" s="103">
        <f>VLOOKUP($A176,'OI(Value)'!$A$7:$O$306,9,0)</f>
        <v>-17</v>
      </c>
      <c r="N176" s="103">
        <f>VLOOKUP($A176,'OI(Value)'!$A$7:$O$306,11,0)</f>
        <v>517</v>
      </c>
      <c r="O176" s="103">
        <f>VLOOKUP($A176,'OI(Value)'!$A$7:$O$306,12,0)</f>
        <v>2</v>
      </c>
    </row>
    <row r="177" spans="1:15" x14ac:dyDescent="0.25">
      <c r="A177" s="105" t="str">
        <f>'Data shares'!C172</f>
        <v>RECLTD</v>
      </c>
      <c r="B177" s="143">
        <f>VLOOKUP($A177,'Data shares'!$C:$FA,118)</f>
        <v>0.63</v>
      </c>
      <c r="C177" s="143">
        <f>VLOOKUP($A177,'Data shares'!$C:$FA,119)</f>
        <v>0.61</v>
      </c>
      <c r="D177" s="143">
        <f>VLOOKUP($A177,'Data shares'!$C:$FA,121)*100</f>
        <v>3.2800000000000002</v>
      </c>
      <c r="E177" s="143">
        <f>VLOOKUP($A177,'Data shares'!$C:$FA,124)</f>
        <v>0.42</v>
      </c>
      <c r="F177" s="143">
        <f>VLOOKUP($A177,'Data shares'!$C:$FA,125)</f>
        <v>0.45</v>
      </c>
      <c r="G177" s="143">
        <f>VLOOKUP($A177,'Data shares'!$C:$FA,127)*100</f>
        <v>-6.67</v>
      </c>
      <c r="H177" s="103">
        <f>VLOOKUP($A177,'OI(Volume)'!$A$7:$O$427,8)</f>
        <v>49555900</v>
      </c>
      <c r="I177" s="103">
        <f>VLOOKUP($A177,'OI(Volume)'!$A$7:$O$427,9)</f>
        <v>-1417375</v>
      </c>
      <c r="J177" s="103">
        <f>VLOOKUP($A177,'OI(Volume)'!$A$7:$O$427,11)</f>
        <v>31102875</v>
      </c>
      <c r="K177" s="103">
        <f>VLOOKUP($A177,'OI(Volume)'!$A$7:$O$427,12)</f>
        <v>22600</v>
      </c>
      <c r="L177" s="103">
        <f>VLOOKUP($A177,'OI(Value)'!$A$7:$O$306,8,0)</f>
        <v>1674</v>
      </c>
      <c r="M177" s="103">
        <f>VLOOKUP($A177,'OI(Value)'!$A$7:$O$306,9,0)</f>
        <v>-48</v>
      </c>
      <c r="N177" s="103">
        <f>VLOOKUP($A177,'OI(Value)'!$A$7:$O$306,11,0)</f>
        <v>1051</v>
      </c>
      <c r="O177" s="103">
        <f>VLOOKUP($A177,'OI(Value)'!$A$7:$O$306,12,0)</f>
        <v>1</v>
      </c>
    </row>
    <row r="178" spans="1:15" x14ac:dyDescent="0.25">
      <c r="A178" s="105" t="str">
        <f>'Data shares'!C173</f>
        <v>RELIANCE</v>
      </c>
      <c r="B178" s="143">
        <f>VLOOKUP($A178,'Data shares'!$C:$FA,118)</f>
        <v>0.53</v>
      </c>
      <c r="C178" s="143">
        <f>VLOOKUP($A178,'Data shares'!$C:$FA,119)</f>
        <v>0.53</v>
      </c>
      <c r="D178" s="143">
        <f>VLOOKUP($A178,'Data shares'!$C:$FA,121)*100</f>
        <v>0</v>
      </c>
      <c r="E178" s="143">
        <f>VLOOKUP($A178,'Data shares'!$C:$FA,124)</f>
        <v>0.57999999999999996</v>
      </c>
      <c r="F178" s="143">
        <f>VLOOKUP($A178,'Data shares'!$C:$FA,125)</f>
        <v>0.61</v>
      </c>
      <c r="G178" s="143">
        <f>VLOOKUP($A178,'Data shares'!$C:$FA,127)*100</f>
        <v>-4.92</v>
      </c>
      <c r="H178" s="103">
        <f>VLOOKUP($A178,'OI(Volume)'!$A$7:$O$427,8)</f>
        <v>51209000</v>
      </c>
      <c r="I178" s="103">
        <f>VLOOKUP($A178,'OI(Volume)'!$A$7:$O$427,9)</f>
        <v>-644000</v>
      </c>
      <c r="J178" s="103">
        <f>VLOOKUP($A178,'OI(Volume)'!$A$7:$O$427,11)</f>
        <v>27237500</v>
      </c>
      <c r="K178" s="103">
        <f>VLOOKUP($A178,'OI(Volume)'!$A$7:$O$427,12)</f>
        <v>-301000</v>
      </c>
      <c r="L178" s="103">
        <f>VLOOKUP($A178,'OI(Value)'!$A$7:$O$306,8,0)</f>
        <v>7928</v>
      </c>
      <c r="M178" s="103">
        <f>VLOOKUP($A178,'OI(Value)'!$A$7:$O$306,9,0)</f>
        <v>-100</v>
      </c>
      <c r="N178" s="103">
        <f>VLOOKUP($A178,'OI(Value)'!$A$7:$O$306,11,0)</f>
        <v>4217</v>
      </c>
      <c r="O178" s="103">
        <f>VLOOKUP($A178,'OI(Value)'!$A$7:$O$306,12,0)</f>
        <v>-47</v>
      </c>
    </row>
    <row r="179" spans="1:15" x14ac:dyDescent="0.25">
      <c r="A179" s="105" t="str">
        <f>'Data shares'!C174</f>
        <v>RVNL</v>
      </c>
      <c r="B179" s="143">
        <f>VLOOKUP($A179,'Data shares'!$C:$FA,118)</f>
        <v>0.46</v>
      </c>
      <c r="C179" s="143">
        <f>VLOOKUP($A179,'Data shares'!$C:$FA,119)</f>
        <v>0.46</v>
      </c>
      <c r="D179" s="143">
        <f>VLOOKUP($A179,'Data shares'!$C:$FA,121)*100</f>
        <v>0</v>
      </c>
      <c r="E179" s="143">
        <f>VLOOKUP($A179,'Data shares'!$C:$FA,124)</f>
        <v>0.27</v>
      </c>
      <c r="F179" s="143">
        <f>VLOOKUP($A179,'Data shares'!$C:$FA,125)</f>
        <v>0.22</v>
      </c>
      <c r="G179" s="143">
        <f>VLOOKUP($A179,'Data shares'!$C:$FA,127)*100</f>
        <v>22.73</v>
      </c>
      <c r="H179" s="103">
        <f>VLOOKUP($A179,'OI(Volume)'!$A$7:$O$427,8)</f>
        <v>21595750</v>
      </c>
      <c r="I179" s="103">
        <f>VLOOKUP($A179,'OI(Volume)'!$A$7:$O$427,9)</f>
        <v>51025</v>
      </c>
      <c r="J179" s="103">
        <f>VLOOKUP($A179,'OI(Volume)'!$A$7:$O$427,11)</f>
        <v>9832150</v>
      </c>
      <c r="K179" s="103">
        <f>VLOOKUP($A179,'OI(Volume)'!$A$7:$O$427,12)</f>
        <v>3000</v>
      </c>
      <c r="L179" s="103">
        <f>VLOOKUP($A179,'OI(Value)'!$A$7:$O$306,8,0)</f>
        <v>658</v>
      </c>
      <c r="M179" s="103">
        <f>VLOOKUP($A179,'OI(Value)'!$A$7:$O$306,9,0)</f>
        <v>2</v>
      </c>
      <c r="N179" s="103">
        <f>VLOOKUP($A179,'OI(Value)'!$A$7:$O$306,11,0)</f>
        <v>299</v>
      </c>
      <c r="O179" s="103">
        <f>VLOOKUP($A179,'OI(Value)'!$A$7:$O$306,12,0)</f>
        <v>0</v>
      </c>
    </row>
    <row r="180" spans="1:15" x14ac:dyDescent="0.25">
      <c r="A180" s="105" t="str">
        <f>'Data shares'!C175</f>
        <v>SAIL</v>
      </c>
      <c r="B180" s="143">
        <f>VLOOKUP($A180,'Data shares'!$C:$FA,118)</f>
        <v>0.55000000000000004</v>
      </c>
      <c r="C180" s="143">
        <f>VLOOKUP($A180,'Data shares'!$C:$FA,119)</f>
        <v>0.56000000000000005</v>
      </c>
      <c r="D180" s="143">
        <f>VLOOKUP($A180,'Data shares'!$C:$FA,121)*100</f>
        <v>-1.79</v>
      </c>
      <c r="E180" s="143">
        <f>VLOOKUP($A180,'Data shares'!$C:$FA,124)</f>
        <v>0.47</v>
      </c>
      <c r="F180" s="143">
        <f>VLOOKUP($A180,'Data shares'!$C:$FA,125)</f>
        <v>0.31</v>
      </c>
      <c r="G180" s="143">
        <f>VLOOKUP($A180,'Data shares'!$C:$FA,127)*100</f>
        <v>51.61</v>
      </c>
      <c r="H180" s="103">
        <f>VLOOKUP($A180,'OI(Volume)'!$A$7:$O$427,8)</f>
        <v>56089800</v>
      </c>
      <c r="I180" s="103">
        <f>VLOOKUP($A180,'OI(Volume)'!$A$7:$O$427,9)</f>
        <v>3243000</v>
      </c>
      <c r="J180" s="103">
        <f>VLOOKUP($A180,'OI(Volume)'!$A$7:$O$427,11)</f>
        <v>30841400</v>
      </c>
      <c r="K180" s="103">
        <f>VLOOKUP($A180,'OI(Volume)'!$A$7:$O$427,12)</f>
        <v>1029300</v>
      </c>
      <c r="L180" s="103">
        <f>VLOOKUP($A180,'OI(Value)'!$A$7:$O$306,8,0)</f>
        <v>714</v>
      </c>
      <c r="M180" s="103">
        <f>VLOOKUP($A180,'OI(Value)'!$A$7:$O$306,9,0)</f>
        <v>41</v>
      </c>
      <c r="N180" s="103">
        <f>VLOOKUP($A180,'OI(Value)'!$A$7:$O$306,11,0)</f>
        <v>392</v>
      </c>
      <c r="O180" s="103">
        <f>VLOOKUP($A180,'OI(Value)'!$A$7:$O$306,12,0)</f>
        <v>13</v>
      </c>
    </row>
    <row r="181" spans="1:15" x14ac:dyDescent="0.25">
      <c r="A181" s="105" t="str">
        <f>'Data shares'!C176</f>
        <v>SAMMAANCAP</v>
      </c>
      <c r="B181" s="143">
        <f>VLOOKUP($A181,'Data shares'!$C:$FA,118)</f>
        <v>0.71</v>
      </c>
      <c r="C181" s="143">
        <f>VLOOKUP($A181,'Data shares'!$C:$FA,119)</f>
        <v>0.63</v>
      </c>
      <c r="D181" s="143">
        <f>VLOOKUP($A181,'Data shares'!$C:$FA,121)*100</f>
        <v>12.7</v>
      </c>
      <c r="E181" s="143">
        <f>VLOOKUP($A181,'Data shares'!$C:$FA,124)</f>
        <v>0.99</v>
      </c>
      <c r="F181" s="143">
        <f>VLOOKUP($A181,'Data shares'!$C:$FA,125)</f>
        <v>0.56999999999999995</v>
      </c>
      <c r="G181" s="143">
        <f>VLOOKUP($A181,'Data shares'!$C:$FA,127)*100</f>
        <v>73.680000000000007</v>
      </c>
      <c r="H181" s="103">
        <f>VLOOKUP($A181,'OI(Volume)'!$A$7:$O$427,8)</f>
        <v>65368600</v>
      </c>
      <c r="I181" s="103">
        <f>VLOOKUP($A181,'OI(Volume)'!$A$7:$O$427,9)</f>
        <v>68800</v>
      </c>
      <c r="J181" s="103">
        <f>VLOOKUP($A181,'OI(Volume)'!$A$7:$O$427,11)</f>
        <v>46164800</v>
      </c>
      <c r="K181" s="103">
        <f>VLOOKUP($A181,'OI(Volume)'!$A$7:$O$427,12)</f>
        <v>5091200</v>
      </c>
      <c r="L181" s="103">
        <f>VLOOKUP($A181,'OI(Value)'!$A$7:$O$306,8,0)</f>
        <v>942</v>
      </c>
      <c r="M181" s="103">
        <f>VLOOKUP($A181,'OI(Value)'!$A$7:$O$306,9,0)</f>
        <v>1</v>
      </c>
      <c r="N181" s="103">
        <f>VLOOKUP($A181,'OI(Value)'!$A$7:$O$306,11,0)</f>
        <v>665</v>
      </c>
      <c r="O181" s="103">
        <f>VLOOKUP($A181,'OI(Value)'!$A$7:$O$306,12,0)</f>
        <v>73</v>
      </c>
    </row>
    <row r="182" spans="1:15" x14ac:dyDescent="0.25">
      <c r="A182" s="105" t="str">
        <f>'Data shares'!C177</f>
        <v>SBICARD</v>
      </c>
      <c r="B182" s="143">
        <f>VLOOKUP($A182,'Data shares'!$C:$FA,118)</f>
        <v>0.72</v>
      </c>
      <c r="C182" s="143">
        <f>VLOOKUP($A182,'Data shares'!$C:$FA,119)</f>
        <v>0.66</v>
      </c>
      <c r="D182" s="143">
        <f>VLOOKUP($A182,'Data shares'!$C:$FA,121)*100</f>
        <v>9.09</v>
      </c>
      <c r="E182" s="143">
        <f>VLOOKUP($A182,'Data shares'!$C:$FA,124)</f>
        <v>0.52</v>
      </c>
      <c r="F182" s="143">
        <f>VLOOKUP($A182,'Data shares'!$C:$FA,125)</f>
        <v>0.89</v>
      </c>
      <c r="G182" s="143">
        <f>VLOOKUP($A182,'Data shares'!$C:$FA,127)*100</f>
        <v>-41.57</v>
      </c>
      <c r="H182" s="103">
        <f>VLOOKUP($A182,'OI(Volume)'!$A$7:$O$427,8)</f>
        <v>5924000</v>
      </c>
      <c r="I182" s="103">
        <f>VLOOKUP($A182,'OI(Volume)'!$A$7:$O$427,9)</f>
        <v>-663200</v>
      </c>
      <c r="J182" s="103">
        <f>VLOOKUP($A182,'OI(Volume)'!$A$7:$O$427,11)</f>
        <v>4246400</v>
      </c>
      <c r="K182" s="103">
        <f>VLOOKUP($A182,'OI(Volume)'!$A$7:$O$427,12)</f>
        <v>-108000</v>
      </c>
      <c r="L182" s="103">
        <f>VLOOKUP($A182,'OI(Value)'!$A$7:$O$306,8,0)</f>
        <v>504</v>
      </c>
      <c r="M182" s="103">
        <f>VLOOKUP($A182,'OI(Value)'!$A$7:$O$306,9,0)</f>
        <v>-56</v>
      </c>
      <c r="N182" s="103">
        <f>VLOOKUP($A182,'OI(Value)'!$A$7:$O$306,11,0)</f>
        <v>361</v>
      </c>
      <c r="O182" s="103">
        <f>VLOOKUP($A182,'OI(Value)'!$A$7:$O$306,12,0)</f>
        <v>-9</v>
      </c>
    </row>
    <row r="183" spans="1:15" x14ac:dyDescent="0.25">
      <c r="A183" s="105" t="str">
        <f>'Data shares'!C178</f>
        <v>SBILIFE</v>
      </c>
      <c r="B183" s="143">
        <f>VLOOKUP($A183,'Data shares'!$C:$FA,118)</f>
        <v>0.49</v>
      </c>
      <c r="C183" s="143">
        <f>VLOOKUP($A183,'Data shares'!$C:$FA,119)</f>
        <v>0.48</v>
      </c>
      <c r="D183" s="143">
        <f>VLOOKUP($A183,'Data shares'!$C:$FA,121)*100</f>
        <v>2.08</v>
      </c>
      <c r="E183" s="143">
        <f>VLOOKUP($A183,'Data shares'!$C:$FA,124)</f>
        <v>0.46</v>
      </c>
      <c r="F183" s="143">
        <f>VLOOKUP($A183,'Data shares'!$C:$FA,125)</f>
        <v>1.02</v>
      </c>
      <c r="G183" s="143">
        <f>VLOOKUP($A183,'Data shares'!$C:$FA,127)*100</f>
        <v>-54.900000000000006</v>
      </c>
      <c r="H183" s="103">
        <f>VLOOKUP($A183,'OI(Volume)'!$A$7:$O$427,8)</f>
        <v>4469250</v>
      </c>
      <c r="I183" s="103">
        <f>VLOOKUP($A183,'OI(Volume)'!$A$7:$O$427,9)</f>
        <v>57750</v>
      </c>
      <c r="J183" s="103">
        <f>VLOOKUP($A183,'OI(Volume)'!$A$7:$O$427,11)</f>
        <v>2169000</v>
      </c>
      <c r="K183" s="103">
        <f>VLOOKUP($A183,'OI(Volume)'!$A$7:$O$427,12)</f>
        <v>44250</v>
      </c>
      <c r="L183" s="103">
        <f>VLOOKUP($A183,'OI(Value)'!$A$7:$O$306,8,0)</f>
        <v>902</v>
      </c>
      <c r="M183" s="103">
        <f>VLOOKUP($A183,'OI(Value)'!$A$7:$O$306,9,0)</f>
        <v>12</v>
      </c>
      <c r="N183" s="103">
        <f>VLOOKUP($A183,'OI(Value)'!$A$7:$O$306,11,0)</f>
        <v>438</v>
      </c>
      <c r="O183" s="103">
        <f>VLOOKUP($A183,'OI(Value)'!$A$7:$O$306,12,0)</f>
        <v>9</v>
      </c>
    </row>
    <row r="184" spans="1:15" x14ac:dyDescent="0.25">
      <c r="A184" s="105" t="str">
        <f>'Data shares'!C179</f>
        <v>SBIN</v>
      </c>
      <c r="B184" s="143">
        <f>VLOOKUP($A184,'Data shares'!$C:$FA,118)</f>
        <v>0.72</v>
      </c>
      <c r="C184" s="143">
        <f>VLOOKUP($A184,'Data shares'!$C:$FA,119)</f>
        <v>0.71</v>
      </c>
      <c r="D184" s="143">
        <f>VLOOKUP($A184,'Data shares'!$C:$FA,121)*100</f>
        <v>1.41</v>
      </c>
      <c r="E184" s="143">
        <f>VLOOKUP($A184,'Data shares'!$C:$FA,124)</f>
        <v>0.64</v>
      </c>
      <c r="F184" s="143">
        <f>VLOOKUP($A184,'Data shares'!$C:$FA,125)</f>
        <v>0.59</v>
      </c>
      <c r="G184" s="143">
        <f>VLOOKUP($A184,'Data shares'!$C:$FA,127)*100</f>
        <v>8.4699999999999989</v>
      </c>
      <c r="H184" s="103">
        <f>VLOOKUP($A184,'OI(Volume)'!$A$7:$O$427,8)</f>
        <v>47121750</v>
      </c>
      <c r="I184" s="103">
        <f>VLOOKUP($A184,'OI(Volume)'!$A$7:$O$427,9)</f>
        <v>-1142250</v>
      </c>
      <c r="J184" s="103">
        <f>VLOOKUP($A184,'OI(Volume)'!$A$7:$O$427,11)</f>
        <v>34128750</v>
      </c>
      <c r="K184" s="103">
        <f>VLOOKUP($A184,'OI(Volume)'!$A$7:$O$427,12)</f>
        <v>96750</v>
      </c>
      <c r="L184" s="103">
        <f>VLOOKUP($A184,'OI(Value)'!$A$7:$O$306,8,0)</f>
        <v>4608</v>
      </c>
      <c r="M184" s="103">
        <f>VLOOKUP($A184,'OI(Value)'!$A$7:$O$306,9,0)</f>
        <v>-112</v>
      </c>
      <c r="N184" s="103">
        <f>VLOOKUP($A184,'OI(Value)'!$A$7:$O$306,11,0)</f>
        <v>3337</v>
      </c>
      <c r="O184" s="103">
        <f>VLOOKUP($A184,'OI(Value)'!$A$7:$O$306,12,0)</f>
        <v>9</v>
      </c>
    </row>
    <row r="185" spans="1:15" x14ac:dyDescent="0.25">
      <c r="A185" s="105" t="str">
        <f>'Data shares'!C180</f>
        <v>SHREECEM</v>
      </c>
      <c r="B185" s="143">
        <f>VLOOKUP($A185,'Data shares'!$C:$FA,118)</f>
        <v>0.4</v>
      </c>
      <c r="C185" s="143">
        <f>VLOOKUP($A185,'Data shares'!$C:$FA,119)</f>
        <v>0.44</v>
      </c>
      <c r="D185" s="143">
        <f>VLOOKUP($A185,'Data shares'!$C:$FA,121)*100</f>
        <v>-9.09</v>
      </c>
      <c r="E185" s="143">
        <f>VLOOKUP($A185,'Data shares'!$C:$FA,124)</f>
        <v>0.26</v>
      </c>
      <c r="F185" s="143">
        <f>VLOOKUP($A185,'Data shares'!$C:$FA,125)</f>
        <v>0.18</v>
      </c>
      <c r="G185" s="143">
        <f>VLOOKUP($A185,'Data shares'!$C:$FA,127)*100</f>
        <v>44.440000000000005</v>
      </c>
      <c r="H185" s="103">
        <f>VLOOKUP($A185,'OI(Volume)'!$A$7:$O$427,8)</f>
        <v>151400</v>
      </c>
      <c r="I185" s="103">
        <f>VLOOKUP($A185,'OI(Volume)'!$A$7:$O$427,9)</f>
        <v>12750</v>
      </c>
      <c r="J185" s="103">
        <f>VLOOKUP($A185,'OI(Volume)'!$A$7:$O$427,11)</f>
        <v>60650</v>
      </c>
      <c r="K185" s="103">
        <f>VLOOKUP($A185,'OI(Volume)'!$A$7:$O$427,12)</f>
        <v>-275</v>
      </c>
      <c r="L185" s="103">
        <f>VLOOKUP($A185,'OI(Value)'!$A$7:$O$306,8,0)</f>
        <v>390</v>
      </c>
      <c r="M185" s="103">
        <f>VLOOKUP($A185,'OI(Value)'!$A$7:$O$306,9,0)</f>
        <v>33</v>
      </c>
      <c r="N185" s="103">
        <f>VLOOKUP($A185,'OI(Value)'!$A$7:$O$306,11,0)</f>
        <v>156</v>
      </c>
      <c r="O185" s="103">
        <f>VLOOKUP($A185,'OI(Value)'!$A$7:$O$306,12,0)</f>
        <v>-1</v>
      </c>
    </row>
    <row r="186" spans="1:15" x14ac:dyDescent="0.25">
      <c r="A186" s="105" t="str">
        <f>'Data shares'!C181</f>
        <v>SHRIRAMFIN</v>
      </c>
      <c r="B186" s="143">
        <f>VLOOKUP($A186,'Data shares'!$C:$FA,118)</f>
        <v>0.67</v>
      </c>
      <c r="C186" s="143">
        <f>VLOOKUP($A186,'Data shares'!$C:$FA,119)</f>
        <v>0.56999999999999995</v>
      </c>
      <c r="D186" s="143">
        <f>VLOOKUP($A186,'Data shares'!$C:$FA,121)*100</f>
        <v>17.54</v>
      </c>
      <c r="E186" s="143">
        <f>VLOOKUP($A186,'Data shares'!$C:$FA,124)</f>
        <v>0.56000000000000005</v>
      </c>
      <c r="F186" s="143">
        <f>VLOOKUP($A186,'Data shares'!$C:$FA,125)</f>
        <v>0.35</v>
      </c>
      <c r="G186" s="143">
        <f>VLOOKUP($A186,'Data shares'!$C:$FA,127)*100</f>
        <v>60</v>
      </c>
      <c r="H186" s="103">
        <f>VLOOKUP($A186,'OI(Volume)'!$A$7:$O$427,8)</f>
        <v>21280050</v>
      </c>
      <c r="I186" s="103">
        <f>VLOOKUP($A186,'OI(Volume)'!$A$7:$O$427,9)</f>
        <v>-1140150</v>
      </c>
      <c r="J186" s="103">
        <f>VLOOKUP($A186,'OI(Volume)'!$A$7:$O$427,11)</f>
        <v>14166075</v>
      </c>
      <c r="K186" s="103">
        <f>VLOOKUP($A186,'OI(Volume)'!$A$7:$O$427,12)</f>
        <v>1367850</v>
      </c>
      <c r="L186" s="103">
        <f>VLOOKUP($A186,'OI(Value)'!$A$7:$O$306,8,0)</f>
        <v>1850</v>
      </c>
      <c r="M186" s="103">
        <f>VLOOKUP($A186,'OI(Value)'!$A$7:$O$306,9,0)</f>
        <v>-99</v>
      </c>
      <c r="N186" s="103">
        <f>VLOOKUP($A186,'OI(Value)'!$A$7:$O$306,11,0)</f>
        <v>1232</v>
      </c>
      <c r="O186" s="103">
        <f>VLOOKUP($A186,'OI(Value)'!$A$7:$O$306,12,0)</f>
        <v>119</v>
      </c>
    </row>
    <row r="187" spans="1:15" x14ac:dyDescent="0.25">
      <c r="A187" s="105" t="str">
        <f>'Data shares'!C182</f>
        <v>SIEMENS</v>
      </c>
      <c r="B187" s="143">
        <f>VLOOKUP($A187,'Data shares'!$C:$FA,118)</f>
        <v>0.46</v>
      </c>
      <c r="C187" s="143">
        <f>VLOOKUP($A187,'Data shares'!$C:$FA,119)</f>
        <v>0.52</v>
      </c>
      <c r="D187" s="143">
        <f>VLOOKUP($A187,'Data shares'!$C:$FA,121)*100</f>
        <v>-11.540000000000001</v>
      </c>
      <c r="E187" s="143">
        <f>VLOOKUP($A187,'Data shares'!$C:$FA,124)</f>
        <v>0.59</v>
      </c>
      <c r="F187" s="143">
        <f>VLOOKUP($A187,'Data shares'!$C:$FA,125)</f>
        <v>0.4</v>
      </c>
      <c r="G187" s="143">
        <f>VLOOKUP($A187,'Data shares'!$C:$FA,127)*100</f>
        <v>47.5</v>
      </c>
      <c r="H187" s="103">
        <f>VLOOKUP($A187,'OI(Volume)'!$A$7:$O$427,8)</f>
        <v>2556100</v>
      </c>
      <c r="I187" s="103">
        <f>VLOOKUP($A187,'OI(Volume)'!$A$7:$O$427,9)</f>
        <v>257150</v>
      </c>
      <c r="J187" s="103">
        <f>VLOOKUP($A187,'OI(Volume)'!$A$7:$O$427,11)</f>
        <v>1172575</v>
      </c>
      <c r="K187" s="103">
        <f>VLOOKUP($A187,'OI(Volume)'!$A$7:$O$427,12)</f>
        <v>-31475</v>
      </c>
      <c r="L187" s="103">
        <f>VLOOKUP($A187,'OI(Value)'!$A$7:$O$306,8,0)</f>
        <v>787</v>
      </c>
      <c r="M187" s="103">
        <f>VLOOKUP($A187,'OI(Value)'!$A$7:$O$306,9,0)</f>
        <v>79</v>
      </c>
      <c r="N187" s="103">
        <f>VLOOKUP($A187,'OI(Value)'!$A$7:$O$306,11,0)</f>
        <v>361</v>
      </c>
      <c r="O187" s="103">
        <f>VLOOKUP($A187,'OI(Value)'!$A$7:$O$306,12,0)</f>
        <v>-10</v>
      </c>
    </row>
    <row r="188" spans="1:15" x14ac:dyDescent="0.25">
      <c r="A188" s="105" t="str">
        <f>'Data shares'!C183</f>
        <v>SOLARINDS</v>
      </c>
      <c r="B188" s="143">
        <f>VLOOKUP($A188,'Data shares'!$C:$FA,118)</f>
        <v>0.4</v>
      </c>
      <c r="C188" s="143">
        <f>VLOOKUP($A188,'Data shares'!$C:$FA,119)</f>
        <v>0.38</v>
      </c>
      <c r="D188" s="143">
        <f>VLOOKUP($A188,'Data shares'!$C:$FA,121)*100</f>
        <v>5.26</v>
      </c>
      <c r="E188" s="143">
        <f>VLOOKUP($A188,'Data shares'!$C:$FA,124)</f>
        <v>0.57999999999999996</v>
      </c>
      <c r="F188" s="143">
        <f>VLOOKUP($A188,'Data shares'!$C:$FA,125)</f>
        <v>0.63</v>
      </c>
      <c r="G188" s="143">
        <f>VLOOKUP($A188,'Data shares'!$C:$FA,127)*100</f>
        <v>-7.9399999999999995</v>
      </c>
      <c r="H188" s="103">
        <f>VLOOKUP($A188,'OI(Volume)'!$A$7:$O$427,8)</f>
        <v>804450</v>
      </c>
      <c r="I188" s="103">
        <f>VLOOKUP($A188,'OI(Volume)'!$A$7:$O$427,9)</f>
        <v>-29975</v>
      </c>
      <c r="J188" s="103">
        <f>VLOOKUP($A188,'OI(Volume)'!$A$7:$O$427,11)</f>
        <v>321025</v>
      </c>
      <c r="K188" s="103">
        <f>VLOOKUP($A188,'OI(Volume)'!$A$7:$O$427,12)</f>
        <v>3775</v>
      </c>
      <c r="L188" s="103">
        <f>VLOOKUP($A188,'OI(Value)'!$A$7:$O$306,8,0)</f>
        <v>949</v>
      </c>
      <c r="M188" s="103">
        <f>VLOOKUP($A188,'OI(Value)'!$A$7:$O$306,9,0)</f>
        <v>-35</v>
      </c>
      <c r="N188" s="103">
        <f>VLOOKUP($A188,'OI(Value)'!$A$7:$O$306,11,0)</f>
        <v>379</v>
      </c>
      <c r="O188" s="103">
        <f>VLOOKUP($A188,'OI(Value)'!$A$7:$O$306,12,0)</f>
        <v>4</v>
      </c>
    </row>
    <row r="189" spans="1:15" x14ac:dyDescent="0.25">
      <c r="A189" s="105" t="str">
        <f>'Data shares'!C184</f>
        <v>SONACOMS</v>
      </c>
      <c r="B189" s="143">
        <f>VLOOKUP($A189,'Data shares'!$C:$FA,118)</f>
        <v>0.47</v>
      </c>
      <c r="C189" s="143">
        <f>VLOOKUP($A189,'Data shares'!$C:$FA,119)</f>
        <v>0.45</v>
      </c>
      <c r="D189" s="143">
        <f>VLOOKUP($A189,'Data shares'!$C:$FA,121)*100</f>
        <v>4.4400000000000004</v>
      </c>
      <c r="E189" s="143">
        <f>VLOOKUP($A189,'Data shares'!$C:$FA,124)</f>
        <v>0.26</v>
      </c>
      <c r="F189" s="143">
        <f>VLOOKUP($A189,'Data shares'!$C:$FA,125)</f>
        <v>0.27</v>
      </c>
      <c r="G189" s="143">
        <f>VLOOKUP($A189,'Data shares'!$C:$FA,127)*100</f>
        <v>-3.6999999999999997</v>
      </c>
      <c r="H189" s="103">
        <f>VLOOKUP($A189,'OI(Volume)'!$A$7:$O$427,8)</f>
        <v>804450</v>
      </c>
      <c r="I189" s="103">
        <f>VLOOKUP($A189,'OI(Volume)'!$A$7:$O$427,9)</f>
        <v>-29975</v>
      </c>
      <c r="J189" s="103">
        <f>VLOOKUP($A189,'OI(Volume)'!$A$7:$O$427,11)</f>
        <v>321025</v>
      </c>
      <c r="K189" s="103">
        <f>VLOOKUP($A189,'OI(Volume)'!$A$7:$O$427,12)</f>
        <v>3775</v>
      </c>
      <c r="L189" s="103"/>
      <c r="M189" s="103"/>
      <c r="N189" s="103"/>
      <c r="O189" s="103"/>
    </row>
    <row r="190" spans="1:15" x14ac:dyDescent="0.25">
      <c r="A190" s="105" t="str">
        <f>'Data shares'!C215</f>
        <v>ZYDUSLIFE</v>
      </c>
      <c r="B190" s="143">
        <f>VLOOKUP($A190,'Data shares'!$C:$FA,118)</f>
        <v>0.74</v>
      </c>
      <c r="C190" s="143">
        <f>VLOOKUP($A190,'Data shares'!$C:$FA,119)</f>
        <v>0.74</v>
      </c>
      <c r="D190" s="143">
        <f>VLOOKUP($A190,'Data shares'!$C:$FA,121)*100</f>
        <v>0</v>
      </c>
      <c r="E190" s="143">
        <f>VLOOKUP($A190,'Data shares'!$C:$FA,124)</f>
        <v>0.4</v>
      </c>
      <c r="F190" s="143">
        <f>VLOOKUP($A190,'Data shares'!$C:$FA,125)</f>
        <v>0.3</v>
      </c>
      <c r="G190" s="143">
        <f>VLOOKUP($A190,'Data shares'!$C:$FA,127)*100</f>
        <v>33.33</v>
      </c>
      <c r="H190" s="103">
        <f>VLOOKUP($A190,'OI(Volume)'!$A$7:$O$427,8)</f>
        <v>0</v>
      </c>
      <c r="I190" s="103">
        <f>VLOOKUP($A190,'OI(Volume)'!$A$7:$O$427,9)</f>
        <v>0</v>
      </c>
      <c r="J190" s="103">
        <f>VLOOKUP($A190,'OI(Volume)'!$A$7:$O$427,11)</f>
        <v>0</v>
      </c>
      <c r="K190" s="103">
        <f>VLOOKUP($A190,'OI(Volume)'!$A$7:$O$427,12)</f>
        <v>0</v>
      </c>
      <c r="L190" s="103">
        <f>VLOOKUP($A190,'OI(Value)'!$A$7:$O$306,8,0)</f>
        <v>412</v>
      </c>
      <c r="M190" s="103">
        <f>VLOOKUP($A190,'OI(Value)'!$A$7:$O$306,9,0)</f>
        <v>11</v>
      </c>
      <c r="N190" s="103">
        <f>VLOOKUP($A190,'OI(Value)'!$A$7:$O$306,11,0)</f>
        <v>304</v>
      </c>
      <c r="O190" s="103">
        <f>VLOOKUP($A190,'OI(Value)'!$A$7:$O$306,12,0)</f>
        <v>8</v>
      </c>
    </row>
    <row r="191" spans="1:15" x14ac:dyDescent="0.25">
      <c r="A191" s="105"/>
      <c r="B191" s="143"/>
      <c r="C191" s="143"/>
      <c r="D191" s="143"/>
      <c r="E191" s="143"/>
      <c r="F191" s="143"/>
      <c r="G191" s="143"/>
      <c r="H191" s="103"/>
      <c r="I191" s="103"/>
      <c r="J191" s="103"/>
      <c r="K191" s="103"/>
      <c r="L191" s="103"/>
      <c r="M191" s="103"/>
      <c r="N191" s="103"/>
      <c r="O191" s="103"/>
    </row>
    <row r="192" spans="1:15" x14ac:dyDescent="0.25">
      <c r="A192" s="126" t="s">
        <v>391</v>
      </c>
      <c r="B192" s="136"/>
      <c r="C192" s="136"/>
      <c r="D192" s="136"/>
      <c r="E192" s="136"/>
      <c r="F192" s="136"/>
      <c r="G192" s="136"/>
      <c r="H192" s="135">
        <f t="shared" ref="H192:O192" si="0">SUM(H7:H191)</f>
        <v>6404869904</v>
      </c>
      <c r="I192" s="135">
        <f t="shared" si="0"/>
        <v>88488356</v>
      </c>
      <c r="J192" s="135">
        <f t="shared" si="0"/>
        <v>3786741760</v>
      </c>
      <c r="K192" s="135">
        <f t="shared" si="0"/>
        <v>-12889191</v>
      </c>
      <c r="L192" s="135">
        <f t="shared" si="0"/>
        <v>1035673</v>
      </c>
      <c r="M192" s="135">
        <f t="shared" si="0"/>
        <v>28477</v>
      </c>
      <c r="N192" s="135">
        <f t="shared" si="0"/>
        <v>798462</v>
      </c>
      <c r="O192" s="135">
        <f t="shared" si="0"/>
        <v>66745</v>
      </c>
    </row>
    <row r="193" spans="1:15" x14ac:dyDescent="0.25">
      <c r="A193" s="126" t="s">
        <v>415</v>
      </c>
      <c r="B193" s="136"/>
      <c r="C193" s="136"/>
      <c r="D193" s="136"/>
      <c r="E193" s="136"/>
      <c r="F193" s="136"/>
      <c r="G193" s="136"/>
      <c r="H193" s="137">
        <f>H192/10000000</f>
        <v>640.48699039999997</v>
      </c>
      <c r="I193" s="137">
        <f>I192/10000000</f>
        <v>8.8488355999999992</v>
      </c>
      <c r="J193" s="137">
        <f>J192/10000000</f>
        <v>378.67417599999999</v>
      </c>
      <c r="K193" s="137">
        <f>K192/10000000</f>
        <v>-1.2889191</v>
      </c>
      <c r="L193" s="138">
        <f>L192</f>
        <v>1035673</v>
      </c>
      <c r="M193" s="138">
        <f>M192</f>
        <v>28477</v>
      </c>
      <c r="N193" s="138">
        <f>N192</f>
        <v>798462</v>
      </c>
      <c r="O193" s="138">
        <f>O192</f>
        <v>66745</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Data Vlaue (Cr)</vt:lpstr>
      <vt:lpstr>Data shares</vt:lpstr>
      <vt:lpstr>NIFTY GRP</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2025-12-19T03:21:49Z</dcterms:modified>
</cp:coreProperties>
</file>